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ublications" r:id="rId3" sheetId="1"/>
  </sheets>
</workbook>
</file>

<file path=xl/sharedStrings.xml><?xml version="1.0" encoding="utf-8"?>
<sst xmlns="http://schemas.openxmlformats.org/spreadsheetml/2006/main" count="50770" uniqueCount="15400">
  <si>
    <t>Times Cited, CSCD</t>
  </si>
  <si>
    <t>Times Cited, ARCI</t>
  </si>
  <si>
    <t>Times Cited, BCI</t>
  </si>
  <si>
    <t>Times Cited, SCIELO</t>
  </si>
  <si>
    <t>Authors</t>
  </si>
  <si>
    <t>Abstract</t>
  </si>
  <si>
    <t>Author Full Names</t>
  </si>
  <si>
    <t>Book Author Full Names</t>
  </si>
  <si>
    <t>Web of Science Index</t>
  </si>
  <si>
    <t>Reprint Addresses</t>
  </si>
  <si>
    <t>Email Addresses</t>
  </si>
  <si>
    <t>Funding Orgs</t>
  </si>
  <si>
    <t>Funding Name Preferred</t>
  </si>
  <si>
    <t>Funding Text</t>
  </si>
  <si>
    <t>Addresses</t>
  </si>
  <si>
    <t>Affiliations</t>
  </si>
  <si>
    <t>Publication Type</t>
  </si>
  <si>
    <t>Book Authors</t>
  </si>
  <si>
    <t>Group Authors</t>
  </si>
  <si>
    <t>Book Group Authors</t>
  </si>
  <si>
    <t>Book Editors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</si>
  <si>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</si>
  <si>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</si>
  <si>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</si>
  <si>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</si>
  <si>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</si>
  <si>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</si>
  <si>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</si>
  <si>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</si>
  <si>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</si>
  <si>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</si>
  <si>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</si>
  <si>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</si>
  <si>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</si>
  <si>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Researcher Ids</t>
  </si>
  <si>
    <t>ORCIDs</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</si>
  <si>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</si>
  <si>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</si>
  <si>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</si>
  <si>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</si>
  <si>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</si>
  <si>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</si>
  <si>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</si>
  <si>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</si>
  <si>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</si>
  <si>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</si>
  <si>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</si>
  <si>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</si>
  <si>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</si>
  <si>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</si>
  <si>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</si>
  <si>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</si>
  <si>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</si>
  <si>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</si>
  <si>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Special Issue</t>
  </si>
  <si>
    <t>Part Number</t>
  </si>
  <si>
    <t>Supplement</t>
  </si>
  <si>
    <t>Meeting Abstract</t>
  </si>
  <si>
    <t>Start Page</t>
  </si>
  <si>
    <t>End Page</t>
  </si>
  <si>
    <t>Article Number</t>
  </si>
  <si>
    <t>DOI</t>
  </si>
  <si>
    <t>DOI Link</t>
  </si>
  <si>
    <t>Book DOI</t>
  </si>
  <si>
    <t>Early Access Date</t>
  </si>
  <si>
    <t>Number of Pages</t>
  </si>
  <si>
    <t>WoS Categories</t>
  </si>
  <si>
    <t>Research Areas</t>
  </si>
  <si>
    <t>IDS Number</t>
  </si>
  <si>
    <t>Pubmed Id</t>
  </si>
  <si>
    <t>UT (Unique WOS ID)</t>
  </si>
  <si>
    <t>Web of Science Record</t>
  </si>
  <si>
    <t>Open Access Designations</t>
  </si>
  <si>
    <t>Hot Paper Status</t>
  </si>
  <si>
    <t>Highly Cited Status</t>
  </si>
  <si>
    <t>Date of Export</t>
  </si>
  <si>
    <t xml:space="preserve">  </t>
  </si>
  <si>
    <t>1</t>
  </si>
  <si>
    <t>0</t>
  </si>
  <si>
    <t>Olczak, J; Prijs, J; Ijpma, F; Wallin, F; Akbarian, E; Doornberg, J; Gordon, M</t>
  </si>
  <si>
    <t>BackgroundAdvances in medical imaging have made it possible to classify ankle fractures using Artificial Intelligence (AI). Recent studies have demonstrated good internal validity for machine learning algorithms using the AO/OTA 2018 classification. This study aimed to externally validate one such model for ankle fracture classification and ways to improve external validity.MethodsIn this retrospective observation study, we trained a deep-learning neural network (7,500 ankle studies) to classify traumatic malleolar fractures according to the AO/OTA classification. Our internal validation dataset (IVD) contained 409 studies collected from Danderyd Hospital in Stockholm, Sweden, between 2002 and 2016. The external validation dataset (EVD) contained 399 studies collected from Flinders Medical Centre, Adelaide, Australia, between 2016 and 2020. Our primary outcome measures were the area under the receiver operating characteristic (AUC) and the area under the precision-recall curve (AUPR) for fracture classification of AO/OTA malleolar (44) fractures. Secondary outcomes were performance on other fractures visible on ankle radiographs and inter-observer reliability of reviewers.ResultsCompared to the weighted mean AUC (wAUC) 0.86 (95%CI 0.82-0.89) for fracture detection in the EVD, the network attained wAUC 0.95 (95%CI 0.94-0.97) for the IVD. The area under the precision-recall curve (AUPR) was 0.93 vs. 0.96. The wAUC for individual outcomes (type 44A-C, group 44A1-C3, and subgroup 44A1.1-C3.3) was 0.82 for the EVD and 0.93 for the IVD. The weighted mean AUPR (wAUPR) was 0.59 vs 0.63. Throughout, the performance was superior to that of a random classifier for the EVD.ConclusionAlthough the two datasets had considerable differences, the model transferred well to the EVD and the alternative clinical scenario it represents. The direct clinical implications of this study are that algorithms developed elsewhere need local validation and that discrepancies can be rectified using targeted training. In a wider sense, we believe this opens up possibilities for building advanced treatment recommendations based on exact fracture types that are more objective than current clinical decisions, often influenced by who is present during rounds.</t>
  </si>
  <si>
    <t>Olczak, Jakub; Prijs, Jasper; Ijpma, Frank; Wallin, Fredrik; Akbarian, Ehsan; Doornberg, Job; Gordon, Max</t>
  </si>
  <si>
    <t/>
  </si>
  <si>
    <t>Science Citation Index Expanded (SCI-EXPANDED)</t>
  </si>
  <si>
    <t>Olczak, J (corresponding author), Danderyd Hosp, Karolinska Inst, Stockholm, Sweden.</t>
  </si>
  <si>
    <t>Jakub.Olczak@ki.se</t>
  </si>
  <si>
    <t>Karolinska Institute</t>
  </si>
  <si>
    <t>Karolinska Institute (Karolinska Institutet)</t>
  </si>
  <si>
    <t>Not applicable.</t>
  </si>
  <si>
    <t>[Olczak, Jakub; Wallin, Fredrik; Akbarian, Ehsan; Gordon, Max] Danderyd Hosp, Karolinska Inst, Stockholm, Sweden; [Prijs, Jasper; Doornberg, Job] Flinders Univ S Australia, Adelaide, SA, Australia; [Prijs, Jasper; Doornberg, Job] Med Ctr, Adelaide, SA, Australia; [Prijs, Jasper; Ijpma, Frank; Doornberg, Job] Univ Groningen, Univ Med Ctr Groningen, Groningen, Netherlands</t>
  </si>
  <si>
    <t>Karolinska Institutet; Danderyds Hospital; Flinders University; University of Groningen</t>
  </si>
  <si>
    <t>J</t>
  </si>
  <si>
    <t>External validation of an artificial intelligence multi-label deep learning model capable of ankle fracture classification</t>
  </si>
  <si>
    <t>BMC MUSCULOSKELETAL DISORDERS</t>
  </si>
  <si>
    <t>English</t>
  </si>
  <si>
    <t>Article</t>
  </si>
  <si>
    <t>External validation; Machine learning; Neural networks; Ankle; Trauma; AO/OTA classification</t>
  </si>
  <si>
    <t>LAUGE-HANSEN CLASSIFICATION; MECHANISM; SYSTEMS; INJURY; AO</t>
  </si>
  <si>
    <t>Gordon, Max/M-4330-2014; IJpma, Frank/AAH-6350-2019; /AAP-3746-2020; Prijs, Jasper/LPP-5841-2024</t>
  </si>
  <si>
    <t>Gordon, Max/0000-0002-8080-5815</t>
  </si>
  <si>
    <t>44</t>
  </si>
  <si>
    <t>3</t>
  </si>
  <si>
    <t>4</t>
  </si>
  <si>
    <t>BMC</t>
  </si>
  <si>
    <t>LONDON</t>
  </si>
  <si>
    <t>CAMPUS, 4 CRINAN ST, LONDON N1 9XW, ENGLAND</t>
  </si>
  <si>
    <t>1471-2474</t>
  </si>
  <si>
    <t>BMC MUSCULOSKEL DIS</t>
  </si>
  <si>
    <t>BMC Musculoskelet. Disord.</t>
  </si>
  <si>
    <t>OCT 4 2024</t>
  </si>
  <si>
    <t>2024</t>
  </si>
  <si>
    <t>25</t>
  </si>
  <si>
    <t>788</t>
  </si>
  <si>
    <t>10.1186/s12891-024-07884-2</t>
  </si>
  <si>
    <t>http://dx.doi.org/10.1186/s12891-024-07884-2</t>
  </si>
  <si>
    <t>13</t>
  </si>
  <si>
    <t>Orthopedics; Rheumatology</t>
  </si>
  <si>
    <t>I2Y3U</t>
  </si>
  <si>
    <t>39367349</t>
  </si>
  <si>
    <t>WOS:001328960400006</t>
  </si>
  <si>
    <t>View Record in Web of Science</t>
  </si>
  <si>
    <t>gold; Green Submitted</t>
  </si>
  <si>
    <t>2026-08-26</t>
  </si>
  <si>
    <t>Verma, V; Kumar, D</t>
  </si>
  <si>
    <t>Introduction: Artificial intelligence (AI) and machine learning (ML) are fundamentally changing the small-molecule drug discovery process, primarily by moving the workflow from being empirically screened to data-driven, designed ones. This narrative review consolidates peer-reviewed studies and industry-validated reports published between 1 January 2020 and 31 July 2025 from PubMed, Scopus, and Web of Science. Methods: This narrative review consolidates peer-reviewed studies and industry-validated reports retrieved from PubMed, Scopus, and Web of Science, covering the period from 1 January 2020-31 July 2025. The included sources report on AI and ML technologies applied to small-molecule drug discovery and their translational advancements. Results: AI methods such as deep docking, active learning, and multi-task learning have substantially shortened the time for virtual screening and hit identification, although benchmarking results often give a higher impression of real-world performance than is actually the case. By July 2025, a verification of clinical trial registrations and company disclosures indicates that more than twenty-nine publicly reported AI-driven therapeutic programs have advanced to human studies. Translational potential of AI-guided design is demonstrated by early examples such as DSP-1181 and the TNIK inhibitor rentosertib; however, wider clinical validation remains scarce and depends on prospective evidence. Discussion: Although the early successes of AI-guided drug design demonstrate the feasibility of AI-enabled discovery, the gap between benchmark performance and real-world outcomes continues to be a limitation. Furthermore, despite progress, broader clinical validation is still limited. Continued evaluation of AI-designed molecules in prospective clinical settings will be essential to verify their true therapeutic value. Conclusion: In spite of the limitations, the growing willingness of big pharmaceutical companies to incorporate the technology in their operations and the appearance of standard regulatory guidance for the use of AI in drug discovery suggest that AI-augmented discovery is no longer an experimental application but rather a maturing component of R&amp;D pipelines.</t>
  </si>
  <si>
    <t>Verma, Vikrant; Kumar, Dharmendra</t>
  </si>
  <si>
    <t>Kumar, D (corresponding author), Swami Vivekanand Subharti Univ, Fac Pharm, Meerut 250005, Uttar Pradesh, India.</t>
  </si>
  <si>
    <t>dharmendra.su202500913@subharti.co</t>
  </si>
  <si>
    <t>[Verma, Vikrant; Kumar, Dharmendra] Swami Vivekanand Subharti Univ, Fac Pharm, Meerut 250005, Uttar Pradesh, India</t>
  </si>
  <si>
    <t>Artificial intelligence and machine learning in drug discovery: From lead discovery to clinical validation (2020-2025)</t>
  </si>
  <si>
    <t>LETTERS IN DRUG DESIGN &amp; DISCOVERY</t>
  </si>
  <si>
    <t>ADMET prediction; Drug discovery; Virtual screening; Clinical validation; Foundation models; Deep learning; Artificial Intelligence in Drug Discovery; Machine Learning in Drug Discovery</t>
  </si>
  <si>
    <t>NETWORKS</t>
  </si>
  <si>
    <t>KUMAR, DHARMENDRA/JBR-9114-2023</t>
  </si>
  <si>
    <t>KUMAR, DHARMENDRA/0000-0003-1204-2382</t>
  </si>
  <si>
    <t>114</t>
  </si>
  <si>
    <t>8</t>
  </si>
  <si>
    <t>11</t>
  </si>
  <si>
    <t>7</t>
  </si>
  <si>
    <t>KEAI PUBLISHING LTD</t>
  </si>
  <si>
    <t>BEIJING</t>
  </si>
  <si>
    <t>16 DONGHUANGCHENGGEN NORTH ST, Building 5, Room 411, BEIJING, DONGCHENG DISTRICT 100009, PEOPLES R CHINA</t>
  </si>
  <si>
    <t>1570-1808</t>
  </si>
  <si>
    <t>1875-628X</t>
  </si>
  <si>
    <t>LETT DRUG DES DISCOV</t>
  </si>
  <si>
    <t>Lett. Drug Des. Discov.</t>
  </si>
  <si>
    <t>DEC 2025</t>
  </si>
  <si>
    <t>2025</t>
  </si>
  <si>
    <t>22</t>
  </si>
  <si>
    <t>12</t>
  </si>
  <si>
    <t>100341</t>
  </si>
  <si>
    <t>10.1016/j.lddd.2026.100341</t>
  </si>
  <si>
    <t>http://dx.doi.org/10.1016/j.lddd.2026.100341</t>
  </si>
  <si>
    <t>MAR 2026</t>
  </si>
  <si>
    <t>18</t>
  </si>
  <si>
    <t>Chemistry, Medicinal</t>
  </si>
  <si>
    <t>Pharmacology &amp; Pharmacy</t>
  </si>
  <si>
    <t>FW0FY</t>
  </si>
  <si>
    <t>WOS:001728727600001</t>
  </si>
  <si>
    <t>hybrid</t>
  </si>
  <si>
    <t>Tang, Y; Xu, YD; Zhao, CK; Fan, PL; Jin, YJ; Ji, ZB; Han, H; Xu, HX; Xu, BH</t>
  </si>
  <si>
    <t>Objectives: To investigate the performance of an artificial intelligence (AI) diagnostic system for thyroid nodule sonography based on deep learning convolutional neural network (CNN). Materials and Methods: We retrospectively included 485 thyroid nodules with definite pathology in two tertiary hospitals. The AI diagnostic system was constructed for automatic detection and diagnosis of nodules based on deep learning CNN equipped with image mode and video mode. One gray-scale ultrasound (US) image of each nodule from the two hospitals was selected for diagnosis in image mode (AI modelimg). A US video of each nodule from the second hospital was analyzed in video mode (AI modelvid). Performance of AI modelimg, AI modelvid, and three radiologists with 3-15 years of US experience was evaluated. Sonographic features probably influencing the accuracy of AI modelimg were screened out by binary logistic regression analysis. Results: Although the experienced radiologist achieved highest sensitivity, accuracy and the area under the receiver operating characteristic curve (AUC) compared to AI modelimg and two junior radiologists, there was no significant difference between AUCs of AI modelimg and experienced radiologist (0.770 [0.718-0.816] vs. 0.799 [0.750-0.843] in first hospital dataset, p = 0.253; 0.731 [0.660-0.794] vs. 0.780 [0.712-0.838] in second hospital dataset, p = 0.105). When US videos were used for diagnosis instead of images, significantly higher specificity (0.575 [0.489-0.661] vs. 0.693 [0.613-0.773], p = 0.003), accuracy (0.667 [0.598-0.736] vs. 0.744 [0.681-0.808], p = 0.002) and AUC (0.731 [0.660-0.794] vs. 0.780 [0.713-0.839], p = 0.016) were achieved by AI modelvid. AI modelimg was more likely to make a correct diagnosis in benign nodules with circumscribed margin (OR = 3.46, p = 0.003), hyperechoic or isoechoic echogenicity (OR = 8.83, p &lt; 0.001) and none of echogenic foci or with large comet-tail artifacts (OR = 2.28, p = 0.041). Respectively, AI modelimg acquired higher accuracy in malignant nodules with hypoechoic or very hypoechoic echogenicity (OR = 3.33, p = 0.034) and irregular margin (OR = 4.51, p = 0.003). In TR1 and TR2 (ACR TI-RADS risk level) nodules, accuracy of AI modelimg was 100% (6 of 6) and 90% (27 of 30). Conclusion: The AI diagnostic system is feasible and reliable in automatic detection and diagnosis of thyroid nodules and acquires superior performance applied in US videos. Sonographic features of thyroid nodules are a crucial factor influencing the accuracy of the AI model.</t>
  </si>
  <si>
    <t>Tang, Yang; Xu, Ya-dan; Zhao, Chong-ke; Fan, Pei-li; Jin, Yun-jie; Ji, Zheng-biao; Han, Hong; Xu, Hui-xiong; Xu, Ben-hua</t>
  </si>
  <si>
    <t>Xu, HX; Xu, BH (corresponding author), Fudan Univ, Zhongshan Hosp, Dept Ultrasound, Shanghai, Peoples R China.</t>
  </si>
  <si>
    <t>xu.benhua@zs-hospital.sh.cn; xuhuixiong@126.com</t>
  </si>
  <si>
    <t>[Tang, Yang; Xu, Ya-dan; Zhao, Chong-ke; Fan, Pei-li; Jin, Yun-jie; Ji, Zheng-biao; Han, Hong; Xu, Hui-xiong; Xu, Ben-hua] Fudan Univ, Zhongshan Hosp, Dept Ultrasound, Shanghai, Peoples R China; [Tang, Yang; Xu, Ya-dan; Zhao, Chong-ke; Fan, Pei-li; Jin, Yun-jie; Ji, Zheng-biao; Han, Hong] Fudan Univ, Inst Ultrasound Med &amp; Engn, Shanghai, Peoples R China; [Xu, Ya-dan; Zhao, Chong-ke] Shanghai Inst Med Imaging, Shanghai, Peoples R China</t>
  </si>
  <si>
    <t>Fudan University; Fudan University</t>
  </si>
  <si>
    <t>External Validation of a Deep Learning-Based Artificial Intelligence System for Ultrasound Diagnosis of Thyroid Nodules: A Two-Center Retrospective Study</t>
  </si>
  <si>
    <t>JOURNAL OF CLINICAL ULTRASOUND</t>
  </si>
  <si>
    <t>Article; Early Access</t>
  </si>
  <si>
    <t>artificial intelligence; convolutional neural network; deep learning; thyroid nodule; ultrasound diagnosis</t>
  </si>
  <si>
    <t>MANAGEMENT; IMAGES</t>
  </si>
  <si>
    <t>Zhao, Chong-Ke/HNJ-3168-2023; Fan, Pei-Li/GSN-0126-2022</t>
  </si>
  <si>
    <t>20</t>
  </si>
  <si>
    <t>WILEY</t>
  </si>
  <si>
    <t>HOBOKEN</t>
  </si>
  <si>
    <t>111 RIVER ST, HOBOKEN 07030-5774, NJ USA</t>
  </si>
  <si>
    <t>0091-2751</t>
  </si>
  <si>
    <t>1097-0096</t>
  </si>
  <si>
    <t>J CLIN ULTRASOUND</t>
  </si>
  <si>
    <t>J. Clin. Ultrasound</t>
  </si>
  <si>
    <t>2026</t>
  </si>
  <si>
    <t>10.1002/jcu.70275</t>
  </si>
  <si>
    <t>http://dx.doi.org/10.1002/jcu.70275</t>
  </si>
  <si>
    <t>JUN 2026</t>
  </si>
  <si>
    <t>Acoustics; Radiology, Nuclear Medicine &amp; Medical Imaging</t>
  </si>
  <si>
    <t>JQ1FR</t>
  </si>
  <si>
    <t>42304967</t>
  </si>
  <si>
    <t>WOS:001795298700001</t>
  </si>
  <si>
    <t>Neves, G; Warman, PI; Warman, A; Warman, R; Bueso, T; Vadhan, JD; Windisch, T</t>
  </si>
  <si>
    <t>BACKGROUND: Artificial intelligence applications have gained traction in the field of cerebrovascular disease by assisting in the triage, classification, and prognostication of both ischemic and hemorrhagic stroke. The Caire ICH system aims to be the first device to move into the realm of assisted diagnosis for intracranial hemorrhage (ICH) and its subtypes.METHODS: A single-center retrospective dataset of 402 head noncontrast CT scans (NCCT) with an intracranial hemorrhage were retrospectively collected from January 2012 to July 2020; an additional 108 NCCT scans with no intracranial hemorrhage findings were also included. The presence of an ICH and its subtype were determined from the International Classification of Diseases-10 code associated with the scan and validated by an expert panel. We used the Caire ICH vR1 to analyze these scans, and we evaluated its performance in terms of accuracy, sensitivity, and specificity. RESULTS: We found the Caire ICH system to have an accuracy of 98.05% (95% confidence interval [CI]: 96.44%-99.06%), a sensitivity of 97.52% (95% CI: 95.50%-98.81%), and a specificity of 100% (95% CI: 96.67%-100.00%) in the detection of ICH. Experts reviewed the 10 incorrectly clas-sified scans. CONCLUSIONS: The Caire ICH vR1 algorithm was highly accurate, sensitive, and specific in detecting the presence or absence of an ICH and its subtypes in NCCTs. This work suggests that the Caire ICH device has potential to mini-mize clinical errors in ICH diagnosis that could improve patient outcomes and current workflows as both a point-of-care tool for diagnostics and as a safety net for radiologists.</t>
  </si>
  <si>
    <t>Neves, Gabriel; Warman, Pranav I.; Warman, Anmol; Warman, Roshan; Bueso, Tulio; Vadhan, Jason D.; Windisch, Thomas</t>
  </si>
  <si>
    <t>Neves, G (corresponding author), Texas Tech Univ, Med Sci Ctr, Dept Neurol, Lubbock, TX 79430 USA.</t>
  </si>
  <si>
    <t>gabriel.neves@ttuhsc.edu</t>
  </si>
  <si>
    <t>[Neves, Gabriel; Bueso, Tulio; Windisch, Thomas] Texas Tech Univ, Med Sci Ctr, Dept Neurol, Lubbock, TX 79430 USA; [Warman, Pranav I.; Warman, Anmol; Warman, Roshan] Caire Hlth Inc, Tampa, FL USA; [Vadhan, Jason D.] UT Southwestern Med Ctr, Dept Emergency Med, Dallas, TX USA; [Windisch, Thomas] Covenant Hlth, Lubbock, TX USA</t>
  </si>
  <si>
    <t>Texas Tech University System; Texas Tech University; University of Texas System; University of Texas Southwestern Medical Center</t>
  </si>
  <si>
    <t>External Validation of an Artificial Intelligence Device for Intracranial Hemorrhage Detection</t>
  </si>
  <si>
    <t>WORLD NEUROSURGERY</t>
  </si>
  <si>
    <t>Artificial intelligence; Device; Epidural hemorrhage; Intracranial hemorrhage; Intraparenchymal hemorrhage; Subarachnoid hemorrhage; Subdural hemorrhage</t>
  </si>
  <si>
    <t>SUBARACHNOID HEMORRHAGE; CT; HEMATOMAS; DIAGNOSIS; STROKE</t>
  </si>
  <si>
    <t>Neves, Gabriel/0000-0003-4635-1597</t>
  </si>
  <si>
    <t>38</t>
  </si>
  <si>
    <t>ELSEVIER SCIENCE INC</t>
  </si>
  <si>
    <t>NEW YORK</t>
  </si>
  <si>
    <t>STE 800, 230 PARK AVE, NEW YORK, NY 10169 USA</t>
  </si>
  <si>
    <t>1878-8750</t>
  </si>
  <si>
    <t>1878-8769</t>
  </si>
  <si>
    <t>WORLD NEUROSURG</t>
  </si>
  <si>
    <t>World Neurosurg.</t>
  </si>
  <si>
    <t>MAY 2023</t>
  </si>
  <si>
    <t>2023</t>
  </si>
  <si>
    <t>173</t>
  </si>
  <si>
    <t>E800</t>
  </si>
  <si>
    <t>E807</t>
  </si>
  <si>
    <t>10.1016/j.wneu.2023.03.019</t>
  </si>
  <si>
    <t>http://dx.doi.org/10.1016/j.wneu.2023.03.019</t>
  </si>
  <si>
    <t>Clinical Neurology; Surgery</t>
  </si>
  <si>
    <t>Neurosciences &amp; Neurology; Surgery</t>
  </si>
  <si>
    <t>I3IR2</t>
  </si>
  <si>
    <t>36906085</t>
  </si>
  <si>
    <t>WOS:001001754200001</t>
  </si>
  <si>
    <t>5</t>
  </si>
  <si>
    <t>Mansilla, D; Tveit, J; Aurlien, H; Avigdor, T; Ros-Castello, V; Ho, ALY; Abdallah, C; Gotman, J; Beniczky, S; Frauscher, B</t>
  </si>
  <si>
    <t>ObjectiveThe automated interpretation of clinical electroencephalograms (EEGs) using artificial intelligence (AI) holds the potential to bridge the treatment gap in resource-limited settings and reduce the workload at specialized centers. However, to facilitate broad clinical implementation, it is essential to establish generalizability across diverse patient populations and equipment. We assessed whether SCORE-AI demonstrates diagnostic accuracy comparable to that of experts when applied to a geographically different patient population, recorded with distinct EEG equipment and technical settings.MethodsWe assessed the diagnostic accuracy of a "fixed-and-frozen" AI model, using an independent dataset and external gold standard, and benchmarked it against three experts blinded to all other data. The dataset comprised 50% normal and 50% abnormal routine EEGs, equally distributed among the four major classes of EEG abnormalities (focal epileptiform, generalized epileptiform, focal nonepileptiform, and diffuse nonepileptiform). To assess diagnostic accuracy, we computed sensitivity, specificity, and accuracy of the AI model and the experts against the external gold standard.ResultsWe analyzed EEGs from 104 patients (64 females, median age = 38.6 [range = 16-91] years). SCORE-AI performed equally well compared to the experts, with an overall accuracy of 92% (95% confidence interval [CI] = 90%-94%) versus 94% (95% CI = 92%-96%). There was no significant difference between SCORE-AI and the experts for any metric or category. SCORE-AI performed well independently of the vigilance state (false classification during awake: 5/41 [12.2%], false classification during sleep: 2/11 [18.2%]; p = .63) and normal variants (false classification in presence of normal variants: 4/14 [28.6%], false classification in absence of normal variants: 3/38 [7.9%]; p = .07).SignificanceSCORE-AI achieved diagnostic performance equal to human experts in an EEG dataset independent of the development dataset, in a geographically distinct patient population, recorded with different equipment and technical settings than the development dataset.</t>
  </si>
  <si>
    <t>Mansilla, Daniel; Tveit, Jesper; Aurlien, Harald; Avigdor, Tamir; Ros-Castello, Victoria; Ho, Alyssa; Abdallah, Chifaou; Gotman, Jean; Beniczky, Sandor; Frauscher, Birgit</t>
  </si>
  <si>
    <t>Frauscher, B (corresponding author), Duke Univ, Duke Comprehens Epilepsy Ctr, Dept Neurol, Med Ctr, Hock Pl,2424 Erwin St, Durham, NC 27705 USA.</t>
  </si>
  <si>
    <t>birgit.frauscher@duke.edu</t>
  </si>
  <si>
    <t>Canadian Institutes of Health Research [PJT-175056]; Duke University</t>
  </si>
  <si>
    <t>Canadian Institutes of Health Research (Canadian Institutes of Health Research (CIHR)); Duke University (Duke University)</t>
  </si>
  <si>
    <t>Canadian Institutes of Health Research, Grant/Award Number: PJT-175056; Duke University, Grant/Award Number: Start- up funding</t>
  </si>
  <si>
    <t>[Mansilla, Daniel; Avigdor, Tamir; Abdallah, Chifaou; Frauscher, Birgit] Montreal Neurol Hosp &amp; Inst, Analyt Neurophysiol Lab, Montreal, PQ, Canada; [Mansilla, Daniel] Inst Neurosurg Dr Asenjo, Neurophysiol Unit, Santiago, Chile; [Tveit, Jesper; Aurlien, Harald] Holberg EEG, Bergen, Norway; [Avigdor, Tamir; Ho, Alyssa; Frauscher, Birgit] Duke Univ, Med Ctr, Dept Neurol, Durham, NC USA; [Ros-Castello, Victoria] Hosp Santa Creu i St Pau, Dept Neurol, Epilepsy Unit, Barcelona, Spain; [Gotman, Jean] McGill Univ, Montreal Neurol Inst &amp; Hosp, Montreal, PQ, Canada; [Beniczky, Sandor] Danish Epilepsy Ctr, Dept Clin Neurophysiol, Dianalund, Denmark; [Beniczky, Sandor] Aarhus Univ Hosp, Aarhus, Denmark; [Frauscher, Birgit] Duke Pratt Sch Engn, Dept Biomed Engn, Durham, NC USA</t>
  </si>
  <si>
    <t>Duke University; McGill University; Aarhus University</t>
  </si>
  <si>
    <t>Generalizability of electroencephalographic interpretation using artificial intelligence: An external validation study</t>
  </si>
  <si>
    <t>EPILEPSIA</t>
  </si>
  <si>
    <t>automatic EEG analysis; epilepsy; normal variants; routine EEG; sleep</t>
  </si>
  <si>
    <t>EEG; EPILEPSY; MISDIAGNOSIS; ERRORS</t>
  </si>
  <si>
    <t>Mansilla, Daniel/KEH-0522-2024</t>
  </si>
  <si>
    <t>Mansilla, Daniel/0000-0002-5445-2526; Ros-Castelló, Victoria/0000-0002-9523-3012; Avigdor, Tamir/0000-0003-1283-7978</t>
  </si>
  <si>
    <t>35</t>
  </si>
  <si>
    <t>17</t>
  </si>
  <si>
    <t>0013-9580</t>
  </si>
  <si>
    <t>1528-1167</t>
  </si>
  <si>
    <t>Epilepsia</t>
  </si>
  <si>
    <t>OCT 2024</t>
  </si>
  <si>
    <t>65</t>
  </si>
  <si>
    <t>10</t>
  </si>
  <si>
    <t>3028</t>
  </si>
  <si>
    <t>3037</t>
  </si>
  <si>
    <t>10.1111/epi.18082</t>
  </si>
  <si>
    <t>http://dx.doi.org/10.1111/epi.18082</t>
  </si>
  <si>
    <t>AUG 2024</t>
  </si>
  <si>
    <t>Clinical Neurology</t>
  </si>
  <si>
    <t>Neurosciences &amp; Neurology</t>
  </si>
  <si>
    <t>K0U4G</t>
  </si>
  <si>
    <t>39141002</t>
  </si>
  <si>
    <t>WOS:001290422400001</t>
  </si>
  <si>
    <t>hybrid; Green Submitted</t>
  </si>
  <si>
    <t>81</t>
  </si>
  <si>
    <t>Bellemo, V; Lim, ZW; Lim, G; Nguyen, QD; Xie, YC; Yip, MYT; Hamzah, H; Ho, JY; Lee, XQ; Hsu, WN; Lee, ML; Musonda, L; Chandran, M; Chipalo-Mutati, G; Muma, M; Tan, GSW; Sivaprasad, S; Menon, G; Wong, TY; Ting, DSW</t>
  </si>
  <si>
    <t>Background Radical measures are required to identify and reduce blindness due to diabetes to achieve the Sustainable Development Goals by 2030. Therefore, we evaluated the accuracy of an artificial intelligence (AI) model using deep learning in a population-based diabetic retinopathy screening programme in Zambia, a lower-middle-income country.Methods We adopted an ensemble AI model consisting of a combination of two convolutional neural networks (an adapted VGGNet architecture and a residual neural network architecture) for classifying retinal colour fundus images. We trained our model on 76 370 retinal fundus images from 13 099 patients with diabetes who had participated in the Singapore Integrated Diabetic Retinopathy Program, between 2010 and 2013, which has been published previously. In this clinical validation study, we included all patients with a diagnosis of diabetes that attended a mobile screening unit in five urban centres in the Copperbelt province of Zambia from Feb 1 to June 31, 2012. In our model, referable diabetic retinopathy was defined as moderate non-proliferative diabetic retinopathy or worse, diabetic macular oedema, and ungradable images. Vision-threatening diabetic retinopathy comprised severe non-proliferative and proliferative diabetic retinopathy. We calculated the area under the curve (AUC), sensitivity, and specificity for referable diabetic retinopathy, and sensitivities of vision-threatening diabetic retinopathy and diabetic macular oedema compared with the grading by retinal specialists. We did a multivariate analysis for systemic risk factors and referable diabetic retinopathy between AI and human graders.Findings A total of 4504 retinal fundus images from 3093 eyes of 1574 Zambians with diabetes were prospectively recruited. Referable diabetic retinopathy was found in 697 (22.5%) eyes, vision-threatening diabetic retinopathy in 171 (5.5%) eyes, and diabetic macular oedema in 249 (8.1%) eyes. The AUC of the AI system for referable diabetic retinopathy was 0.973 (95% CI 0.969-0.978), with corresponding sensitivity of 92.25% (90.10-94.12) and specificity of 89.04% (87.85-90.28). Vision-threatening diabetic retinopathy sensitivity was 99.42% (99.15-99.68) and diabetic macular oedema sensitivity was 97.19% (96.61-97.77). The AI model and human graders showed similar outcomes in referable diabetic retinopathy prevalence detection and systemic risk factors associations. Both the AI model and human graders identified longer duration of diabetes, higher level of glycated haemoglobin, and increased systolic blood pressure as risk factors associated with referable diabetic retinopathy.Interpretation An AI system shows clinically acceptable performance in detecting referable diabetic retinopathy, vision-threatening diabetic retinopathy, and diabetic macular oedema in population-based diabetic retinopathy screening. This shows the potential application and adoption of such AI technology in an under-resourced African population to reduce the incidence of preventable blindness, even when the model is trained in a different population. Copyright (C) 2019 The Author(s). Published by Elsevier Ltd.</t>
  </si>
  <si>
    <t>Bellemo, Valentina; Lim, Zhan W.; Lim, Gilbert; Nguyen, Quang D.; Xie, Yuchen; Yip, Michelle Y. T.; Hamzah, Haslina; Ho, Jinyi; Lee, Xin Q.; Hsu, Wynne; Lee, Mong L.; Musonda, Lillian; Chandran, Manju; Chipalo-Mutati, Grace; Muma, Mulenga; Tan, Gavin S. W.; Sivaprasad, Sobha; Menon, Geeta; Wong, Tien Y.; Ting, Daniel S. W.</t>
  </si>
  <si>
    <t>Ting, DSW (corresponding author), Singapore Natl Eye Ctr, Singapore Eye Res Inst, Singapore 168751, Singapore.</t>
  </si>
  <si>
    <t>daniel.ting.s.w@singhealth.com.sg</t>
  </si>
  <si>
    <t>National Medical Research Council Health Service Research Grant, Large Collaborative Grant, Ministry of Health, Singapore; SingHealth Foundation; Tanoto Foundation</t>
  </si>
  <si>
    <t>National Medical Research Council Health Service Research Grant, Large Collaborative Grant, Ministry of Health, Singapore (Ministry of Health - Singapore, National Medical Research Council, Singapore); SingHealth Foundation (SingHealth); Tanoto Foundation</t>
  </si>
  <si>
    <t>National Medical Research Council Health Service Research Grant, Large Collaborative Grant, Ministry of Health, Singapore; the SingHealth Foundation; and the Tanoto Foundation.</t>
  </si>
  <si>
    <t>[Bellemo, Valentina; Nguyen, Quang D.; Xie, Yuchen; Hamzah, Haslina; Ho, Jinyi; Lee, Xin Q.; Tan, Gavin S. W.; Wong, Tien Y.; Ting, Daniel S. W.] Singapore Natl Eye Ctr, Singapore Eye Res Inst, Singapore 168751, Singapore; [Lim, Zhan W.; Lim, Gilbert; Hsu, Wynne; Lee, Mong L.] Natl Univ Singapore, Sch Comp, Singapore, Singapore; [Yip, Michelle Y. T.; Tan, Gavin S. W.; Wong, Tien Y.; Ting, Daniel S. W.] Duke NUS Med Sch, Ophthalmol &amp; Visual Sci Acad Clin Program, Singapore, Singapore; [Musonda, Lillian] Kitwe Cent Eye Hosp, Eye Dept, Kitwe, Zambia; [Chandran, Manju; Menon, Geeta] Frimley Pk Hosp NHS Fdn Trust, Dept Ophthalmol, Camberley, England; [Chipalo-Mutati, Grace] Lusaka Univ Teaching Hosp, Ophthalmol Dept, Lusaka, Zambia; [Muma, Mulenga] Minist Hlth, Lusaka, Zambia; [Sivaprasad, Sobha] NIHR Moorfields Biomed Res Ctr, London, England</t>
  </si>
  <si>
    <t>Singapore National Eye Center; National University of Singapore; National University of Singapore; National University of Singapore</t>
  </si>
  <si>
    <t>Artificial intelligence using deep learning to screen for referable and vision-threatening diabetic retinopathy in Africa: a clinical validation study</t>
  </si>
  <si>
    <t>LANCET DIGITAL HEALTH</t>
  </si>
  <si>
    <t>MAJOR RISK-FACTORS; GLOBAL PREVALENCE; WORLDWIDE; MELLITUS; PEOPLE; IMAGES; COHORT; SYSTEM; NAKURU</t>
  </si>
  <si>
    <t>Menon, Geeta/MXL-2148-2025; Tan, Gavin/HNS-5461-2023; Ting, Daniel/QOC-0597-2026; Sivaprasad, Sobha/D-6876-2015; Xie, Yuchen/AHC-6482-2022; Nguyen, Duc Quang/AHC-6430-2022; Wong, Tien Y/AAC-9724-2020; Lim, Gilbert/N-7322-2017</t>
  </si>
  <si>
    <t>Sivaprasad, Sobha/0000-0001-8952-0659; Bidwai, Pooja Vishal/0000-0002-3077-4395; Xie, Yuchen/0000-0003-4838-7681; Wong, Tien Y/0000-0002-8448-1264; Lim, Gilbert/0000-0002-5381-9250</t>
  </si>
  <si>
    <t>32</t>
  </si>
  <si>
    <t>278</t>
  </si>
  <si>
    <t>338</t>
  </si>
  <si>
    <t>54</t>
  </si>
  <si>
    <t>ELSEVIER</t>
  </si>
  <si>
    <t>AMSTERDAM</t>
  </si>
  <si>
    <t>RADARWEG 29, 1043 NX AMSTERDAM, NETHERLANDS</t>
  </si>
  <si>
    <t>2589-7500</t>
  </si>
  <si>
    <t>LANCET DIGIT HEALTH</t>
  </si>
  <si>
    <t>Lancet Digit. Health</t>
  </si>
  <si>
    <t>MAY 2019</t>
  </si>
  <si>
    <t>2019</t>
  </si>
  <si>
    <t>E35</t>
  </si>
  <si>
    <t>E44</t>
  </si>
  <si>
    <t>10.1016/S2589-7500(19)30004-4</t>
  </si>
  <si>
    <t>http://dx.doi.org/10.1016/S2589-7500(19)30004-4</t>
  </si>
  <si>
    <t>Medical Informatics; Medicine, General &amp; Internal</t>
  </si>
  <si>
    <t>Medical Informatics; General &amp; Internal Medicine</t>
  </si>
  <si>
    <t>LD2MN</t>
  </si>
  <si>
    <t>33323239</t>
  </si>
  <si>
    <t>WOS:000525867400011</t>
  </si>
  <si>
    <t>Chandra, RS; Ying, BL; Wang, JY; Cui, HG; Ying, GS; Oatts, JT</t>
  </si>
  <si>
    <t>We previously developed machine learning (ML) models for predicting cycloplegic spherical equivalent refraction (SER) and myopia using non-cycloplegic data and following a standardized protocol (cycloplegia with 0.5% tropicamide and biometry using NIDEK A-scan), but the models' performance may not be generalizable to other settings. This study evaluated the performance of ML models in an independent cohort using a different cycloplegic agent and biometer. Chinese students (N = 614) aged 8-13 years underwent autorefraction before and after cycloplegia with 0.5% tropicamide (n = 505) or 1% cyclopentolate (n = 109). Biometric measures were obtained using an IOLMaster 700 (n = 207) or Optical Biometer SW-9000 (n = 407). ML models were evaluated using R2, mean absolute error (MAE), sensitivity, specificity, and area under the ROC curve (AUC). The XGBoost model predicted cycloplegic SER very well (R2 = 0.95, MAE (SD) = 0.32 (0.30) D). Both ML models predicted myopia well (random forest: AUC 0.99, sensitivity 93.7%, specificity 96.4%; XGBoost: sensitivity 90.1%, specificity 96.8%) and accurately predicted the myopia rate (observed 62.9%; random forest: 60.6%; XGBoost: 58.8%) despite heterogeneous cycloplegia and biometry factors. In this independent cohort of students, XGBoost and random forest performed very well for predicting cycloplegic SER and myopia status using non-cycloplegic data. This external validation study demonstrated that ML may provide a useful tool for estimating cycloplegic SER and myopia prevalence with heterogeneous clinical parameters, and study in additional populations is warranted.</t>
  </si>
  <si>
    <t>Chandra, Rajat S.; Ying, Bole; Wang, Jianyong; Cui, Hongguang; Ying, Guishuang; Oatts, Julius T.</t>
  </si>
  <si>
    <t>Emerging Sources Citation Index (ESCI)</t>
  </si>
  <si>
    <t>Ying, GS (corresponding author), Univ Penn, Perelman Sch Med, Dept Ophthalmol, Philadelphia, PA 19104 USA.; Oatts, JT (corresponding author), Childrens Hosp Philadelphia, Div Ophthalmol, Philadelphia, PA 19104 USA.</t>
  </si>
  <si>
    <t>boleying1031@gmail.com; rajatsc4@gmail.com; gsying@pennmedicine.upenn.edu; wangjy4@zju.edu.cn; 1189002@zju.edu.cn; oattsj2@chop.edu</t>
  </si>
  <si>
    <t>Zhejiang Province Key Research Grant [2021C03032, NEI K23EY034893]</t>
  </si>
  <si>
    <t>Zhejiang Province Key Research Grant</t>
  </si>
  <si>
    <t>The study was supported by Zhejiang Province Key Research Grant (grant number: 2021C03032) and NEI K23EY034893.</t>
  </si>
  <si>
    <t>[Chandra, Rajat S.] Univ Penn, Perelman Sch Med, Philadelphia, PA 19104 USA; [Ying, Bole] Univ Penn, Sch Arts &amp; Sci, Philadelphia, PA 19104 USA; [Wang, Jianyong; Cui, Hongguang] Zhejiang Univ, Affiliated Hosp 1, Coll Med, Dept Ophthalmol, Hangzhou 310023, Peoples R China; [Ying, Guishuang] Univ Penn, Perelman Sch Med, Dept Ophthalmol, Philadelphia, PA 19104 USA; [Oatts, Julius T.] Childrens Hosp Philadelphia, Div Ophthalmol, Philadelphia, PA 19104 USA</t>
  </si>
  <si>
    <t>University of Pennsylvania; Pennsylvania Medicine; University of Pennsylvania; University of Pennsylvania; Pennsylvania Medicine; University of Pennsylvania; Pennsylvania Medicine; Childrens Hospital of Philadelphia</t>
  </si>
  <si>
    <t>Myopia Prediction Using Machine Learning: An External Validation Study</t>
  </si>
  <si>
    <t>VISION</t>
  </si>
  <si>
    <t>validation; machine learning; myopia; prediction; cycloplegic refraction</t>
  </si>
  <si>
    <t>AXIAL LENGTH; CYCLOPLEGIA; PARAMETERS; REFRACTION; CHILDREN</t>
  </si>
  <si>
    <t>Oatts, Julius/JWP-4501-2024; Ying, Gui-shuang/QKY-1022-2026</t>
  </si>
  <si>
    <t>Chana, Rajat/0009-0004-5402-8452</t>
  </si>
  <si>
    <t>29</t>
  </si>
  <si>
    <t>MDPI</t>
  </si>
  <si>
    <t>BASEL</t>
  </si>
  <si>
    <t>MDPI AG, Grosspeteranlage 5, CH-4052 BASEL, SWITZERLAND</t>
  </si>
  <si>
    <t>2411-5150</t>
  </si>
  <si>
    <t>VISION-BASEL</t>
  </si>
  <si>
    <t>Vision</t>
  </si>
  <si>
    <t>OCT 9 2025</t>
  </si>
  <si>
    <t>9</t>
  </si>
  <si>
    <t>84</t>
  </si>
  <si>
    <t>10.3390/vision9040084</t>
  </si>
  <si>
    <t>http://dx.doi.org/10.3390/vision9040084</t>
  </si>
  <si>
    <t>14</t>
  </si>
  <si>
    <t>Ophthalmology; Psychology, Experimental</t>
  </si>
  <si>
    <t>Ophthalmology; Psychology</t>
  </si>
  <si>
    <t>AG2VQ</t>
  </si>
  <si>
    <t>41133608</t>
  </si>
  <si>
    <t>WOS:001647425800001</t>
  </si>
  <si>
    <t>Pinar, A; Arslan, AK; Çolak, C</t>
  </si>
  <si>
    <t>Background/Objectives: Aspirin-based colorectal cancer (CRC) chemoprevention remains a promising yet individually variable strategy. As a proof-of-concept toward future personalized chemoprevention frameworks, we aimed to develop and validate machine learning (ML) models capable of distinguishing aspirin-exposed from placebo-exposed participants based on their plasma metabolomic signatures, thereby characterizing the metabolomic footprint of aspirin administration rather than directly predicting clinical chemoprevention benefit. Methods: Training was performed on the Aspirin/Folate Polyp Prevention Study (AFPPS) dataset ST001422 (n = 300) and external validation on ST001423 (n = 223). After multi-method consensus feature selection, reducing 19,433 features to 300, sixteen ML and deep learning (DL) architectures were benchmarked under nested cross-validation. Model interpretability was assessed using SHapley Additive exPlanations (SHAP) and Local Interpretable Model-agnostic Explanations (LIME) analyses. Results: GBM_sklearn achieved the highest cross-validation Precision-Recall AUC (PR-AUC) of 0.945, while ensemble stacking (Stack_LGB) offered superior calibration (Brier = 0.117). DL models consistently underperformed traditional ML (PR-AUC: 0.673-0.843 vs. 0.881-0.945), attributable to limited sample size. SHAP and LIME analyses independently identified m/z 196.0604 (C18, RT 89.4 s) as the top metabolic biomarker, consistent with aspirin-induced glycerophospholipid pathway alterations. External validation performance degraded substantially (PR-AUC: 0.945 -&gt; 0.711), attributable to inter-study analytical batch effects. Conclusions: This framework demonstrates the feasibility of metabolomics-driven personalized chemoprevention. Although the high feature-to-sample ratio (300:300) and the substantial drop between internal and external performance indicate that the cross-validation estimates likely include dataset-specific noise in addition to the true biological signal. While highlighting batch harmonization and aggressive feature reduction (e.g., LASSO/RFE-based selection of 10-20 high-impact metabolites) as a prerequisite for clinical translation.</t>
  </si>
  <si>
    <t>Pinar, Abdulvahap; Arslan, Ahmet Kadir; Colak, Cemil</t>
  </si>
  <si>
    <t>Arslan, AK; Çolak, C (corresponding author), Inonu Univ, Fac Med, Dept Biostat &amp; Med Informat, TR-44280 Malatya, Turkiye.</t>
  </si>
  <si>
    <t>cemil.colak@inonu.edu.tr; apinar@adiyaman.edu.tr; arslan.ahmet@inonu.edu.tr</t>
  </si>
  <si>
    <t>Idot;nn University [4931]</t>
  </si>
  <si>
    <t>Idot;nn University</t>
  </si>
  <si>
    <t>This study was supported by the Scientific Research Projects Coordination Unit (BAP) at &amp; Idot;nonu University under Project No. 4931.</t>
  </si>
  <si>
    <t>[Pinar, Abdulvahap; Arslan, Ahmet Kadir; Colak, Cemil] Inonu Univ, Fac Med, Dept Biostat &amp; Med Informat, TR-44280 Malatya, Turkiye; [Pinar, Abdulvahap] Adiyaman Univ, Rectorate Unit, TR-02040 Adiyaman, Turkiye</t>
  </si>
  <si>
    <t>Inonu University; Adiyaman University</t>
  </si>
  <si>
    <t>ML-BUSMetab: Machine Learning-Based Metabolomic Profiling for Predicting Aspirin Response in Colorectal Cancer Chemoprevention: A Multi-Model Explainable Artificial Intelligence Approach with External Validation</t>
  </si>
  <si>
    <t>JOURNAL OF CLINICAL MEDICINE</t>
  </si>
  <si>
    <t>metabolomics; colorectal cancer chemoprevention; explainable artificial intelligence; gradient boosting; batch effect correction</t>
  </si>
  <si>
    <t>ÇOLAK, CEMİL/ABI-3261-2020; ARSLAN, Ahmet/AAA-2409-2020; PINAR, Abdulvahap/IYT-1191-2023</t>
  </si>
  <si>
    <t>Pınar, Abdulvahap/0000-0002-3662-2579</t>
  </si>
  <si>
    <t>39</t>
  </si>
  <si>
    <t>2077-0383</t>
  </si>
  <si>
    <t>J CLIN MED</t>
  </si>
  <si>
    <t>J. Clin. Med.</t>
  </si>
  <si>
    <t>JUN 1 2026</t>
  </si>
  <si>
    <t>15</t>
  </si>
  <si>
    <t>4287</t>
  </si>
  <si>
    <t>10.3390/jcm15114287</t>
  </si>
  <si>
    <t>http://dx.doi.org/10.3390/jcm15114287</t>
  </si>
  <si>
    <t>26</t>
  </si>
  <si>
    <t>Medicine, General &amp; Internal</t>
  </si>
  <si>
    <t>General &amp; Internal Medicine</t>
  </si>
  <si>
    <t>JI3YI</t>
  </si>
  <si>
    <t>42279148</t>
  </si>
  <si>
    <t>WOS:001790056200001</t>
  </si>
  <si>
    <t>He, YP; Sakuma, K; Kishi, T; Li, YY; Matsunaga, M; Tanihara, S; Iwata, N; Ota, A</t>
  </si>
  <si>
    <t>Background and Objective: Excellent generalizability is the precondition for the widespread practical implementation of machine learning models. In our previous study, we developed the schizophrenia classification model (SZ classifier) to identify potential schizophrenia patients in the Japanese population. The SZ classifier has exhibited impressive performance during internal validation. However, ensuring the robustness and generalizability of the SZ classifier requires external validation across independent sample sets. In this study, we aimed to present an external validation of the SZ classifier using outpatient data. Methods: The SZ classifier was trained by using online survey data, which incorporate demographic, health-related, and social comorbidity features. External validation was conducted using an outpatient sample set which is independent from the sample set during the model development phase. The model performance was assessed based on the sensitivity and misclassification rates for schizophrenia, bipolar disorder, and major depression patients. Results: The SZ classifier demonstrated a sensitivity of 0.75 when applied to schizophrenia patients. The misclassification rates were 59% and 55% for bipolar disorder and major depression patients, respectively. Conclusions: The SZ classifier currently encounters challenges in accurately determining the presence or absence of schizophrenia at the individual level. Prior to widespread practical implementation, enhancements are necessary to bolster the accuracy and diminish the misclassification rates. Despite the current limitations of the model, such as poor specificity for certain psychiatric disorders, there is potential for improvement if including multiple types of psychiatric disorders during model development.</t>
  </si>
  <si>
    <t>He, Yupeng; Sakuma, Kenji; Kishi, Taro; Li, Yuanying; Matsunaga, Masaaki; Tanihara, Shinichi; Iwata, Nakao; Ota, Atsuhiko</t>
  </si>
  <si>
    <t>He, YP (corresponding author), Fujita Hlth Univ, Sch Med, Dept Publ Hlth, Toyoake 4701192, Japan.</t>
  </si>
  <si>
    <t>yupeng.he@fujita-hu.ac.jp</t>
  </si>
  <si>
    <t>Ministry of Health, Labour and Welfare</t>
  </si>
  <si>
    <t>Ministry of Health, Labour and Welfare (Ministry of Health, Labour and Welfare, Japan)</t>
  </si>
  <si>
    <t>No Statement Available</t>
  </si>
  <si>
    <t>[He, Yupeng; Matsunaga, Masaaki; Ota, Atsuhiko] Fujita Hlth Univ, Sch Med, Dept Publ Hlth, Toyoake 4701192, Japan; [Sakuma, Kenji; Kishi, Taro; Iwata, Nakao] Fujita Hlth Univ, Sch Med, Dept Psychiat, Toyoake 4701192, Japan; [Li, Yuanying] Nagoya Univ, Grad Sch Med, Dept Publ Hlth &amp; Hlth Syst, Nagoya 4668550, Japan; [Tanihara, Shinichi] Kurume Univ, Sch Med, Dept Publ Hlth, Kurume 8300011, Japan</t>
  </si>
  <si>
    <t>Fujita Health University; Fujita Health University; Nagoya University; Kurume University</t>
  </si>
  <si>
    <t>External Validation of a Machine Learning Model for Schizophrenia Classification</t>
  </si>
  <si>
    <t>external validation; schizophrenia; bipolar; depression; machine learning; classification; neural network</t>
  </si>
  <si>
    <t>ARTIFICIAL-INTELLIGENCE; PREDICTION; HEALTH</t>
  </si>
  <si>
    <t>Ota, Atsuhiko/H-6109-2019; Kishi, Taro/HSC-1913-2023</t>
  </si>
  <si>
    <t>Matsunaga, Masaaki/0000-0001-7942-1446; Li, yuanying/0000-0002-4059-6406</t>
  </si>
  <si>
    <t>36</t>
  </si>
  <si>
    <t>6</t>
  </si>
  <si>
    <t>MAY 2024</t>
  </si>
  <si>
    <t>2970</t>
  </si>
  <si>
    <t>10.3390/jcm13102970</t>
  </si>
  <si>
    <t>http://dx.doi.org/10.3390/jcm13102970</t>
  </si>
  <si>
    <t>SF6Y2</t>
  </si>
  <si>
    <t>38792511</t>
  </si>
  <si>
    <t>WOS:001233093000001</t>
  </si>
  <si>
    <t>Brejnebol, MW; Hansen, P; Nybing, JU; Bachmann, R; Ratjen, U; Hansen, IV; Lenskjold, A; Axelsen, M; Lundemann, M; Boesen, M</t>
  </si>
  <si>
    <t>Purpose: To externally validate an artificial intelligence (AI) tool for radiographic knee osteoarthritis severity classification on a clinical dataset.Method: This retrospective, consecutive patient sample, external validation study used weight-bearing, non-fixedflexion posterior-anterior knee radiographs from a clinical production PACS. The index test was ordinal Kellgren-Lawrence grading by an AI tool, two musculoskeletal radiology consultants, two reporting technologists, and two resident radiologists. Grading was repeated by all readers after at least four weeks. Reference test was the consensus of the two consultants. The primary outcome was quadratic weighted kappa. Secondary outcomes were ordinal weighted accuracy, multiclass accuracy and F1-score.Results: 50 consecutive patients between September 24, 2019 and October 22, 2019 were retrospectively included (3 excluded) totaling 99 knees (1 excluded). Quadratic weighted kappa for the AI tool and the consultant consensus was 0.88 CI95% (0.82-0.92). Agreement between the consultants was 0.89 CI95% (0.85-0.93). Intra-rater agreements for the consultants were 0.96 CI95% (0.94-0.98) and 0.94 CI95% (0.91-0.96) respectively. For the AI tool it was 1 CI95% (1-1). For the AI tool, ordinal weighted accuracy was 97.8% CI95% (96.9-98.6 %). Average multiclass accuracy and F1-score were 84% (83/99) CI95% (77-91%) and 0.67 CI95% (0.51-0.81).Conclusions: The AI tool achieved the same good-to-excellent agreement with the radiology consultant consensus for radiographic knee osteoarthritis severity classification as the consultants did with each other.</t>
  </si>
  <si>
    <t>Brejnebol, Mathias Willadsen; Hansen, Philip; Nybing, Janus Uhd; Bachmann, Rikke; Ratjen, Ulrik; Hansen, Ida Vibeke; Lenskjold, Anders; Axelsen, Martin; Lundemann, Michael; Boesen, Mikael</t>
  </si>
  <si>
    <t>Brejnebol, MW (corresponding author), Bispebjerg Bakke 23, DK-2400 Copenhagen NV, Denmark.</t>
  </si>
  <si>
    <t>mathiaswbrejne@outlook.com</t>
  </si>
  <si>
    <t>Horizon 2020, the EUROSTARS subdivision [E! 12835-X-AID]</t>
  </si>
  <si>
    <t>Horizon 2020, the EUROSTARS subdivision</t>
  </si>
  <si>
    <t>This work was sponsored by Horizon 2020, the EUROSTARS subdivision with grant number E! 12835-X-AID</t>
  </si>
  <si>
    <t>[Brejnebol, Mathias Willadsen; Hansen, Philip; Nybing, Janus Uhd; Bachmann, Rikke; Ratjen, Ulrik; Lenskjold, Anders; Boesen, Mikael] Bispebjerg &amp; Frederiksberg Hosp, Dept Radiol, Copenhagen, Denmark; [Hansen, Ida Vibeke] Herlev &amp; Gentofte Hosp, Dept Radiol, Copenhagen, Denmark; [Axelsen, Martin; Lundemann, Michael] Radiobot ApS, Copenhagen, Denmark; [Bachmann, Rikke] Univ Coll Copenhagen, Dept Technol, Radiog, Copenhagen, Denmark; [Brejnebol, Mathias Willadsen; Nybing, Janus Uhd; Lenskjold, Anders; Boesen, Mikael] Bispebjerg Hosp, Radiol Artificial Intelligence Testctr, Copenhagen, Denmark; [Brejnebol, Mathias Willadsen; Nybing, Janus Uhd; Lenskjold, Anders; Boesen, Mikael] Frederiksberg Univ Hosp, Radiol Artificial Intelligence Testctr, Copenhagen, Denmark; [Brejnebol, Mathias Willadsen; Nybing, Janus Uhd; Lenskjold, Anders; Boesen, Mikael] Herlev Hosp, Radiol Artificial Intelligence Testctr, Copenhagen, Denmark; [Brejnebol, Mathias Willadsen; Nybing, Janus Uhd; Lenskjold, Anders; Boesen, Mikael] Gentofte Univ Hosp, Radiol Artificial Intelligence Testctr, Copenhagen, Denmark</t>
  </si>
  <si>
    <t>University of Copenhagen; Bispebjerg Hospital; University College Copenhagen; University of Copenhagen; Copenhagen University Hospital; Bispebjerg Hospital; University of Copenhagen; Herlev &amp; Gentofte Hospital; University of Copenhagen; Herlev &amp; Gentofte Hospital</t>
  </si>
  <si>
    <t>External validation of an artificial intelligence tool for radiographic knee osteoarthritis severity classification</t>
  </si>
  <si>
    <t>EUROPEAN JOURNAL OF RADIOLOGY</t>
  </si>
  <si>
    <t>Artificial intelligence; External validation; Knee osteoarthritis; Inter-rater agreement; Conventional radiography</t>
  </si>
  <si>
    <t>DIAGNOSIS</t>
  </si>
  <si>
    <t>Boesen, Mikael/O-1632-2013</t>
  </si>
  <si>
    <t>Axelsen, Martin Christian/0000-0002-3328-8958; Hansen, Philip/0000-0002-6972-7852; Boesen, Mikael/0000-0002-8774-6563</t>
  </si>
  <si>
    <t>28</t>
  </si>
  <si>
    <t>ELSEVIER IRELAND LTD</t>
  </si>
  <si>
    <t>CLARE</t>
  </si>
  <si>
    <t>ELSEVIER HOUSE, BROOKVALE PLAZA, EAST PARK SHANNON, CO, CLARE, 00000, IRELAND</t>
  </si>
  <si>
    <t>0720-048X</t>
  </si>
  <si>
    <t>1872-7727</t>
  </si>
  <si>
    <t>EUR J RADIOL</t>
  </si>
  <si>
    <t>Eur. J. Radiol.</t>
  </si>
  <si>
    <t>MAY 2022</t>
  </si>
  <si>
    <t>2022</t>
  </si>
  <si>
    <t>150</t>
  </si>
  <si>
    <t>110249</t>
  </si>
  <si>
    <t>10.1016/j.ejrad.2022.110249</t>
  </si>
  <si>
    <t>http://dx.doi.org/10.1016/j.ejrad.2022.110249</t>
  </si>
  <si>
    <t>MAR 2022</t>
  </si>
  <si>
    <t>Radiology, Nuclear Medicine &amp; Medical Imaging</t>
  </si>
  <si>
    <t>2R6CT</t>
  </si>
  <si>
    <t>35338955</t>
  </si>
  <si>
    <t>WOS:000821198700002</t>
  </si>
  <si>
    <t>Tsai, MJ; Hsieh, YT; Tsai, CH; Chen, M; Hsieh, AT; Tsai, CW; Chen, ML</t>
  </si>
  <si>
    <t>Aims. To investigate the applicability of deep learning image assessment software VeriSee DR to different color fundus cameras for the screening of diabetic retinopathy (DR). Methods. Color fundus images of diabetes patients taken with three different nonmydriatic fundus cameras, including 477 Topcon TRC-NW400, 459 Topcon TRC-NW8 series, and 471 Kowa nonmyd 8 series that were judged as "gradable " by one ophthalmologist were enrolled for validation. VeriSee DR was then used for the diagnosis of referable DR according to the International Clinical Diabetic Retinopathy Disease Severity Scale. Gradability, sensitivity, and specificity were calculated for each camera model. Results. All images (100%) from the three camera models were gradable for VeriSee DR. The sensitivity for diagnosing referable DR in the TRC-NW400, TRC-NW8, and non-myd 8 series was 89.3%, 94.6%, and 95.7%, respectively, while the specificity was 94.2%, 90.4%, and 89.3%, respectively. Neither the sensitivity nor the specificity differed significantly between these camera models and the original camera model used for VeriSee DR development (p=0.40, p=0.065, respectively). Conclusions. VeriSee DR was applicable to a variety of color fundus cameras with 100% agreement with ophthalmologists in terms of gradability and good sensitivity and specificity for the diagnosis of referable DR.</t>
  </si>
  <si>
    <t>Tsai, Meng-Ju; Hsieh, Yi-Ting; Tsai, Chin-Han; Chen, Mingke; Hsieh, An-Tsz; Tsai, Chung-Wen; Chen, Min-Ling</t>
  </si>
  <si>
    <t>Hsieh, YT (corresponding author), Natl Taiwan Univ Hosp, Dept Ophthalmol, Taipei, Taiwan.</t>
  </si>
  <si>
    <t>ythyth@gmail.com</t>
  </si>
  <si>
    <t>Acer Inc</t>
  </si>
  <si>
    <t>M-J Tsai and Y-T Hsieh report receipt of grants from Acer Inc. for retinal fundus photography reading.</t>
  </si>
  <si>
    <t>[Tsai, Meng-Ju] Taoyuan Gen Hosp, Dept Ophthalmol, Minist Hlth &amp; Welf, Taoyuan, Taiwan; [Hsieh, Yi-Ting] Natl Taiwan Univ Hosp, Dept Ophthalmol, Taipei, Taiwan; [Tsai, Chin-Han; Chen, Mingke] Acer Med Inc, New Taipei, Taiwan; [Hsieh, An-Tsz] Hsiehs Endocrinol Clin, New Taipei, Taiwan; [Hsieh, An-Tsz] Natl Def Med Ctr, Sch Med, Dept Internal Med, Taipei, Taiwan; [Tsai, Chung-Wen] Joy Clin, Taoyuan, Taiwan; [Chen, Min-Ling] Chen Min Ling Med Clin, New Taipei, Taiwan</t>
  </si>
  <si>
    <t>National Taiwan University; National Taiwan University Hospital; Tri-Service General Hospital; National Defense Medical University</t>
  </si>
  <si>
    <t>Cross-Camera External Validation for Artificial Intelligence Software in Diagnosis of Diabetic Retinopathy</t>
  </si>
  <si>
    <t>JOURNAL OF DIABETES RESEARCH</t>
  </si>
  <si>
    <t>MAJOR RISK-FACTORS; GLOBAL PREVALENCE; RETINAL IMAGES</t>
  </si>
  <si>
    <t>Hsieh, Yi-Ting/ACZ-1884-2022; /AAF-1043-2019</t>
  </si>
  <si>
    <t>Hsieh, Yi-Ting/0000-0003-2258-154X</t>
  </si>
  <si>
    <t>HINDAWI LTD</t>
  </si>
  <si>
    <t>ADAM HOUSE, 3RD FLR, 1 FITZROY SQ, LONDON, W1T 5HF, ENGLAND</t>
  </si>
  <si>
    <t>2314-6745</t>
  </si>
  <si>
    <t>2314-6753</t>
  </si>
  <si>
    <t>J DIABETES RES</t>
  </si>
  <si>
    <t>J. Diabetes Res.</t>
  </si>
  <si>
    <t>MAR 9 2022</t>
  </si>
  <si>
    <t>5779276</t>
  </si>
  <si>
    <t>10.1155/2022/5779276</t>
  </si>
  <si>
    <t>http://dx.doi.org/10.1155/2022/5779276</t>
  </si>
  <si>
    <t>Endocrinology &amp; Metabolism; Medicine, Research &amp; Experimental</t>
  </si>
  <si>
    <t>Endocrinology &amp; Metabolism; Research &amp; Experimental Medicine</t>
  </si>
  <si>
    <t>0I5FQ</t>
  </si>
  <si>
    <t>35308093</t>
  </si>
  <si>
    <t>WOS:000779446200002</t>
  </si>
  <si>
    <t>2</t>
  </si>
  <si>
    <t>Hsu, W; Hippe, DS; Nakhaei, N; Wang, PC; Zhu, B; Siu, N; Ahsen, ME; Lotter, W; Sorensen, AG; Naeim, A; Buist, DSM; Schaffter, T; Guinney, J; Elmore, JG; Lee, C</t>
  </si>
  <si>
    <t>IMPORTANCE With a shortfall in fellowship-trained breast radiologists, mammography screening programs are looking toward artificial intelligence (AI) to increase efficiency and diagnostic accuracy. External validation studies provide an initial assessment of how promising AI algorithms perform in different practice settings.OBJECTIVE To externally validate an ensemble deep-learning model using data from a high-volume, distributed screening program of an academic health system with a diverse patient population.DESIGN, SETTING, AND PARTICIPANTS In this diagnostic study, an ensemble learningmethod, which reweights outputs of the 11 highest-performing individual AI models from the Digital Mammography Dialogue on Reverse Engineering Assessment and Methods (DREAM) Mammography Challenge, was used to predict the cancer status of an individual using a standard set of screening mammography images. This study was conducted using retrospective patient data collected between 2010 and 2020 from women aged 40 years and older who underwent a routine breast screening examination and participated in the Athena Breast Health Network at the University of California, Los Angeles (UCLA).MAIN OUTCOMES AND MEASURES Performance of the challenge ensemble method (CEM) and the CEM combined with radiologist assessment (CEM+R) were compared with diagnosed ductal carcinoma in situ and invasive cancers within a year of the screening examination using performance metrics, such as sensitivity, specificity, and area under the receiver operating characteristic curve (AUROC).RESULTS Evaluated on 37 317 examinations from 26 817 women (mean [SD] age, 58.4 [11.5] years), individual model AUROC estimates ranged from 0.77 (95% CI, 0.75-0.79) to 0.83 (95% CI, 0.81-0.85). The CEM model achieved an AUROC of 0.85 (95% CI, 0.84-0.87) in the UCLA cohort, lower than the performance achieved in the Kaiser Permanente Washington (AUROC, 0.90) and Karolinska Institute (AUROC, 0.92) cohorts. The CEM+R model achieved a sensitivity (0.813 [95% CI, 0.781-0.843] vs 0.826 [95% CI, 0.795-0.856]; P = .20) and specificity (0.925 [95% CI, 0.916-0.934] vs 0.930 [95% CI, 0.929-0.932]; P = .18) similar to the radiologist performance. The CEM+R model had significantly lower sensitivity (0.596 [95% CI, 0.466-0.717] vs 0.850 [95% CI, 0.766-0.923]; P &lt; .001) and specificity (0.803 [95% CI, 0.734-0.861] vs 0.945 [95% CI, 0.936-0.954]; P &lt; .001) than the radiologist in women with a prior history of breast cancer and Hispanic women (0.894 [95% CI, 0.873-0.910] vs 0.926 [95% CI, 0.919-0.933]; P = .004).CONCLUSIONS AND RELEVANCE This study found that the high performance of an ensemble deep-learning model for automated screening mammography interpretation did not generalize to a more diverse screening cohort, suggesting that the model experienced underspecification. This study suggests the need for model transparency and fine-tuning of AI models for specific target populations prior to their clinical adoption.</t>
  </si>
  <si>
    <t>Hsu, William; Hippe, Daniel S.; Nakhaei, Noor; Wang, Pin-Chieh; Zhu, Bing; Siu, Nathan; Ahsen, Mehmet Eren; Lotter, William; Sorensen, A. Gregory; Naeim, Arash; Buist, Diana S. M.; Schaffter, Thomas; Guinney, Justin; Elmore, Joann G.; Lee, Christoph, I</t>
  </si>
  <si>
    <t>Hsu, W (corresponding author), Univ Calif Los Angeles, Dept Radiol Sci, Med &amp; Imaging Informat, David Geffen Sch Med, 924 Westwood Blvd,Ste 420, Los Angeles, CA 90024 USA.</t>
  </si>
  <si>
    <t>whsu@mednet.ucla.edu</t>
  </si>
  <si>
    <t>National Institutes of Health (NIH) National Cancer Institute (NCI) [R37 CA240403]; NIH National Institute of Biomedical Imaging and Bioengineering [R01 EB027650]; National Science Foundation [1722516]; NIH NCI [R01 CA262023, P01 CA154292]</t>
  </si>
  <si>
    <t>National Institutes of Health (NIH) National Cancer Institute (NCI) (United States Department of Health &amp; Human Services, National Institutes of Health (NIH) - USA, NIH National Cancer Institute (NCI)); NIH National Institute of Biomedical Imaging and Bioengineering (United States Department of Health &amp; Human Services, National Institutes of Health (NIH) - USA, NIH National Institute of Biomedical Imaging &amp; Bioengineering (NIBIB)); National Science Foundation (National Science Foundation (NSF)); NIH NCI (United States Department of Health &amp; Human Services, National Institutes of Health (NIH) - USA, NIH National Cancer Institute (NCI))</t>
  </si>
  <si>
    <t>Drs Hsu, Wang, Zhu, Ahsen, Lotter, Sorensen, Naeim, Buist, Elmore, and Lee; Mr Hippe; and Ms Nakhaei were supported by grant R37 CA240403 from the National Institutes of Health (NIH) National Cancer Institute (NCI). Dr Hsu was also supported by grant R01 EB027650 from the NIH National Institute of Biomedical Imaging and Bioengineering and award 1722516 from the National Science Foundation, and Dr Lee was also supported by grants R01 CA262023 and P01 CA154292 from the NIH NCI.</t>
  </si>
  <si>
    <t>[Hsu, William; Nakhaei, Noor; Zhu, Bing] Univ Calif Los Angeles, Dept Radiol Sci, Med &amp; Imaging Informat, David Geffen Sch Med, 924 Westwood Blvd,Ste 420, Los Angeles, CA 90024 USA; [Hippe, Daniel S.] Fred Hutchinson Canc Ctr, Clin Res Div, Seattle, WA USA; [Wang, Pin-Chieh; Elmore, Joann G.] Univ Calif Los Angeles, Dept Med, David Geffen Sch Med, Los Angeles, CA 90024 USA; [Siu, Nathan] Univ Calif Los Angeles, Grad Programs Biosci, Med Informat Home Area, David Geffen Sch Med, Los Angeles, CA 90024 USA; [Ahsen, Mehmet Eren] Univ Illinois, Gies Coll Business, Urbana, IL USA; [Lotter, William; Sorensen, A. Gregory] RadNet AI Solut, DeepHlth, Cambridge, MA USA; [Naeim, Arash] Univ Calif Los Angeles, Ctr Systemat Measurable Actionable Resilient &amp; Te, Clin &amp; Translat Sci Inst, David Geffen Sch Med, Los Angeles, CA 90024 USA; [Buist, Diana S. M.] Kaiser Permanente Washington Hlth Res Inst, Seattle, WA USA; [Schaffter, Thomas] Sage Bionetworks, Computat Oncol, Seattle, WA USA; [Guinney, Justin] Tempus Labs, Chicago, IL USA; [Lee, Christoph, I] Univ Washington, Sch Med, Dept Radiol, Seattle, WA 98195 USA; [Lee, Christoph, I] Univ Washington, Sch Publ Hlth, Dept Hlth Serv, Seattle, WA 98195 USA; [Lee, Christoph, I] Fred Hutchinson Canc Ctr, Hutchinson Inst Canc Outcomes Res, Seattle, WA USA</t>
  </si>
  <si>
    <t>University of California System; University of California Los Angeles; David Geffen School of Medicine at UCLA; University of California Los Angeles Medical Center; Fred Hutchinson Cancer Center; University of California System; University of California Los Angeles; David Geffen School of Medicine at UCLA; University of California Los Angeles Medical Center; University of California System; University of California Los Angeles; University of California Los Angeles Medical Center; David Geffen School of Medicine at UCLA; University of Illinois System; University of Illinois Urbana-Champaign; University of California System; University of California Los Angeles; David Geffen School of Medicine at UCLA; University of California Los Angeles Medical Center; Kaiser Permanente; University of Washington; University of Washington Seattle; University of Washington; University of Washington Seattle; Fred Hutchinson Cancer Center</t>
  </si>
  <si>
    <t>External Validation of an Ensemble Model for Automated Mammography Interpretation by Artificial Intelligence</t>
  </si>
  <si>
    <t>JAMA NETWORK OPEN</t>
  </si>
  <si>
    <t>BREAST-CANCER</t>
  </si>
  <si>
    <t>Hsu, William/AAA-1935-2021</t>
  </si>
  <si>
    <t>Siu, Nathan/0000-0002-7140-3937; Hsu, William/0000-0002-5168-070X; Elmore, Joann/0000-0002-7311-6835; Schaffter, Thomas/0000-0002-8242-9462; Hippe, Daniel/0000-0003-2427-4404; Guinney, Justin H/0000-0003-1477-1888</t>
  </si>
  <si>
    <t>49</t>
  </si>
  <si>
    <t>62</t>
  </si>
  <si>
    <t>AMER MEDICAL ASSOC</t>
  </si>
  <si>
    <t>CHICAGO</t>
  </si>
  <si>
    <t>330 N WABASH AVE, STE 39300, CHICAGO, IL 60611-5885 USA</t>
  </si>
  <si>
    <t>2574-3805</t>
  </si>
  <si>
    <t>JAMA NETW OPEN</t>
  </si>
  <si>
    <t>JAMA Netw. Open</t>
  </si>
  <si>
    <t>NOV 21 2022</t>
  </si>
  <si>
    <t>e2242343</t>
  </si>
  <si>
    <t>10.1001/jamanetworkopen.2022.42343</t>
  </si>
  <si>
    <t>http://dx.doi.org/10.1001/jamanetworkopen.2022.42343</t>
  </si>
  <si>
    <t>8F1GL</t>
  </si>
  <si>
    <t>36409497</t>
  </si>
  <si>
    <t>WOS:000919416700002</t>
  </si>
  <si>
    <t>Cohen, I; Malins, JG; Cohen-Shelly, M; Asaf, Y; Fiman, M; Faierstein, K; Fisher, L; Sudri, K; Raanani, E; Schwammenthal, E; Klempfner, R; Maor, E</t>
  </si>
  <si>
    <t>Aims Mitral and tricuspid regurgitation (MR and TR) are common in older adults and associated with substantial morbidity and mortality. While transthoracic echocardiography (TTE) is the diagnostic gold standard, access remains limited in many care settings. Artificial intelligence (AI)-based echocardiographic analysis may help address this diagnostic gap.Methods and results We externally validated a deep learning algorithm developed by Aisap.ai using TTE studies from the Mayo Clinic Health System (2013-23). The model analyses echocardiographic images to classify atrioventricular regurgitation severity and was evaluated against cardiologist interpretations. Performance was assessed using binary (normal-mild vs. moderate-severe) and ordinal (normal, mild, moderate, severe) classification schemes. Among 1541 eligible TTEs, the model returned predictions for 578 studies (38%). Performance analysis was limited to these cases. The MR cohort included 280 studies and the TR cohort 298. For MR, the model achieved an area under the receiver operating characteristic curve (AUC) of 0.98 [95% confidence interval (CI): 0.97-0.99], with 91% accuracy, 95% sensitivity, and 89% specificity. For TR, the AUC was 0.96 (95% CI: 0.94-0.98), with 84% accuracy, 91% sensitivity, and 80% specificity.Conclusion In cases where a prediction was generated, the model demonstrated high diagnostic performance in identifying clinically significant atrioventricular regurgitation. These findings support the feasibility of AI-assisted echocardiography in diverse populations, while underscoring the need for technical alignment between model requirements and local acquisition practices to ensure real-world applicability.</t>
  </si>
  <si>
    <t>Cohen, Ido; Malins, Jeffrey G.; Cohen-Shelly, Michal; Asaf, Yossi; Fiman, Michael; Faierstein, Kobi; Fisher, Lior; Sudri, Karin; Raanani, Ehud; Schwammenthal, Ehud; Klempfner, Robert; Maor, Elad</t>
  </si>
  <si>
    <t>Maor, E (corresponding author), Leviev Cardiovasc Inst, Sheba Med Ctr, Derech Sheba 2, IL-52621 Ramat Gan, Israel.; Maor, E (corresponding author), Tel Aviv Univ, Gray Fac Med &amp; Hlth Sci, IL-69978 Tel Aviv, Israel.; Maor, E (corresponding author), Aisap ai, Derech Sheba 2, IL-5266202 Ramat Gan, Israel.</t>
  </si>
  <si>
    <t>Elad.Maor@sheba.health.gov.il</t>
  </si>
  <si>
    <t>[Cohen, Ido; Cohen-Shelly, Michal; Asaf, Yossi; Faierstein, Kobi; Fisher, Lior; Raanani, Ehud; Schwammenthal, Ehud; Klempfner, Robert; Maor, Elad] Leviev Cardiovasc Inst, Sheba Med Ctr, Derech Sheba 2, IL-52621 Ramat Gan, Israel; [Cohen, Ido; Asaf, Yossi; Faierstein, Kobi; Fisher, Lior; Raanani, Ehud; Schwammenthal, Ehud; Klempfner, Robert; Maor, Elad] Tel Aviv Univ, Gray Fac Med &amp; Hlth Sci, IL-69978 Tel Aviv, Israel; [Malins, Jeffrey G.] Mayo Clin, Dept Cardiovasc Med, 200 First St SW, Rochester, MN 55905 USA; [Cohen-Shelly, Michal; Fiman, Michael; Raanani, Ehud; Schwammenthal, Ehud; Klempfner, Robert; Maor, Elad] Aisap ai, Derech Sheba 2, IL-5266202 Ramat Gan, Israel; [Sudri, Karin] Sheba Med Ctr, ARC Innovat Ctr, Sagol AI Hub, Derech Sheba 2, IL-52621 Ramat Gan, Israel</t>
  </si>
  <si>
    <t>Tel Aviv University; Chaim Sheba Medical Center; Tel Aviv University; Mayo Clinic; Chaim Sheba Medical Center; Tel Aviv University</t>
  </si>
  <si>
    <t>Deep learning for atrioventricular regurgitation diagnosis: an external validation study</t>
  </si>
  <si>
    <t>EUROPEAN HEART JOURNAL - DIGITAL HEALTH</t>
  </si>
  <si>
    <t>Artificial intelligence; Machine learning; External validation; Echocardiography; Mitral regurgitation; Tricuspid regurgitation; Atrioventricular valve regurgitation</t>
  </si>
  <si>
    <t>NATIVE VALVULAR REGURGITATION; MITRAL REGURGITATION; HEART-DISEASE; REPRODUCIBILITY; RECOMMENDATIONS; SEVERITY; BURDEN</t>
  </si>
  <si>
    <t>Malins, Jeffrey/K-2174-2019; Maor, Elad/J-9157-2015; Klempfner, Robert/M-4989-2016</t>
  </si>
  <si>
    <t>Malins, Jeffrey/0000-0002-2932-256X; Maor, Elad/0000-0002-5087-0464</t>
  </si>
  <si>
    <t>OXFORD UNIV PRESS</t>
  </si>
  <si>
    <t>OXFORD</t>
  </si>
  <si>
    <t>GREAT CLARENDON ST, OXFORD OX2 6DP, ENGLAND</t>
  </si>
  <si>
    <t>2634-3916</t>
  </si>
  <si>
    <t>EUR HEART J-DIGIT HL</t>
  </si>
  <si>
    <t>Eur. Heart. J.-Digit. Health</t>
  </si>
  <si>
    <t>SEP 2025</t>
  </si>
  <si>
    <t>949</t>
  </si>
  <si>
    <t>958</t>
  </si>
  <si>
    <t>10.1093/ehjdh/ztaf078</t>
  </si>
  <si>
    <t>http://dx.doi.org/10.1093/ehjdh/ztaf078</t>
  </si>
  <si>
    <t>AUG 2025</t>
  </si>
  <si>
    <t>Cardiac &amp; Cardiovascular Systems</t>
  </si>
  <si>
    <t>Cardiovascular System &amp; Cardiology</t>
  </si>
  <si>
    <t>7NB8T</t>
  </si>
  <si>
    <t>40984997</t>
  </si>
  <si>
    <t>WOS:001543059200001</t>
  </si>
  <si>
    <t>Chaisangmongkon, W; Chamveha, I; Promwiset, T; Saiviroonporn, P; Tongdee, T</t>
  </si>
  <si>
    <t>Recent advances in machine learning have made it possible to create automated systems for medical image diagnosis. Cardiothoracic ratio (CTR) measurement, a common procedure for assessing cardiac abnormality in chest radiographs, has been investigated by several deep learning studies aiming to automate the process. However, of key consideration is whether automated CTR measurements by machine learning models can yield CTR values as accurately and consistently as trained human technicians on unseen data and thereby be considered trustworthy for clinical application. To assess this, we performed external validation of automated CTR algorithms on a dataset of 7,517 images, comparing four variants of U-Net architecture in heart and lung segmentations and CTR calculations: VGG-11, VGG-16, SegNet, and AlbuNet. We then benchmarked their performance against two human experts manually measuring CTR on the same images in a clinical setting such that we could equitably compare model-to-human variation against human-to-human variation. Our analysis shows that AlbuNet demonstrates human-level performance in CTR measurements, achieving MAPE of 2.38%, which is on par with human-to-human inter-rater variability (2.53%) when using the manual measurement method. The other three U-Net variants, particularly VGG-16, also performed similarly well. Additionally, we conducted an extreme outlier analysis on each model architecture, assessing the percentage of samples with higher measurement errors than the maximum error from the manual method. AlbuNet outperformed other architectures with only 0.35% occurrence of extreme outliers, while the other three U-Net variants ranged from 0.64% to 1.06% occurrence. Overall, the deep-learning-based algorithm was demonstrated to be as reliable as the manual method and shows strong potential for assisting radiologists in the CTR measurement process in clinical practice.</t>
  </si>
  <si>
    <t>Chaisangmongkon, Warasinee; Chamveha, Isarun; Promwiset, Tretap; Saiviroonporn, Pairash; Tongdee, Trongtum</t>
  </si>
  <si>
    <t>Chaisangmongkon, W (corresponding author), King Mongkuts Univ Technol Thonburi, Inst Field Robot, Bangkok 10140, Thailand.</t>
  </si>
  <si>
    <t>warasinee.cha@kmutt.ac.th</t>
  </si>
  <si>
    <t>[Chaisangmongkon, Warasinee] King Mongkuts Univ Technol Thonburi, Inst Field Robot, Bangkok 10140, Thailand; [Chamveha, Isarun; Promwiset, Tretap] Perceptra Co Ltd, Bangkok 10540, Thailand; [Saiviroonporn, Pairash; Tongdee, Trongtum] Mahidol Univ, Siriraj Hosp, Dept Radiol, Fac Med, Bangkok 10700, Thailand</t>
  </si>
  <si>
    <t>King Mongkuts University of Technology Thonburi; Mahidol University</t>
  </si>
  <si>
    <t>External Validation of Deep Learning Algorithms for Cardiothoracic Ratio Measurement</t>
  </si>
  <si>
    <t>IEEE ACCESS</t>
  </si>
  <si>
    <t>Image segmentation; Biomedical imaging; Heart; Lung; X-ray imaging; Deep learning; Biomedical measurement; Deep learning; convolutional neural network; chest X-ray; medical image analysis</t>
  </si>
  <si>
    <t>CHEST RADIOGRAPHS; U-NET; SEGMENTATION</t>
  </si>
  <si>
    <t>Chamveha, Isarun/0009-0000-5736-8090</t>
  </si>
  <si>
    <t>IEEE-INST ELECTRICAL ELECTRONICS ENGINEERS INC</t>
  </si>
  <si>
    <t>PISCATAWAY</t>
  </si>
  <si>
    <t>445 HOES LANE, PISCATAWAY, NJ 08855-4141 USA</t>
  </si>
  <si>
    <t>2169-3536</t>
  </si>
  <si>
    <t>IEEE Access</t>
  </si>
  <si>
    <t>2021</t>
  </si>
  <si>
    <t>110287</t>
  </si>
  <si>
    <t>110298</t>
  </si>
  <si>
    <t>10.1109/ACCESS.2021.3101253</t>
  </si>
  <si>
    <t>http://dx.doi.org/10.1109/ACCESS.2021.3101253</t>
  </si>
  <si>
    <t>Computer Science, Information Systems; Engineering, Electrical &amp; Electronic; Telecommunications</t>
  </si>
  <si>
    <t>Computer Science; Engineering; Telecommunications</t>
  </si>
  <si>
    <t>TY7QL</t>
  </si>
  <si>
    <t>WOS:000683975300001</t>
  </si>
  <si>
    <t>Blake, SR; Das, N; Tadepalli, M; Reddy, B; Singh, A; Agrawal, R; Chattoraj, S; Shah, DV; Putha, P</t>
  </si>
  <si>
    <t>Background: The chest radiograph (CXR) is the most frequently performed radiological examination worldwide. The increasing volume of CXRs performed in hospitals causes reporting backlogs and increased waiting times for patients, potentially compromising timely clinical intervention and patient safety. Implementing computer-aided detection (CAD) artificial intelligence (AI) algorithms capable of accurate and rapid CXR reporting could help address such limitations. A novel use for AI reporting is the classification of CXRs as 'abnormal' or 'normal'. This classification could help optimize resource allocation and aid radiologists in managing their time efficiently. Methods: qXR is a CE-marked computer-aided detection (CAD) software trained on over 4.4 million CXRs. In this retrospective cross-sectional pre-deployment study, we evaluated the performance of qXR in stratifying normal and abnormal CXRs. We analyzed 1040 CXRs from various referral sources, including general practices (GP), Accident and Emergency (A&amp;E) departments, and inpatient (IP) and outpatient (OP) settings at East Kent Hospitals University NHS Foundation Trust. The ground truth for the CXRs was established by assessing the agreement between two senior radiologists. Results: The CAD software had a sensitivity of 99.7% and a specificity of 67.4%. The sub-group analysis showed no statistically significant difference in performance across healthcare settings, age, gender, and X-ray manufacturer. Conclusions: The study showed that qXR can accurately stratify CXRs as normal versus abnormal, potentially reducing reporting backlogs and resulting in early patient intervention, which may result in better patient outcomes.</t>
  </si>
  <si>
    <t>Blake, Sarah R.; Das, Neelanjan; Tadepalli, Manoj; Reddy, Bhargava; Singh, Anshul; Agrawal, Rohitashva; Chattoraj, Subhankar; Shah, Dhruv; Putha, Preetham</t>
  </si>
  <si>
    <t>Das, N (corresponding author), East Kent Hosp Univ NHS Fdn Trust, Ashford TN24 OLZ, England.; Chattoraj, S (corresponding author), Qure ai, Mumbai 400063, Maharashtra, India.</t>
  </si>
  <si>
    <t>rohit.agrawal@qure.ai; preetham.putha@qure.ai; anshul.singh@qure.ai; dhruv.shah@qure.ai; bhargava.reddy@qure.ai; manoj.tadepalli@qure.ai; subhankar.chattoraj@qure.ai; neelandas@nhs.net; blake4@nhs.net</t>
  </si>
  <si>
    <t>East Kent Hospitals University NHS Foundation Trust Radiology and IT departments and Qure.ai</t>
  </si>
  <si>
    <t>The authors would like to thank East Kent Hospitals University NHS Foundation Trust Radiology and IT departments and Qure.ai for supporting this evaluation.</t>
  </si>
  <si>
    <t>[Blake, Sarah R.; Das, Neelanjan] East Kent Hosp Univ NHS Fdn Trust, Ashford TN24 OLZ, England; [Tadepalli, Manoj; Reddy, Bhargava; Singh, Anshul; Agrawal, Rohitashva; Chattoraj, Subhankar; Shah, Dhruv; Putha, Preetham] Qure ai, Mumbai 400063, Maharashtra, India</t>
  </si>
  <si>
    <t>Using Artificial Intelligence to Stratify Normal versus Abnormal Chest X-rays: External Validation of a Deep Learning Algorithm at East Kent Hospitals University NHS Foundation Trust</t>
  </si>
  <si>
    <t>DIAGNOSTICS</t>
  </si>
  <si>
    <t>computer-aided detection; deep learning; CXR; artificial intelligence; NHS Foundation Trust; qXR</t>
  </si>
  <si>
    <t>TUBERCULOSIS; ACCURACY</t>
  </si>
  <si>
    <t>Singh, Anshul/KFS-2298-2024; Chattoraj, Subhankar/AAN-6606-2020</t>
  </si>
  <si>
    <t>Agrawal, Rohitashva/0000-0003-3093-3007; Chattoraj, Subhankar/0000-0003-1218-0769; Reddy, Bhargava/0000-0001-7643-7346</t>
  </si>
  <si>
    <t>31</t>
  </si>
  <si>
    <t>ST ALBAN-ANLAGE 66, CH-4052 BASEL, SWITZERLAND</t>
  </si>
  <si>
    <t>2075-4418</t>
  </si>
  <si>
    <t>Diagnostics</t>
  </si>
  <si>
    <t>NOV 2023</t>
  </si>
  <si>
    <t>3408</t>
  </si>
  <si>
    <t>10.3390/diagnostics13223408</t>
  </si>
  <si>
    <t>http://dx.doi.org/10.3390/diagnostics13223408</t>
  </si>
  <si>
    <t>Y9DD2</t>
  </si>
  <si>
    <t>37998543</t>
  </si>
  <si>
    <t>WOS:001108183600001</t>
  </si>
  <si>
    <t>Overmars, LM; van Es, B; Groepenhoff, F; De Groot, MCH; Somsen, GA; Bots, SH; Tulevski, II; Hofstra, L; den Ruijter, HM; van Solinge, WW; Hoefer, I; Haitjema, S</t>
  </si>
  <si>
    <t>Background Exclusion of coronary stenosis in individuals with suggestive symptoms is challenging. Cardiac CT or coronary angiography is often used but is inefficient and costly and involves risks. Sex-stratified algorithms based on electronic health records (EHRs) could be a non-invasive alternative for excluding coronary stenosis, yet their performance may vary by healthcare settings. Thus, external validation is crucial for determining their generalisability. This study aimed to externally validate sex-stratified machine learning algorithms based on EHR data to predict the absence of coronary stenosis, evaluated in diverse clinical settings.Methods Sex-stratified XGBoost algorithms were trained on EHR data from patients who underwent coronary imaging at the University Medical Center Utrecht (n=14 674) and externally tested on EHR data of 13 Cardiology centres in the Netherlands (n=9252). The outcome was defined as the absence of coronary stenosis, identified through text mining of radiology report conclusions, and predictive performance was assessed by negative predictive values (NPVs) and specificities.Results On the training cohort (9298 men (median age 55 years, 73% no coronary stenosis) and 5376 women (median age 59 years, 83% no coronary stenosis)), the algorithms showed NPVs and specificities of 0.95 and 0.14 in men and 0.93 and 0.26 in women, respectively. On the testing cohort (4762 men (median age 60 years, 60% no coronary stenosis) and 4490 women (median age 60 years, 83% no coronary stenosis)), the algorithm showed NPVs and specificities of 0.89 and 0.07 in men and 0.87 and 0.18 in women, respectively.Conclusions This study externally validates sex-stratified machine learning algorithms using EHR data to non-invasively predict the absence of coronary stenosis, with high NPVs observed across settings. However, given the modest specificity and study limitations, these findings should be considered preliminary, warranting further refinement before clinical adoption.</t>
  </si>
  <si>
    <t>Overmars, L. Malin; van Es, Bram; Groepenhoff, Floor; De Groot, Mark C. H.; Somsen, G. Aernout; Bots, Sophie Heleen; Tulevski, I. Igor; Hofstra, Leonard; den Ruijter, Hester M.; van Solinge, Wouter W.; Hoefer, Imo; Haitjema, Saskia</t>
  </si>
  <si>
    <t>Overmars, LM (corresponding author), Univ Med Ctr Utrecht, Cent Diagnost Lab, Utrecht, Netherlands.</t>
  </si>
  <si>
    <t>s.h.bots@uu.nl; W.W.vanSolinge@umcutrecht.nl; s.haitjema@umcutrecht.nl; h.m.denruijter-2@umcutrecht.nl; l.m.overmars-2@umcutrecht.nl; I.I.Tulevski@cardiologiecentra.nl; i.hoefer@umcutrecht.nl; floorgroepenhoff@hotmail.com; g.a.somsen@cardiologiecentra.nl; b.vanes-3@umcutrecht.nl; m.c.h.degroot-3@umcutrecht.nl; l.hofstra@cardiologiecentra.nl</t>
  </si>
  <si>
    <t>Dutch Cardiovascular Alliance Consortium IMPRESS+ [2020B004]</t>
  </si>
  <si>
    <t>Dutch Cardiovascular Alliance Consortium IMPRESS+</t>
  </si>
  <si>
    <t>This project is part of the Dutch Cardiovascular Alliance Consortium IMPRESS+ (2020B004).</t>
  </si>
  <si>
    <t>[Overmars, L. Malin; van Es, Bram; De Groot, Mark C. H.; van Solinge, Wouter W.; Hoefer, Imo; Haitjema, Saskia] Univ Med Ctr Utrecht, Cent Diagnost Lab, Utrecht, Netherlands; [Groepenhoff, Floor; den Ruijter, Hester M.] Univ Med Ctr Utrecht, Expt Cardiol, Utrecht, Netherlands; [Somsen, G. Aernout] Cardiol Ctr Netherlands, Cardiol, Utrecht, Netherlands; [Bots, Sophie Heleen] Univ Utrecht, Utrecht Inst Pharmaceut Sci, Div Pharmacoepidemiol &amp; Clin Pharmacol, Utrecht, Netherlands; [Tulevski, I. Igor; Hofstra, Leonard] Cardiol Ctr Netherlands, Cardiol, Amsterdam, Netherlands; [Hofstra, Leonard] Amsterdam UMC VUmc, Dept Cardiol, Amsterdam, Noord Holland, Netherlands</t>
  </si>
  <si>
    <t>Utrecht University; Utrecht University Medical Center; Utrecht University; Utrecht University Medical Center; Utrecht University</t>
  </si>
  <si>
    <t>Optimising coronary imaging decisions with machine learning: an external validation study</t>
  </si>
  <si>
    <t>OPEN HEART</t>
  </si>
  <si>
    <t>Electronic Health Records; Diagnostic Imaging; Angina Pectoris; Chest Pain; Coronary Stenosis</t>
  </si>
  <si>
    <t>RISK PREDICTION; MODELS</t>
  </si>
  <si>
    <t>Somsen, GA/AAZ-2339-2020; de Groot, Mark/A-9891-2012; Bots, Sophie Heleen/LRB-5516-2024</t>
  </si>
  <si>
    <t>Van Solinge, Wouter/0000-0003-2867-2581; Overmars, Lisa Malin/0000-0001-7086-0864; Bots, Sophie Heleen/0000-0002-4483-5582</t>
  </si>
  <si>
    <t>BMJ PUBLISHING GROUP</t>
  </si>
  <si>
    <t>BRITISH MED ASSOC HOUSE, TAVISTOCK SQUARE, LONDON WC1H 9JR, ENGLAND</t>
  </si>
  <si>
    <t>2053-3624</t>
  </si>
  <si>
    <t>Open Heart</t>
  </si>
  <si>
    <t>APR 18 2025</t>
  </si>
  <si>
    <t>e003072</t>
  </si>
  <si>
    <t>10.1136/openhrt-2024-003072</t>
  </si>
  <si>
    <t>http://dx.doi.org/10.1136/openhrt-2024-003072</t>
  </si>
  <si>
    <t>1UZ2N</t>
  </si>
  <si>
    <t>40280592</t>
  </si>
  <si>
    <t>WOS:001474287700001</t>
  </si>
  <si>
    <t>Bacchi, S; Oakden-Rayner, L; Menon, DK; Moey, A; Jannes, J; Kleinig, T; Koblar, S</t>
  </si>
  <si>
    <t>Machine learning may be able to help with predicting factors that aid in discharge planning for stroke patients. This study aims to validate previously derived models, on external and prospective datasets, for the prediction of discharge modified Rankin scale (mRS), discharge destination, survival to discharge and length of stay. Data were collected from consecutive patients admitted with ischaemic or haemorrhagic stroke at the Royal Adelaide Hospital from September 2019 to January 2020, and at the Lyell McEwin Hospital from January 2017 to January 2020. The previously derived models were then applied to these datasets with three pre-defined cut-off scores (high-sensitivity, Youden's index, and high specificity) to return indicators of performance including area under the receiver operator curve (AUC), sensitivity and specificity. The number of individuals included in the prospective and external datasets were 334 and 824 respectively. The models performed well on both the prospective and external datasets in the prediction of discharge mRS &lt; 2 (AUC 0.85 and 0.87), discharge destination to home (AUC 0.76 and 0.78) and survival to discharge (AUC 0.91 and 0.92). Accurate prediction of length of stay with only admission data remains difficult (AUC 0.62 and 0.66). This study demonstrates successful prospective and external validation of machine learning models using six variables to predict information relevant to discharge planning for stroke patients. Further research is required to demonstrate patient or system benefits following implementation of these models. (c) 2021 Elsevier Ltd. All rights reserved.</t>
  </si>
  <si>
    <t>Bacchi, Stephen; Oakden-Rayner, Luke; Menon, David K.; Moey, Andrew; Jannes, Jim; Kleinig, Timothy; Koblar, Simon</t>
  </si>
  <si>
    <t>Science Citation Index Expanded (SCI-EXPANDED); Social Science Citation Index (SSCI)</t>
  </si>
  <si>
    <t>Bacchi, S (corresponding author), Royal Adelaide Hosp, Adelaide, SA 5000, Australia.</t>
  </si>
  <si>
    <t>stephen.bacchi@sa.gov.au</t>
  </si>
  <si>
    <t>[Bacchi, Stephen; Oakden-Rayner, Luke; Jannes, Jim; Kleinig, Timothy; Koblar, Simon] Royal Adelaide Hosp, Adelaide, SA 5000, Australia; [Bacchi, Stephen; Oakden-Rayner, Luke; Jannes, Jim; Kleinig, Timothy; Koblar, Simon] Univ Adelaide, Adelaide, SA 5005, Australia; [Bacchi, Stephen; Koblar, Simon] South Australian Hlth &amp; Med Res Inst, Adelaide, SA 5000, Australia; [Menon, David K.] Univ Cambridge, Div Anaesthesia, Cambridge CB2 0QQ, England; [Moey, Andrew] Lyell McEwin Hosp, Adelaide, SA 5112, Australia</t>
  </si>
  <si>
    <t>Royal Adelaide Hospital; Adelaide University; University of Adelaide; South Australian Health &amp; Medical Research Institute (SAHMRI); University of Cambridge; Lyell McEwin Hospital</t>
  </si>
  <si>
    <t>Prospective and external validation of stroke discharge planning machine learning models</t>
  </si>
  <si>
    <t>JOURNAL OF CLINICAL NEUROSCIENCE</t>
  </si>
  <si>
    <t>Logistic regression; Artificial neural network; Predictive analytics; Artificial intelligence; Length of stay; Functional independence</t>
  </si>
  <si>
    <t>PREDICTION</t>
  </si>
  <si>
    <t>Jannes, Jim/O-7906-2018; Menon, David/AEX-7615-2022; kleinig, Timothy/AFP-4371-2022</t>
  </si>
  <si>
    <t>kleinig, Timothy/0000-0003-4430-3276; Bacchi, Stephen/0000-0001-5130-8628</t>
  </si>
  <si>
    <t>ELSEVIER SCI LTD</t>
  </si>
  <si>
    <t>London</t>
  </si>
  <si>
    <t>125 London Wall, London, ENGLAND</t>
  </si>
  <si>
    <t>0967-5868</t>
  </si>
  <si>
    <t>1532-2653</t>
  </si>
  <si>
    <t>J CLIN NEUROSCI</t>
  </si>
  <si>
    <t>J. Clin. Neurosci.</t>
  </si>
  <si>
    <t>FEB 2022</t>
  </si>
  <si>
    <t>96</t>
  </si>
  <si>
    <t>80</t>
  </si>
  <si>
    <t>10.1016/j.jocn.2021.12.031</t>
  </si>
  <si>
    <t>http://dx.doi.org/10.1016/j.jocn.2021.12.031</t>
  </si>
  <si>
    <t>JAN 2022</t>
  </si>
  <si>
    <t>Clinical Neurology; Neurosciences</t>
  </si>
  <si>
    <t>0O9DJ</t>
  </si>
  <si>
    <t>34999495</t>
  </si>
  <si>
    <t>WOS:000783823200014</t>
  </si>
  <si>
    <t>Akerman, AP; Al-Roub, N; Angell-James, C; Cassidy, MA; Thompson, R; Bosque, L; Rainer, K; Hawkes, W; Piotrowska, H; Leeson, P; Woodward, G; Pellikka, PA; Upton, R; Strom, JB</t>
  </si>
  <si>
    <t>Artificial intelligence (AI) models to identify heart failure (HF) with preserved ejection fraction (HFpEF) based on deep-learning of echocardiograms could help address under-recognition in clinical practice, but they require extensive validation, particularly in representative and complex clinical cohorts for which they could provide most value. In this study enrolling patients with HFpEF (cases; n = 240), and age, sex, and year of echocardiogram matched controls (n = 256), we compare the diagnostic performance (discrimination, calibration, classification, and clinical utility) and prognostic associations (mortality and HF hospitalization) between an updated AI HFpEF model (EchoGo Heart Failure v2) and existing clinical scores (H2FPEF and HFA-PEFF). The AI HFpEF model and H2FPEF score demonstrate similar discrimination and calibration, but classification is higher with AI than H2FPEF and HFA-PEFF, attributable to fewer intermediate scores, due to discordant multivariable inputs. The continuous AI HFpEF model output adds information beyond the H2FPEF, and integration with existing scores increases correct management decisions. Those with a diagnostic positive result from AI have a two-fold increased risk of the composite outcome. We conclude that integrating an AI HFpEF model into the existing clinical diagnostic pathway would improve identification of HFpEF in complex clinical cohorts, and patients at risk of adverse outcomes.</t>
  </si>
  <si>
    <t>Akerman, Ashley P.; Al-Roub, Nora; Angell-James, Constance; Cassidy, Madeline A.; Thompson, Rasheed; Bosque, Lorenzo; Rainer, Katharine; Hawkes, William; Piotrowska, Hania; Leeson, Paul; Woodward, Gary; Pellikka, Patricia A.; Upton, Ross; Strom, Jordan B.</t>
  </si>
  <si>
    <t>Strom, JB (corresponding author), Beth Israel Deaconess Med Ctr, Richard A &amp; Susan F Smith Ctr Outcomes Res Cardiol, Div Cardiol, Boston, MA 02215 USA.</t>
  </si>
  <si>
    <t>jstrom@bidmc.harvard.edu</t>
  </si>
  <si>
    <t>U.S. Department of Health &amp; Human Services | NIH | National Heart, Lung, and Blood Institute (NHLBI); Ultromics Ltd. [1R01HL169517, 1R01HL173998, 1R01AG063937]; National Institutes of Health; Philips Healthcare; Bracco Diagnostics</t>
  </si>
  <si>
    <t>U.S. Department of Health &amp; Human Services | NIH | National Heart, Lung, and Blood Institute (NHLBI); Ultromics Ltd.; National Institutes of Health (United States Department of Health &amp; Human Services, National Institutes of Health (NIH) - USA); Philips Healthcare; Bracco Diagnostics</t>
  </si>
  <si>
    <t>We would like to thank the participants and their families for their participation in the study. This study was supported by an investigator-initiated award from Ultromics Ltd. J.B.S. is supported by the National Institutes of Health (1R01HL169517 [J.B.S.], 1R01HL173998 [J.B.S.], 1R01AG063937 [J.B.S.]) and research grants (to the institution) from Anumana, Philips Healthcare, EVERSANA Lifesciences, and Bracco Diagnostics.</t>
  </si>
  <si>
    <t>[Akerman, Ashley P.; Hawkes, William; Piotrowska, Hania; Leeson, Paul; Woodward, Gary; Upton, Ross] Ultromics Ltd, 4630 Kingsgate,Cascade Way,Oxford Business Pk Sout, Oxford OX4 2SU, England; [Al-Roub, Nora; Angell-James, Constance; Cassidy, Madeline A.; Rainer, Katharine; Strom, Jordan B.] Beth Israel Deaconess Med Ctr, Richard A &amp; Susan F Smith Ctr Outcomes Res Cardiol, Div Cardiol, Boston, MA 02215 USA; [Thompson, Rasheed] Howard Univ, Coll Med, Washington, DC USA; [Bosque, Lorenzo] Drexel Univ, Coll Med, Philadelphia, PA USA; [Pellikka, Patricia A.] Mayo Clin, Dept Cardiovasc Med, Rochester, MN USA</t>
  </si>
  <si>
    <t>Harvard University; Harvard University Medical Affiliates; Beth Israel Deaconess Medical Center; Howard University; Drexel University; Mayo Clinic</t>
  </si>
  <si>
    <t>External validation of artificial intelligence for detection of heart failure with preserved ejection fraction</t>
  </si>
  <si>
    <t>NATURE COMMUNICATIONS</t>
  </si>
  <si>
    <t>VENTRICULAR FILLING PRESSURES; TISSUE DOPPLER; ECHOCARDIOGRAPHY; RECOMMENDATIONS</t>
  </si>
  <si>
    <t>Akerman, Ashley/ABF-5064-2020; Pellikka, Patricia/N-5387-2014; Leeson, Paul/K-6964-2012; Upton, Ross/MTD-1063-2025; Woodward, Gary/A-1470-2010</t>
  </si>
  <si>
    <t>Leeson, Paul/0000-0001-9181-9297</t>
  </si>
  <si>
    <t>40</t>
  </si>
  <si>
    <t>NATURE PORTFOLIO</t>
  </si>
  <si>
    <t>BERLIN</t>
  </si>
  <si>
    <t>HEIDELBERGER PLATZ 3, BERLIN, 14197, GERMANY</t>
  </si>
  <si>
    <t>2041-1723</t>
  </si>
  <si>
    <t>NAT COMMUN</t>
  </si>
  <si>
    <t>Nat. Commun.</t>
  </si>
  <si>
    <t>MAR 25 2025</t>
  </si>
  <si>
    <t>16</t>
  </si>
  <si>
    <t>2915</t>
  </si>
  <si>
    <t>10.1038/s41467-025-58283-7</t>
  </si>
  <si>
    <t>http://dx.doi.org/10.1038/s41467-025-58283-7</t>
  </si>
  <si>
    <t>Multidisciplinary Sciences</t>
  </si>
  <si>
    <t>Science &amp; Technology - Other Topics</t>
  </si>
  <si>
    <t>0OW2O</t>
  </si>
  <si>
    <t>40133291</t>
  </si>
  <si>
    <t>WOS:001452497500021</t>
  </si>
  <si>
    <t>Siontis, KC; Wieczorek, MA; Maanja, M; Hodge, DO; Kim, HK; Lee, HJ; Lee, H; Lim, J; Park, CS; Ariga, R; Raman, B; Mahmod, M; Watkins, H; Neubauer, S; Windecker, S; Siontis, GCM; Gersh, BJ; Ackerman, MJ; Attia, ZI; Friedman, PA; Noseworthy, PA</t>
  </si>
  <si>
    <t>Aims Recently, deep learning artificial intelligence (AI) models have been trained to detect cardiovascular conditions, including hypertrophic cardiomyopathy (HCM), from the 12-lead electrocardiogram (ECG). In this external validation study, we sought to assess the performance of an AI-ECG algorithm for detecting HCM in diverse international cohorts. Methods and results A convolutional neural network-based AI-ECG algorithm was developed previously in a single-centre North American HCM cohort (Mayo Clinic). This algorithm was applied to the raw 12-lead ECG data of patients with HCM and non-HCM controls from three external cohorts (Bern, Switzerland; Oxford, UK; and Seoul, South Korea). The algorithm's ability to distinguish HCM vs. non-HCM status from the ECG alone was examined. A total of 773 patients with HCM and 3867 non-HCM controls were included across three sites in the merged external validation cohort. The HCM study sample comprised 54.6% East Asian, 43.2% White, and 2.2% Black patients. Median AI-ECG probabilities of HCM were 85% for patients with HCM and 0.3% for controls (P &lt; 0.001). Overall, the AI-ECG algorithm had an area under the receiver operating characteristic curve (AUC) of 0.922 [95% confidence interval (CI) 0.910-0.934], with diagnostic accuracy 86.9%, sensitivity 82.8%, and specificity 87.7% for HCM detection. In age- and sex-matched analysis (case-control ratio 1:2), the AUC was 0.921 (95% CI 0.909-0.934) with accuracy 88.5%, sensitivity 82.8%, and specificity 90.4%. Conclusion The AI-ECG algorithm determined HCM status from the 12-lead ECG with high accuracy in diverse international cohorts, providing evidence for external validity. The value of this algorithm in improving HCM detection in clinical practice and screening settings requires prospective evaluation.</t>
  </si>
  <si>
    <t>Siontis, Konstantinos C.; Wieczorek, Mikolaj A.; Maanja, Maren; Hodge, David O.; Kim, Hyung-Kwan; Lee, Hyun-Jung; Lee, Heesun; Lim, Jaehyun; Park, Chan Soon; Ariga, Rina; Raman, Betty; Mahmod, Masliza; Watkins, Hugh; Neubauer, Stefan; Windecker, Stephan; Siontis, George C. M.; Gersh, Bernard J.; Ackerman, Michael J.; Attia, Zachi, I; Friedman, Paul A.; Noseworthy, Peter A.</t>
  </si>
  <si>
    <t>Siontis, KC (corresponding author), Mayo Clin, Dept Cardiovasc Med, 200 First St SW, Rochester, MN 55905 USA.</t>
  </si>
  <si>
    <t>siontis.konstantinos@mayo.edu</t>
  </si>
  <si>
    <t>Department of Cardiovascular Medicine, Mayo Clinic, Rochester, MN, USA</t>
  </si>
  <si>
    <t>Funding support for data management and statistical analyses was provided by the Department of Cardiovascular Medicine, Mayo Clinic, Rochester, MN, USA.</t>
  </si>
  <si>
    <t>[Siontis, Konstantinos C.; Maanja, Maren; Gersh, Bernard J.; Ackerman, Michael J.; Attia, Zachi, I; Friedman, Paul A.; Noseworthy, Peter A.] Mayo Clin, Dept Cardiovasc Med, 200 First St SW, Rochester, MN 55905 USA; [Wieczorek, Mikolaj A.; Hodge, David O.] Mayo Clin, Dept Quantitat Hlth Sci, 4500 San Pablo Rd S, Jacksonville, FL 32224 USA; [Maanja, Maren] Karolinska Univ Hosp, Karolinska Inst, Dept Clin Physiol, Eugeniavagen 3, Solna, Sweden; [Kim, Hyung-Kwan; Lee, Hyun-Jung; Lee, Heesun; Lim, Jaehyun; Park, Chan Soon] Seoul Natl Univ, Dept Internal Med, Coll Med, 103 Daehak ro, Seoul, South Korea; [Kim, Hyung-Kwan; Lee, Hyun-Jung; Lim, Jaehyun; Park, Chan Soon] Seoul Natl Univ Hosp, Cardiovasc Ctr, Div Cardiol, 103 Daehak Ro, Seoul, South Korea; [Lee, Heesun] Seoul Natl Univ Hosp, Healthcare Syst Gangnam Ctr, 152 Tehran St, Seoul, South Korea; [Mahmod, Masliza; Watkins, Hugh; Neubauer, Stefan] Univ Oxford, John Radcliffe Hosp, Radcliffe Dept Med, Div Cardiovasc Med, Headley Way, Oxford OX3 9DU, England; [Windecker, Stephan; Siontis, George C. M.] Univ Bern, Bern Univ Hosp, Dept Cardiol, Freiburgstr 20, CH-3010 Bern, Switzerland; [Ackerman, Michael J.] Mayo Clin, Dept Pediat &amp; Adolescent Med, Div Pediat Cardiol, Windland Smith Rice Genet Heart Rhythm Clin, 200 First St SW, Rochester, MN 55905 USA; [Ackerman, Michael J.] Mayo Clin, Dept Mol Pharmacol &amp; Expt Therapeut, Windland Smith Rice Sudden Death Genom Lab, 200 First St SW, Rochester, MN 55905 USA</t>
  </si>
  <si>
    <t>Mayo Clinic; Mayo Clinic; Karolinska Institutet; Karolinska University Hospital; Seoul National University (SNU); Seoul National University (SNU); Seoul National University Hospital; Seoul National University (SNU); Seoul National University Hospital; University of Oxford; University of Bern; University Hospital of Bern; Mayo Clinic; Mayo Clinic</t>
  </si>
  <si>
    <t>Hypertrophic cardiomyopathy detection with artificial intelligence electrocardiography in international cohorts: an external validation study</t>
  </si>
  <si>
    <t>Hypertrophic cardiomyopathy; Electrocardiogram; Artificial intelligence</t>
  </si>
  <si>
    <t>MULTIVARIABLE PREDICTION MODEL; LEFT-VENTRICULAR HYPERTROPHY; SUDDEN CARDIAC DEATH; INDIVIDUAL PROGNOSIS; GENERAL-POPULATION; LEARNING APPROACH; EUROPEAN-SOCIETY; DIAGNOSIS TRIPOD; CRITERIA; ECG</t>
  </si>
  <si>
    <t>Kim, Hyung-Kwan/ITU-6159-2023; Lim, Jaehyun/QIR-7977-2026; Attia, Zachi/AAI-2497-2019; Raman, Betty/AAF-1879-2021; Wieczorek, Mikolaj Andrzej/OIT-2857-2025; Windecker, Stephan/NLO-5414-2025; Neubauer, Stefan/B-8448-2011</t>
  </si>
  <si>
    <t>Kim, Hyung-Kwan/0000-0001-7950-2131; Lee, Heesun/0000-0003-4037-3955; Wieczorek, Mikolaj Andrzej/0000-0002-7879-9727</t>
  </si>
  <si>
    <t>MAY 2 2024</t>
  </si>
  <si>
    <t>416</t>
  </si>
  <si>
    <t>426</t>
  </si>
  <si>
    <t>10.1093/ehjdh/ztae029</t>
  </si>
  <si>
    <t>http://dx.doi.org/10.1093/ehjdh/ztae029</t>
  </si>
  <si>
    <t>APR 2024</t>
  </si>
  <si>
    <t>A2G4Q</t>
  </si>
  <si>
    <t>39081936</t>
  </si>
  <si>
    <t>WOS:001216710300001</t>
  </si>
  <si>
    <t>Swan, KZ; Thomas, J; Nielsen, VE; Jespersen, ML; Bonnema, SJ</t>
  </si>
  <si>
    <t>Background: Artificial intelligence algorithms could be used to risk-stratify thyroid nodules and may reduce the subjectivity of ultrasonography. One such algorithm is AIBx which has shown good performance. However, external validation is crucial prior to clinical implementation. Materials and methods: Patients harboring thyroid nodules 1-4 cm in size, undergoing thyroid surgery from 2014 to 2016 in a single institution, were included. A histological diagnosis was obtained in all cases. Medullary thyroid cancer, metastasis from other cancers, thyroid lymphomas, and purely cystic nodules were excluded. Retrospectively, transverse ultrasound images of the nodules were analyzed by AIBx, and the results were compared with histopathology and Thyroid Imaging Reporting and Data System (TIRADS), calculated by experienced physicians. Results: Out of 329 patients, 257 nodules from 209 individuals met the eligibility criteria. Fifty-one nodules (20%) were malignant. AIBx had a negative predictive value (NPV) of 89.2%. Sensitivity, specificity, and positive predictive values (PPV) were 78.4, 44.2, and 25.8%, respectively. Considering both TIRADS 4 and TIRADS 5 nodules as malignant lesions resulted in an NPV of 93.0%, while PPV and specificity were only 22.4 and 19.4%, respectively. By combining AIBx with TIRADS, no malignant nodules were overlooked. Conclusion: When applied to ultrasound images obtained in a different setting than used for training, AIBx had comparable NPVs to TIRADS. AIBx performed even better when combined with TIRADS, thus reducing false negative assessments. These data support the concept of AIBx for thyroid nodules, and this tool may help less experienced operators by reducing the subjectivity inherent to thyroid ultrasound interpretation.</t>
  </si>
  <si>
    <t>Swan, Kristine Z.; Thomas, Johnson; Nielsen, Viveque E.; Jespersen, Marie Louise; Bonnema, Steen J.</t>
  </si>
  <si>
    <t>Swan, KZ (corresponding author), Aarhus Univ Hosp, Dept ORL Head and Neck Surg, Aarhus, Denmark.</t>
  </si>
  <si>
    <t>kristineswan@dadlnet.dk</t>
  </si>
  <si>
    <t>[Swan, Kristine Z.] Aarhus Univ Hosp, Dept ORL Head and Neck Surg, Aarhus, Denmark; [Thomas, Johnson] Mercy Hosp, Dept Endocrinol, Springfield, MO USA; [Nielsen, Viveque E.] Odense Univ Hosp, Dept ORL Head and Neck Surg, Odense, Denmark; [Jespersen, Marie Louise] Aarhus Univ Hosp, Dept Pathol, Aarhus, Denmark; [Bonnema, Steen J.] Odense Univ Hosp, Dept Endocrinol, Odense, Denmark</t>
  </si>
  <si>
    <t>Aarhus University; University of Southern Denmark; Odense University Hospital; Aarhus University; University of Southern Denmark; Odense University Hospital</t>
  </si>
  <si>
    <t>External validation of AIBx, an artificial intelligence model for risk stratification, in thyroid nodules</t>
  </si>
  <si>
    <t>EUROPEAN THYROID JOURNAL</t>
  </si>
  <si>
    <t>thyroid nodules; ultrasound; artificial intelligence; TIRADS</t>
  </si>
  <si>
    <t>DATA SYSTEM; ASSOCIATION GUIDELINES; MALIGNANCY RISK; PERFORMANCE; CANCER; TIRADS</t>
  </si>
  <si>
    <t>Thomas, Johnson/AAA-5466-2022; Bonnema, Steen/AAI-4973-2021</t>
  </si>
  <si>
    <t>Bonnema, Steen/0000-0002-6898-1752; Swan, Kristine Zøylner/0000-0003-2958-5279</t>
  </si>
  <si>
    <t>23</t>
  </si>
  <si>
    <t>BIOSCIENTIFICA LTD</t>
  </si>
  <si>
    <t>BRISTOL</t>
  </si>
  <si>
    <t>STARLING HOUSE, 1600 BRISTOL PARKWAY N, BRISTOL, ENGLAND</t>
  </si>
  <si>
    <t>2235-0640</t>
  </si>
  <si>
    <t>2235-0802</t>
  </si>
  <si>
    <t>EUR THYROID J</t>
  </si>
  <si>
    <t>Eur. Thyroid J.</t>
  </si>
  <si>
    <t>APR 1 2022</t>
  </si>
  <si>
    <t>e210129</t>
  </si>
  <si>
    <t>10.1530/ETJ-21-0129</t>
  </si>
  <si>
    <t>http://dx.doi.org/10.1530/ETJ-21-0129</t>
  </si>
  <si>
    <t>Endocrinology &amp; Metabolism</t>
  </si>
  <si>
    <t>1Y9NL</t>
  </si>
  <si>
    <t>35113036</t>
  </si>
  <si>
    <t>WOS:000808463200004</t>
  </si>
  <si>
    <t>Bowness, JS; Laurent, DBS; Hernandez, N; Keane, PA; Lobo, C; Margetts, S; Moka, E; Pawa, A; Rosenblatt, M; Sleep, N; Taylor, A; Woodworth, G; Vasalauskaite, A; Noble, JA; Higham, H</t>
  </si>
  <si>
    <t>Background: Ultrasonound is used to identify anatomical structures during regional anaesthesia and to guide needle insertion and injection of local anaesthetic. ScanNav Anatomy Peripheral Nerve Block (Intelligent Ultrasound, Cardiff, UK) is an artificial intelligence-based device that produces a colour overlay on real-time B-mode ultrasound to highlight anatomical structures of interest. We evaluated the accuracy of the artificial-intelligence colour overlay and its perceived influence on risk of adverse events or block failure. Methods: Ultrasound-guided regional anaesthesia experts acquired 720 videos from 40 volunteers (across nine anatomical regions) without using the device. The artificial-intelligence colour overlay was subsequently applied. Three more experts independently reviewed each video (with the original unmodified video) to assess accuracy of the colour overlay in relation to key anatomical structures (true positive/negative and false positive/negative) and the potential for highlighting to modify perceived risk of adverse events (needle trauma to nerves, arteries, pleura, and peritoneum) or block failure.Results: The artificial-intelligence models identified the structure of interest in 93.5% of cases (1519/1624), with a false-negative rate of 3.0% (48/1624) and a false-positive rate of 3.5% (57/1624). Highlighting was judged to reduce the risk of unwanted needle trauma to nerves, arteries, pleura, and peritoneum in 62.9-86.4% of cases (302/480 to 345/400), and to increase the risk in 0.0-1.7% (0/160 to 8/480). Risk of block failure was reported to be reduced in 81.3% of scans (585/720) and to be increased in 1.8% (13/720).Conclusions: Artificial intelligence-based devices can potentially aid image acquisition and interpretation in ultrasound -guided regional anaesthesia. Further studies are necessary to demonstrate their effectiveness in supporting training and clinical practice.Clinical trial registration: NCT04906018.</t>
  </si>
  <si>
    <t>Bowness, James S.; Burckett-St Laurent, David; Hernandez, Nadia; Keane, Pearse A.; Lobo, Clara; Margetts, Steve; Moka, Eleni; Pawa, Amit; Rosenblatt, Meg; Sleep, Nick; Taylor, Alasdair; Woodworth, Glenn; Vasalauskaite, Asta; Noble, J. Alison; Higham, Helen</t>
  </si>
  <si>
    <t>Bowness, JS (corresponding author), Univ Oxford, Oxford Simulat Teaching &amp; Res Ctr, Oxford, England.; Bowness, JS (corresponding author), Aneurin Bevan Univ Hlth Board, Dept Anaesthesia, Newport, Wales.</t>
  </si>
  <si>
    <t>james.bowness@jesus.ox.ac.uk</t>
  </si>
  <si>
    <t>Intelligent Ultrasound Limited (Cardiff, UK) [R70327/CN002]; FLF [MR/T019050/1] Funding Source: UKRI</t>
  </si>
  <si>
    <t>Intelligent Ultrasound Limited (Cardiff, UK); FLF (UK Research &amp; Innovation (UKRI))</t>
  </si>
  <si>
    <t>Intelligent Ultrasound Limited (Cardiff, UK) via a grant to JSB administered by the University of Oxford (R70327/CN002) .</t>
  </si>
  <si>
    <t>[Bowness, James S.; Higham, Helen] Univ Oxford, Oxford Simulat Teaching &amp; Res Ctr, Oxford, England; [Bowness, James S.] Aneurin Bevan Univ Hlth Board, Dept Anaesthesia, Newport, Wales; [Burckett-St Laurent, David] Royal Cornwall Hosp NHS Trust, Dept Anaesthesia, Truro, England; [Hernandez, Nadia] Mem Hermann Hosp, Texas Med Ctr, Dept Anesthesiol, Houston, TX USA; [Keane, Pearse A.] UCL, Inst Ophthalmol, Fac Brain Sci, London, England; [Keane, Pearse A.] Moorfields Eye Hosp NHS Fdn Trust, Natl Inst Hlth &amp; Care Res Biomed Res Ctr, London, England; [Lobo, Clara] Cleveland Clin Abu Dhabi, Anesthesiol Inst, Abu Dhabi, U Arab Emirates; [Margetts, Steve; Sleep, Nick; Vasalauskaite, Asta] Intelligent Ultrasound, Cardiff, Wales; [Moka, Eleni] Creta Interclin Hosp, Anaesthesiol Dept, Hellen Healthcare Grp, Iraklion, Crete, Greece; [Pawa, Amit] Guys &amp; St Thomas Hosp NHS Trust, Dept Anaesthesia, London, England; [Pawa, Amit] Kings Coll London, Fac Life Sci &amp; Med, London, England; [Rosenblatt, Meg] Mt Sinai Morningside &amp; West Hosp, Dept Anesthesiol Perioperat &amp; Pain Med, New York, NY USA; [Taylor, Alasdair] NHS Tayside, Dept Anaesthesia, Dundee, Scotland; [Woodworth, Glenn] Oregon Hlth &amp; Sci Univ, Dept Anesthesiol &amp; Perioperat Med, Portland, OR USA; [Noble, J. Alison] Univ Oxford, Inst Biomed Engn, Oxford, England; [Higham, Helen] Oxford Univ Hosp NHS Fdn Trust, Dept Anaesthesia, Oxford, England</t>
  </si>
  <si>
    <t>University of Oxford; Royal Cornwall Hospital; Baylor College of Medicine; University of Texas System; University of Texas Health Science Center Houston; Baylor College Medical Hospital; University of London; University College London; University of London; University College London; Moorfields Eye Hospital NHS Foundation Trust; Cleveland Clinic Foundation; Guy's &amp; St Thomas' NHS Foundation Trust; University of London; King's College London; University of Dundee; Oregon Health &amp; Science University; University of Oxford; Oxford University Hospitals NHS Foundation Trust</t>
  </si>
  <si>
    <t>Assistive artificial intelligence for ultrasound image interpretation in regional anaesthesia: an external validation study</t>
  </si>
  <si>
    <t>BRITISH JOURNAL OF ANAESTHESIA</t>
  </si>
  <si>
    <t>anatomy; artificial intelligence; machine learning; regional anaesthesia; translational AI; ultrasonography; ultrasound</t>
  </si>
  <si>
    <t>AMERICAN SOCIETY; PAIN MEDICINE; NERVE</t>
  </si>
  <si>
    <t>Noble, Alison/QWC-2585-2026; Higham, Helen/IUQ-5329-2023; Pawa, Amit/AAX-9546-2020</t>
  </si>
  <si>
    <t>Higham, Helen/0000-0001-5796-0377; Pawa, Amit/0000-0002-2404-9162; Lobo, Clara/0000-0003-1084-8251; Moka, Eleni/0000-0003-3412-4178; Bowness, James/0000-0002-8665-1984; Keane, Pearse/0000-0002-9239-745X</t>
  </si>
  <si>
    <t>76</t>
  </si>
  <si>
    <t>0007-0912</t>
  </si>
  <si>
    <t>1471-6771</t>
  </si>
  <si>
    <t>BRIT J ANAESTH</t>
  </si>
  <si>
    <t>Br. J. Anaesth.</t>
  </si>
  <si>
    <t>FEB 2023</t>
  </si>
  <si>
    <t>130</t>
  </si>
  <si>
    <t>217</t>
  </si>
  <si>
    <t>225</t>
  </si>
  <si>
    <t>10.1016/j.bja.2022.06.031</t>
  </si>
  <si>
    <t>http://dx.doi.org/10.1016/j.bja.2022.06.031</t>
  </si>
  <si>
    <t>JAN 2023</t>
  </si>
  <si>
    <t>Anesthesiology</t>
  </si>
  <si>
    <t>C4MO5</t>
  </si>
  <si>
    <t>35987706</t>
  </si>
  <si>
    <t>WOS:000961675800001</t>
  </si>
  <si>
    <t>Patel, NN</t>
  </si>
  <si>
    <t>Artificial intelligence (AI) and machine learning (ML) have demonstrated strong diagnostic and prognostic performance across cardiovascular medicine. However, translation into equitable real-world benefit is limited by algorithmic bias, inadequate external validation, and unclear implementation pathways. This Stateof-the-Art Review evaluates these challenges using the Total Product Life Cycle (TPLC) framework, encompassing development, validation, regulatory approval, deployment, and post-market surveillance. We synthesize current literature on bias mechanisms, validation strategies, and real-world implementation, and critically assess emerging technical solutions, including federated learning and explainable AI. Bias enters at multiple lifecycle stages through unrepresentative data, flawed labels, measurement variability, and deployment mismatch. Most cardiovascular AI models rely on limited external validation, often lacking geographic or domain generalizability. A 2025 analysis of 691 FDA-cleared AI/ML devices showed 95.5% lacked demographic transparency and only 1.6% had randomized trial evidence. Implementation barriers include dataset shift, regulatory gaps, and inequitable access, with limited prospective outcome data supporting clinical benefit. Current cardiovascular AI deployment is not matched by sufficient evidence for safety, equity, and effectiveness. A TPLC-aligned framework with rigorous validation, demographic transparency, and continuous post-market monitoring is essential to ensure equitable and clinically meaningful integration of AI into cardiovascular care. (c) 2026 Elsevier Inc. All rights are reserved, including those for text and data mining, AI training, and similar technologies.</t>
  </si>
  <si>
    <t>Patel, Neel Navinkumar</t>
  </si>
  <si>
    <t>Patel, NN (corresponding author), Univ Tennessee, Hlth Sci Ctr, Nashville, TN 37996 USA.</t>
  </si>
  <si>
    <t>neelnavinkumarpatel@gmail.com</t>
  </si>
  <si>
    <t>[Patel, Neel Navinkumar] Univ Tennessee, Hlth Sci Ctr, Nashville, TN 37996 USA</t>
  </si>
  <si>
    <t>University of Tennessee System; University of Tennessee Health Science Center; University of Tennessee Knoxville</t>
  </si>
  <si>
    <t>Bias, External Validation, and Real-World Implementation of Artificial Intelligence Models in Cardiovascular Medicine</t>
  </si>
  <si>
    <t>AMERICAN JOURNAL OF CARDIOLOGY</t>
  </si>
  <si>
    <t>artificial intelligence; machine learning; cardiovascular disease; algorithmic bias; external validation; health disparities; implementation science</t>
  </si>
  <si>
    <t>HEALTH; RISK</t>
  </si>
  <si>
    <t>Patel, Neel/Q-1457-2018</t>
  </si>
  <si>
    <t>41</t>
  </si>
  <si>
    <t>EXCERPTA MEDICA INC-ELSEVIER SCIENCE INC</t>
  </si>
  <si>
    <t>BRIDGEWATER</t>
  </si>
  <si>
    <t>685 ROUTE 202-206 STE 3, BRIDGEWATER, NJ 08807 USA</t>
  </si>
  <si>
    <t>0002-9149</t>
  </si>
  <si>
    <t>1879-1913</t>
  </si>
  <si>
    <t>AM J CARDIOL</t>
  </si>
  <si>
    <t>Am. J. Cardiol.</t>
  </si>
  <si>
    <t>AUG 15 2026</t>
  </si>
  <si>
    <t>273</t>
  </si>
  <si>
    <t>56</t>
  </si>
  <si>
    <t>10.1016/j.amjcard.2026.06.005</t>
  </si>
  <si>
    <t>http://dx.doi.org/10.1016/j.amjcard.2026.06.005</t>
  </si>
  <si>
    <t>KQ7YF</t>
  </si>
  <si>
    <t>42264287</t>
  </si>
  <si>
    <t>WOS:001813385100001</t>
  </si>
  <si>
    <t>Eng, D; Chute, C; Khandwala, N; Rajpurkar, P; Long, J; Shleifer, S; Khalaf, MH; Sandhu, AT; Rodriguez, F; Maron, DJ; Seyyedi, S; Marin, D; Golub, I; Budoff, M; Kitamura, F; Takahashi, MS; Filice, RW; Shah, RJ; Mongan, J; Kallianos, K; Langlotz, CP; Lungren, MP; Ng, AY; Patel, BN</t>
  </si>
  <si>
    <t>Coronary artery disease (CAD), the most common manifestation of cardiovascular disease, remains the most common cause of mortality in the United States. Risk assessment is key for primary prevention of coronary events and coronary artery calcium (CAC) scoring using computed tomography (CT) is one such non-invasive tool. Despite the proven clinical value of CAC, the current clinical practice implementation for CAC has limitations such as the lack of insurance coverage for the test, need for capital-intensive CT machines, specialized imaging protocols, and accredited 3D imaging labs for analysis (including personnel and software). Perhaps the greatest gap is the millions of patients who undergo routine chest CT exams and demonstrate coronary artery calcification, but their presence is not often reported or quantitation is not feasible. We present two deep learning models that automate CAC scoring demonstrating advantages in automated scoring for both dedicated gated coronary CT exams and routine non-gated chest CTs performed for other reasons to allow opportunistic screening. First, we trained a gated coronary CT model for CAC scoring that showed near perfect agreement (mean difference in scores = -2.86; Cohen's Kappa = 0.89, P &lt; 0.0001) with current conventional manual scoring on a retrospective dataset of 79 patients and was found to perform the task faster (average time for automated CAC scoring using a graphics processing unit (GPU) was 3.5 +/- 2.1 s vs. 261 s for manual scoring) in a prospective trial of 55 patients with little difference in scores compared to three technologists (mean difference in scores = 3.24, 5.12, and 5.48, respectively). Then using CAC scores from paired gated coronary CT as a reference standard, we trained a deep learning model on our internal data and a cohort from the Multi-Ethnic Study of Atherosclerosis (MESA) study (total training n = 341, Stanford test n = 42, MESA test n = 46) to perform CAC scoring on routine non-gated chest CT exams with validation on external datasets (total n = 303) obtained from four geographically disparate health systems. On identifying patients with any CAC (i.e., CAC &gt;= 1), sensitivity and PPV was high across all datasets (ranges: 80-100% and 87-100%, respectively). For CAC &gt;= 100 on routine non-gated chest CTs, which is the latest recommended threshold to initiate statin therapy, our model showed sensitivities of 71-94% and positive predictive values in the range of 88-100% across all the sites. Adoption of this model could allow more patients to be screened with CAC scoring, potentially allowing opportunistic early preventive interventions.</t>
  </si>
  <si>
    <t>Eng, David; Chute, Christopher; Khandwala, Nishith; Rajpurkar, Pranav; Long, Jin; Shleifer, Sam; Khalaf, Mohamed H.; Sandhu, Alexander T.; Rodriguez, Fatima; Maron, David J.; Seyyedi, Saeed; Marin, Daniele; Golub, Ilana; Budoff, Matthew; Kitamura, Felipe; Takahashi, Marcelo Straus; Filice, Ross W.; Shah, Rajesh; Mongan, John; Kallianos, Kimberly; Langlotz, Curtis P.; Lungren, Matthew P.; Ng, Andrew Y.; Patel, Bhavik N.</t>
  </si>
  <si>
    <t>Patel, BN (corresponding author), Mayo Clin, Dept Radiol, Scottsdale, AZ 85259 USA.</t>
  </si>
  <si>
    <t>patel.bhavik@mayo.edu</t>
  </si>
  <si>
    <t>NHLBI NIH HHS [K01 HL144607] Funding Source: Medline; National Institute on Aging [P30AG059307] Funding Source: NIH RePORTER</t>
  </si>
  <si>
    <t>NHLBI NIH HHS (United States Department of Health &amp; Human Services, National Institutes of Health (NIH) - USA, NIH National Heart Lung &amp; Blood Institute (NHLBI)); National Institute on Aging (United States Department of Health &amp; Human Services, National Institutes of Health (NIH) - USA, NIH National Institute on Aging (NIA))</t>
  </si>
  <si>
    <t>[Eng, David; Chute, Christopher; Rajpurkar, Pranav; Shleifer, Sam; Ng, Andrew Y.] Stanford Univ, Sch Med, Dept Comp Sci, Stanford, CA 94305 USA; [Eng, David; Khandwala, Nishith] Bunkerhill, Palo Alto, CA USA; [Long, Jin] Stanford Univ, Sch Med, Dept Pediat, Stanford, CA 94305 USA; [Khalaf, Mohamed H.; Seyyedi, Saeed; Langlotz, Curtis P.; Lungren, Matthew P.] Stanford Univ, Sch Med, Dept Radiol, Stanford, CA 94305 USA; [Sandhu, Alexander T.; Rodriguez, Fatima; Maron, David J.] Stanford Univ, Sch Med, Div Cardiovasc Med, Palo Alto, CA 94304 USA; [Sandhu, Alexander T.; Rodriguez, Fatima; Maron, David J.] Stanford Univ, Sch Med, Dept Med, Stanford Prevent Res Ctr, Palo Alto, CA 94304 USA; [Marin, Daniele] Duke Univ, Med Ctr, Dept Radiol, Durham, NC 27710 USA; [Golub, Ilana; Budoff, Matthew] Harbor UCLA Med Ctr, Lundquist Inst, Torrance, CA 90509 USA; [Kitamura, Felipe; Takahashi, Marcelo Straus] Diagnost Amer SA Dasa, Alphaville Barueri, SP, Brazil; [Kitamura, Felipe] Univ Fed Sao Paulo Unifesp, Dept Diagnost Imaging, Sao Paulo, SP, Brazil; [Filice, Ross W.] MedStar Georgetown Univ Hosp, Dept Radiol, Washington, DC USA; [Shah, Rajesh] VA Palo Alto Hlth Care Syst, Radiol Serv, Palo Alto, CA USA; [Mongan, John; Kallianos, Kimberly] Univ Calif San Francisco, Sch Med, Dept Radiol &amp; Biomed Imaging, San Francisco, CA USA; [Mongan, John; Kallianos, Kimberly] Univ Calif San Francisco, Sch Med, Ctr Intelligent Imaging, San Francisco, CA USA; [Patel, Bhavik N.] Mayo Clin, Dept Radiol, Scottsdale, AZ 85259 USA</t>
  </si>
  <si>
    <t>Stanford University; Stanford Medicine; Stanford University; Stanford Medicine; Stanford Medicine; Stanford University; Stanford Medicine; Stanford University; Stanford University; Stanford Medicine; Duke University; University of California System; University of California Los Angeles; University of California Los Angeles Medical Center; Universidade Federal de Sao Paulo (UNIFESP); Georgetown University; US Department of Veterans Affairs; Veterans Health Administration (VHA); VA Palo Alto Health Care System; University of California System; University of California San Francisco; University of California System; University of California San Francisco; Mayo Clinic; Mayo Clinic Phoenix</t>
  </si>
  <si>
    <t>Automated coronary calcium scoring using deep learning with multicenter external validation</t>
  </si>
  <si>
    <t>NPJ DIGITAL MEDICINE</t>
  </si>
  <si>
    <t>ALL-CAUSE MORTALITY; ARTERY CALCIUM; COMPUTED-TOMOGRAPHY; CARDIAC CT; CHEST CT; CARDIOVASCULAR RISK; AMERICAN-COLLEGE; TASK-FORCE; CANCER; CALCIFICATION</t>
  </si>
  <si>
    <t>Kitamura, Felipe Campos/AAC-7075-2021; Marin, Daniele/Q-7701-2016; /ACZ-8255-2022; Chute, Christopher/AAT-8540-2021; Budoff, Matthew/ABD-5175-2021; Mongan, John/AAJ-2783-2021; Rodriguez, Fatima/KBR-0426-2024</t>
  </si>
  <si>
    <t>Khalaf, Mohamed/0000-0002-3323-2698; Kitamura, Felipe Campos/0000-0002-9992-5630; Budoff, Matthew/0000-0002-9616-1946; Rajpurkar, Pranav/0000-0002-8030-3727; Mongan, John/0000-0003-2765-7451</t>
  </si>
  <si>
    <t>75</t>
  </si>
  <si>
    <t>152</t>
  </si>
  <si>
    <t>165</t>
  </si>
  <si>
    <t>2398-6352</t>
  </si>
  <si>
    <t>NPJ DIGIT MED</t>
  </si>
  <si>
    <t>npj Digit. Med.</t>
  </si>
  <si>
    <t>JUN 1 2021</t>
  </si>
  <si>
    <t>88</t>
  </si>
  <si>
    <t>10.1038/s41746-021-00460-1</t>
  </si>
  <si>
    <t>http://dx.doi.org/10.1038/s41746-021-00460-1</t>
  </si>
  <si>
    <t>Health Care Sciences &amp; Services; Medical Informatics</t>
  </si>
  <si>
    <t>SL6PY</t>
  </si>
  <si>
    <t>34075194</t>
  </si>
  <si>
    <t>WOS:000657038900001</t>
  </si>
  <si>
    <t>Lewin, J; Schoenherr, S; Seebass, M; Lin, MD; Philpotts, L; Etesami, M; Butler, R; Durand, M; Heller, S; Heacock, L; Moy, L; Tocino, I; Westerhoff, M</t>
  </si>
  <si>
    <t>Objective: To test the performance of a novel machine learning-based breast density tool. The tool utilizes a convolutional neural network to predict the BI-RADS based density assessment of a study. The clinical density assessments of 33,000 mammographic examinations (164,000 images) from one academic medical center (Site A) were used for training. Materials and methods: This was an IRB approved HIPAA compliant study performed at two academic medical centers. The validation data set was composed of 500 studies from one site (Site A) and 700 from another (Site B). At Site A, each study was assessed by three breast radiologists and the majority (consensus) assessment was used as truth. At Site B, if the tool agreed with the clinical reading, then it was considered to have correctly predicted the clinical reading. In cases where the tool and the clinical reading disagreed, then the study was evaluated by three radiologists and the consensus reading was used as the clinical reading. Results: For the classification into the four categories of the Breast Imaging Reporting and Data System (BIRADS &amp; REG;), the AI classifier had an accuracy of 84.6% at Site A and 89.7% at Site B. For binary classification (dense vs. non-dense), the AI classifier had an accuracy of 94.4% at Site A and 97.4% at Site B. In no case did the classifier disagree with the consensus reading by more than one category. Conclusions: The automated breast density tool showed high agreement with radiologists' assessments of breast density.</t>
  </si>
  <si>
    <t>Lewin, John; Schoenherr, Sven; Seebass, Martin; Lin, MingDe; Philpotts, Liane; Etesami, Maryam; Butler, Reni; Durand, Melissa; Heller, Samantha; Heacock, Laura; Moy, Linda; Tocino, Irena; Westerhoff, Malte</t>
  </si>
  <si>
    <t>Lewin, J (corresponding author), Yale Sch Med, Dept Radiol &amp; Biomed Imaging, New Haven, CT 06510 USA.</t>
  </si>
  <si>
    <t>john.lewin@yale.edu</t>
  </si>
  <si>
    <t>[Lewin, John; Lin, MingDe; Philpotts, Liane; Etesami, Maryam; Butler, Reni; Durand, Melissa; Tocino, Irena] Yale Sch Med, Dept Radiol &amp; Biomed Imaging, New Haven, CT 06510 USA; [Schoenherr, Sven; Seebass, Martin; Westerhoff, Malte] Visage Imaging GmbH, Lepsiusstr 70, D-12163 Berlin, Germany; [Lin, MingDe] Visage Imaging Inc, High Bluff Dr, San Diego, CA 12625 USA; [Heller, Samantha; Heacock, Laura; Moy, Linda] NYU Langone Hlth, Dept Radiol, New York, NY USA</t>
  </si>
  <si>
    <t>Yale University; NYU Langone Medical Center</t>
  </si>
  <si>
    <t>PACS-integrated machine learning breast density classifier: clinical validation</t>
  </si>
  <si>
    <t>CLINICAL IMAGING</t>
  </si>
  <si>
    <t>Mammography; Breast density; Artificial intelligence</t>
  </si>
  <si>
    <t>Moy, Linda/U-8018-2019</t>
  </si>
  <si>
    <t>0899-7071</t>
  </si>
  <si>
    <t>1873-4499</t>
  </si>
  <si>
    <t>CLIN IMAG</t>
  </si>
  <si>
    <t>Clin. Imaging</t>
  </si>
  <si>
    <t>SEP 2023</t>
  </si>
  <si>
    <t>101</t>
  </si>
  <si>
    <t>200</t>
  </si>
  <si>
    <t>205</t>
  </si>
  <si>
    <t>10.1016/j.clinimag.2023.06.023</t>
  </si>
  <si>
    <t>http://dx.doi.org/10.1016/j.clinimag.2023.06.023</t>
  </si>
  <si>
    <t>JUL 2023</t>
  </si>
  <si>
    <t>N4QZ0</t>
  </si>
  <si>
    <t>37421715</t>
  </si>
  <si>
    <t>WOS:001036889500001</t>
  </si>
  <si>
    <t>Gong, KD; Lu, R; Bergamaschi, TS; Sanyal, A; Guo, J; Kim, HB; Nguyen, HT; Greenstein, JL; Winslow, RL; Stevens, RD</t>
  </si>
  <si>
    <t>Background:Delirium poses significant risks to patients, but countermeasures can be taken to mitigate negative outcomes. Accurately forecasting delirium in intensive care unit (ICU) patients could guide proactive intervention. Our primary objective was to predict ICU delirium by applying machine learning to clinical and physiologic data routinely collected in electronic health records. Methods:Two prediction models were trained and tested using a multicenter database (years of data collection 2014 to 2015), and externally validated on two single-center databases (2001 to 2012 and 2008 to 2019). The primary outcome variable was delirium defined as a positive Confusion Assessment Method for the ICU screen, or an Intensive Care Delirium Screening Checklist of 4 or greater. The first model, named "24-hour model," used data from the 24 h after ICU admission to predict delirium any time afterward. The second model designated "dynamic model," predicted the onset of delirium up to 12 h in advance. Model performance was compared with a widely cited reference model. Results:For the 24-h model, delirium was identified in 2,536 of 18,305 (13.9%), 768 of 5,299 (14.5%), and 5,955 of 36,194 (11.9%) of patient stays, respectively, in the development sample and two validation samples. For the 12-h lead time dynamic model, delirium was identified in 3,791 of 22,234 (17.0%), 994 of 6,166 (16.1%), and 5,955 of 28,440 (20.9%) patient stays, respectively. Mean area under the receiver operating characteristics curve (AUC) (95% CI) for the first 24-h model was 0.785 (0.769 to 0.801), significantly higher than the modified reference model with AUC of 0.730 (0.704 to 0.757). The dynamic model had a mean AUC of 0.845 (0.831 to 0.859) when predicting delirium 12 h in advance. Calibration was similar in both models (mean Brier Score [95% CI] 0.102 [0.097 to 0.108] and 0.111 [0.106 to 0.116]). Model discrimination and calibration were maintained when tested on the validation datasets. Conclusions:Machine learning models trained with routinely collected electronic health record data accurately predict ICU delirium, supporting dynamic time-sensitive forecasting.</t>
  </si>
  <si>
    <t>Gong, Kirby D.; Lu, Ryan; Bergamaschi, Teya S.; Sanyal, Akaash; Guo, Joanna; Kim, Han B.; Nguyen, Hieu T.; Greenstein, Joseph L.; Winslow, Raimond L.; Stevens, Robert D.</t>
  </si>
  <si>
    <t>Stevens, RD (corresponding author), Johns Hopkins Univ, Sch Med, 600 N Wolfe St,Phipps Bldg,455A, Baltimore, MD 21287 USA.</t>
  </si>
  <si>
    <t>ryan.lu@northwestern.edu; jguo44@alumni.jh.edu; kirbygong@gmail.com; jgreenst@jhu.edu; hankim@jhu.edu; hnguye78@jh.edu; rstevens@jhmi.edu; rwinslow@jhu.edu; teya@mit.edu; asanyal5@alumni.jh.edu</t>
  </si>
  <si>
    <t>Johns Hopkins University (Baltimore, Maryland)</t>
  </si>
  <si>
    <t>Research Support Support was provided solely from institutional and/or departmental sources at Johns Hopkins University (Baltimore, Maryland).</t>
  </si>
  <si>
    <t>[Gong, Kirby D.; Kim, Han B.; Nguyen, Hieu T.; Stevens, Robert D.] Johns Hopkins Univ, Sch Med, Baltimore, MD USA; [Lu, Ryan] Northwestern Univ, Evanston, IL USA; [Bergamaschi, Teya S.] MIT, Cambridge, MA USA; [Sanyal, Akaash; Guo, Joanna] Johns Hopkins Univ, Baltimore, MD USA; [Greenstein, Joseph L.; Winslow, Raimond L.] Johns Hopkins Univ, Whiting Sch Engn, Baltimore, MD USA; [Stevens, Robert D.] Johns Hopkins Univ, Sch Med, 600 N Wolfe St,Phipps Bldg,455A, Baltimore, MD 21287 USA</t>
  </si>
  <si>
    <t>Johns Hopkins University; Johns Hopkins Medicine; Northwestern University; Massachusetts Institute of Technology (MIT); Johns Hopkins University; Johns Hopkins University; Johns Hopkins University; Johns Hopkins Medicine</t>
  </si>
  <si>
    <t>Predicting Intensive Care Delirium with Machine Learning: Model Development and External Validation</t>
  </si>
  <si>
    <t>ANESTHESIOLOGY</t>
  </si>
  <si>
    <t>UNIT; EPIDEMIOLOGY; DIAGNOSIS</t>
  </si>
  <si>
    <t>Greenstein, Joseph/A-3377-2010; Bergamaschi, Teya/MBW-0973-2025</t>
  </si>
  <si>
    <t>Bergamaschi, Teya/0000-0002-1988-3478; Stevens, Robert/0000-0001-5984-7837; Kim, Han/0000-0001-5929-8444; Lu, Ryan/0000-0001-9410-8642</t>
  </si>
  <si>
    <t>37</t>
  </si>
  <si>
    <t>47</t>
  </si>
  <si>
    <t>53</t>
  </si>
  <si>
    <t>21</t>
  </si>
  <si>
    <t>LIPPINCOTT WILLIAMS &amp; WILKINS</t>
  </si>
  <si>
    <t>PHILADELPHIA</t>
  </si>
  <si>
    <t>TWO COMMERCE SQ, 2001 MARKET ST, PHILADELPHIA, PA 19103 USA</t>
  </si>
  <si>
    <t>0003-3022</t>
  </si>
  <si>
    <t>1528-1175</t>
  </si>
  <si>
    <t>MAR 2023</t>
  </si>
  <si>
    <t>138</t>
  </si>
  <si>
    <t>299</t>
  </si>
  <si>
    <t>311</t>
  </si>
  <si>
    <t>10.1097/ALN.0000000000004478</t>
  </si>
  <si>
    <t>http://dx.doi.org/10.1097/ALN.0000000000004478</t>
  </si>
  <si>
    <t>9B7JF</t>
  </si>
  <si>
    <t>36538354</t>
  </si>
  <si>
    <t>WOS:000934909400009</t>
  </si>
  <si>
    <t>Bronze</t>
  </si>
  <si>
    <t>Goldenholz, DM; Sun, HQ; Ganglberger, W; Westover, MB</t>
  </si>
  <si>
    <t>Background: Before integrating new machine learning (ML) into clinical practice, algorithms must undergo validation. Validation studies require sample size estimates. Unlike hypothesis testing studies seeking a p-value, the goal of validating predictive models is obtaining estimates of model performance. There is no standard tool for determining sample size estimates for clinical validation studies for machine learning models. Methods: Our open-source method, Sample Size Analysis for Machine Learning (SSAML) was described and was tested in three previously published models: brain age to predict mortality (Cox Proportional Hazard), COVID hospitalization risk prediction (ordinal regression), and seizure risk forecasting (deep learning). Results: Minimum sample sizes were obtained in each dataset using standardized criteria. Discussion: SSAML provides a formal expectation of precision and accuracy at a desired confidence level. SSAML is open-source and agnostic to data type and ML model. It can be used for clinical validation studies of ML models.</t>
  </si>
  <si>
    <t>Goldenholz, Daniel M.; Sun, Haoqi; Ganglberger, Wolfgang; Westover, M. Brandon</t>
  </si>
  <si>
    <t>Goldenholz, DM (corresponding author), Beth Israel Deaconess Med Ctr, Dept Neurol, Boston, MA 02215 USA.; Goldenholz, DM (corresponding author), Harvard Med Sch, Dept Neurol, Boston, MA 02215 USA.</t>
  </si>
  <si>
    <t>daniel.goldenholz@bidmc.harvard.edu</t>
  </si>
  <si>
    <t>NIH [5KL2TR002542, K23NS124656, R01NS102190, R01NS102574, R01NS107291, R01AG062989]; Glenn Foundation for Medical Research; American Federation for Aging Research; American Academy of Sleep Medicine; Football Players Health Study (FPHS); National Center for Advancing Translational Sciences [KL2TR002542] Funding Source: NIH RePORTER; National Heart Lung and Blood Institute [R01HL161253] Funding Source: NIH RePORTER; National Institute of Neurological Disorders and Stroke [R01NS102190, R01NS107291, R01NS102574, K23NS124656] Funding Source: NIH RePORTER</t>
  </si>
  <si>
    <t>NIH (United States Department of Health &amp; Human Services, National Institutes of Health (NIH) - USA); Glenn Foundation for Medical Research; American Federation for Aging Research; American Academy of Sleep Medicine; Football Players Health Study (FPHS); National Center for Advancing Translational Sciences (United States Department of Health &amp; Human Services, National Institutes of Health (NIH) - USA, NIH National Center for Advancing Translational Sciences (NCATS)); National Heart Lung and Blood Institute (United States Department of Health &amp; Human Services, National Institutes of Health (NIH) - USA, NIH National Heart Lung &amp; Blood Institute (NHLBI)); National Institute of Neurological Disorders and Stroke (United States Department of Health &amp; Human Services, National Institutes of Health (NIH) - USA, NIH National Institute of Neurological Disorders &amp; Stroke (NINDS))</t>
  </si>
  <si>
    <t>D.M.G. received funding from NIH 5KL2TR002542 and NIH K23NS124656. M.B.W. was supported by the Glenn Foundation for Medical Research and American Federation for Aging Research (Breakthroughs in Gerontology Grant); American Academy of Sleep Medicine (AASM Foundation Strategic Research Award); Football Players Health Study (FPHS) at Harvard University; Department of Defense through a subcontract from Moberg ICU Solutions, Inc.; and NIH (R01NS102190, R01NS102574, R01NS107291, RF1AG064312, R01AG062989). M.B.W. is a co-founder of Beacon Biosignals.</t>
  </si>
  <si>
    <t>[Goldenholz, Daniel M.; Sun, Haoqi; Ganglberger, Wolfgang; Westover, M. Brandon] Beth Israel Deaconess Med Ctr, Dept Neurol, Boston, MA 02215 USA; [Goldenholz, Daniel M.; Sun, Haoqi; Ganglberger, Wolfgang; Westover, M. Brandon] Harvard Med Sch, Dept Neurol, Boston, MA 02215 USA; [Sun, Haoqi; Ganglberger, Wolfgang; Westover, M. Brandon] Massachusetts Gen Hosp, Dept Neurol, Boston, MA 02114 USA</t>
  </si>
  <si>
    <t>Harvard University; Harvard University Medical Affiliates; Beth Israel Deaconess Medical Center; Harvard University; Harvard Medical School; Harvard University; Harvard University Medical Affiliates; Massachusetts General Hospital</t>
  </si>
  <si>
    <t>Sample Size Analysis for Machine Learning Clinical Validation Studies</t>
  </si>
  <si>
    <t>BIOMEDICINES</t>
  </si>
  <si>
    <t>statistics; machine learning; power calculation</t>
  </si>
  <si>
    <t>BRAIN AGE; SLEEP; ELECTROENCEPHALOGRAM</t>
  </si>
  <si>
    <t>Goldenholz, Daniel/AEN-6620-2022; Sun, Haoqi/AFL-5731-2022; Ganglberger, Wolfgang/GYD-5191-2022</t>
  </si>
  <si>
    <t>Goldenholz, Daniel/0000-0002-8370-2758; Ganglberger, Wolfgang/0000-0002-6029-2450; Westover, M. Brandon/0000-0003-4803-312X</t>
  </si>
  <si>
    <t>52</t>
  </si>
  <si>
    <t>57</t>
  </si>
  <si>
    <t>2227-9059</t>
  </si>
  <si>
    <t>Biomedicines</t>
  </si>
  <si>
    <t>685</t>
  </si>
  <si>
    <t>10.3390/biomedicines11030685</t>
  </si>
  <si>
    <t>http://dx.doi.org/10.3390/biomedicines11030685</t>
  </si>
  <si>
    <t>Biochemistry &amp; Molecular Biology; Medicine, Research &amp; Experimental; Pharmacology &amp; Pharmacy</t>
  </si>
  <si>
    <t>Biochemistry &amp; Molecular Biology; Research &amp; Experimental Medicine; Pharmacology &amp; Pharmacy</t>
  </si>
  <si>
    <t>A8IE5</t>
  </si>
  <si>
    <t>36979665</t>
  </si>
  <si>
    <t>WOS:000957491700001</t>
  </si>
  <si>
    <t>Gallitto, G; Englert, R; Kincses, B; Kotikalapudi, R; Li, JL; Hoffschlag, K; Bingel, U; Spisak, T</t>
  </si>
  <si>
    <t>Background Multivariate predictive models play a crucial role in enhancing our understanding of complex biological systems and in developing innovative, replicable tools for translational medical research. However, the complexity of machine learning methods and extensive data preprocessing and feature engineering pipelines can lead to overfitting and poor generalizability. An unbiased evaluation of predictive models necessitates external validation, which involves testing the finalized model on independent data. Despite its importance, external validation is often neglected in practice due to the associated costs.Results Here we propose that, for maximal credibility, model discovery and external validation should be separated by the public disclosure (e.g., preregistration) of feature processing steps and model weights. Furthermore, we introduce a novel approach to optimize the trade-off between efforts spent on model discovery and external validation in such studies. We show on data involving more than 3,000 participants from four different datasets that, for any "sample size budget," the proposed adaptive splitting approach can successfully identify the optimal time to stop model discovery so that predictive performance is maximized without risking a low-powered, and thus inconclusive, external validation.Conclusion The proposed design and splitting approach (implemented in the Python package "AdaptiveSplit") may contribute to addressing issues of replicability, effect size inflation, and generalizability in predictive modeling studies.</t>
  </si>
  <si>
    <t>Gallitto, Giuseppe; Englert, Robert; Kincses, Balint; Kotikalapudi, Raviteja; Li, Jialin; Hoffschlag, Kevin; Bingel, Ulrike; Spisak, Tamas</t>
  </si>
  <si>
    <t>Gallitto, G (corresponding author), Univ Med Essen, Dept Neurol, Hufelandstr 55, D-45147 Essen, Germany.</t>
  </si>
  <si>
    <t>giuseppe.gallitto@uk-essen.de</t>
  </si>
  <si>
    <t>Deutsche Forschungsgemeinschaft (DFG, German Research Foundation) [422744262-TRR 289, 422744262-TRR, 316803389-SFB 1280]</t>
  </si>
  <si>
    <t>Deutsche Forschungsgemeinschaft (DFG, German Research Foundation) (German Research Foundation (DFG))</t>
  </si>
  <si>
    <t>The work is funded by the Deutsche Forschungsgemeinschaft (DFG, German Research Foundation) - Project-ID 422744262-TRR 289 (Gefoerdert durch die Deutsche Forschungsgemeinschaft (DFG)-Projektnummer 422744262-TRR 289) and Projektnummer 316803389-SFB 1280 "Extinction Learning".</t>
  </si>
  <si>
    <t>[Gallitto, Giuseppe; Englert, Robert; Kincses, Balint; Kotikalapudi, Raviteja; Li, Jialin; Hoffschlag, Kevin; Bingel, Ulrike; Spisak, Tamas] Univ Med Essen, Ctr Translat Neuroand Behav Sci C TNBS, Hufelandstr 55, D-45147 Essen, Germany; [Gallitto, Giuseppe; Kincses, Balint; Kotikalapudi, Raviteja; Li, Jialin; Hoffschlag, Kevin; Bingel, Ulrike] Univ Med Essen, Dept Neurol, Hufelandstr 55, D-45147 Essen, Germany; [Englert, Robert; Spisak, Tamas] Univ Med Essen, Dept Diagnost &amp; Intervent Radiol &amp; Neuroradiol, Hufelandstr 55, D-45147 Essen, Germany; [Li, Jialin] Max Planck Sch Cognit, Max Planck Inst Human Cognit &amp; Brain Sci, Stephanstr 1A, D-04103 Leipzig, Germany</t>
  </si>
  <si>
    <t>Max Planck Society</t>
  </si>
  <si>
    <t>External validation of machine learning models-registered models and adaptive sample splitting</t>
  </si>
  <si>
    <t>GIGASCIENCE</t>
  </si>
  <si>
    <t>machine learning; predictive modeling; preregistration; external validation; adaptive splitting</t>
  </si>
  <si>
    <t>Spisák, Tamás/GWQ-9005-2022; Gallitto, Giuseppe/ABG-8460-2020</t>
  </si>
  <si>
    <t>Bingel, Ulrike/0000-0002-9528-3204; Spisák, Tamás/0000-0002-2942-0821; Gallitto, Giuseppe/0000-0001-5185-0206; Kincses, Bálint/0000-0002-0478-6384; Englert, Robert/0000-0002-6421-576X</t>
  </si>
  <si>
    <t>34</t>
  </si>
  <si>
    <t>2047-217X</t>
  </si>
  <si>
    <t>GigaScience</t>
  </si>
  <si>
    <t>giaf036</t>
  </si>
  <si>
    <t>10.1093/gigascience/giaf036</t>
  </si>
  <si>
    <t>http://dx.doi.org/10.1093/gigascience/giaf036</t>
  </si>
  <si>
    <t>Biology; Multidisciplinary Sciences</t>
  </si>
  <si>
    <t>Life Sciences &amp; Biomedicine - Other Topics; Science &amp; Technology - Other Topics</t>
  </si>
  <si>
    <t>2OJ2H</t>
  </si>
  <si>
    <t>40366867</t>
  </si>
  <si>
    <t>WOS:001487443000001</t>
  </si>
  <si>
    <t>Quek, SXZ; Lee, JWJ; Feng, Z; Soh, MM; Tokano, M; Guan, YK; So, JBY; Tada, T; Koh, CJ</t>
  </si>
  <si>
    <t>ObjectivesArtificial intelligence (AI) uses deep learning functionalities that may enhance the detection of early gastric cancer during endoscopy. An AI-based endoscopic system for upper endoscopy was recently developed in Japan. We aim to validate this AI-based system in a Singaporean cohort. MethodsThere were 300 de-identified still images prepared from endoscopy video files obtained from subjects that underwent gastroscopy in National University Hospital (NUH). Five specialists and 6 non-specialists (trainees) from NUH were assigned to read and categorize the images into "neoplastic" or "non-neoplastic." Results were then compared with the readings performed by the endoscopic AI system. ResultsThe mean accuracy, sensitivity, and specificity for the 11 endoscopists were 0.847, 0.525, and 0.872, respectively. These values for the AI-based system were 0.777, 0.591, and 0.791, respectively. While AI in general did not perform better than endoscopists on the whole, in the subgroup of high-grade dysplastic lesions, only 29.1% were picked up by the endoscopist rating, but 80% were classified as neoplastic by AI (P = 0.0011). The average diagnostic time was also faster in AI compared with endoscopists (677.1 s vs 42.02 s (P &lt; 0.001). ConclusionWe demonstrated that an AI system developed in another health system was comparable in diagnostic accuracy in the evaluation of static images. AI systems are faster and not fatigable and may have a role in augmenting human diagnosis during endoscopy. With more advances in AI and larger studies to support its efficacy it would likely play a larger role in screening endoscopy in future.</t>
  </si>
  <si>
    <t>Quek, Sabrina Xin Zi; Lee, Jonathan W. J.; Feng, Zhu; Soh, Min Min; Tokano, Masayuki; Guan, Yeoh Khay; So, Jimmy B. Y.; Tada, Tomohiro; Koh, Calvin J.</t>
  </si>
  <si>
    <t>Koh, CJ (corresponding author), Natl Univ Singapore, Yong Loo Lin Sch Med, Dept Med, 1E Kent Ridge Road, Level 10, Singapore 119228, Singapore.</t>
  </si>
  <si>
    <t>calvin_j_koh@nuhs.edu.sg</t>
  </si>
  <si>
    <t>AI Medical Service Inc., Japan</t>
  </si>
  <si>
    <t>The study was funded by an unrestricted grant from AI Medical Service Inc., Japan, that is not involved in the study design, analysis, or results.</t>
  </si>
  <si>
    <t>[Quek, Sabrina Xin Zi; Lee, Jonathan W. J.; Guan, Yeoh Khay; Koh, Calvin J.] Natl Univ Singapore Hosp, Div Gastroenterol &amp; Hepatol, Singapore, Singapore; [So, Jimmy B. Y.] Natl Univ Singapore Hosp, Div Surg, Singapore, Singapore; [Lee, Jonathan W. J.; Feng, Zhu; Soh, Min Min; Guan, Yeoh Khay; So, Jimmy B. Y.; Koh, Calvin J.] Natl Univ Singapore, Yong Loo Lin Sch Med, Singapore, Singapore; [Lee, Jonathan W. J.] Natl Univ Singapore, iHealthtech, Singapore, Singapore; [Koh, Calvin J.] Gleneagles Hosp, Gastroenterol Grp, Singapore, Singapore; [Koh, Calvin J.] AI Med Serv Inc, Tokyo, Japan; [Tada, Tomohiro] Tada Tomohiro Inst Gastroenterol &amp; Proctol, Osaka, Japan; [Koh, Calvin J.] Natl Univ Singapore, Yong Loo Lin Sch Med, Dept Med, 1E Kent Ridge Road, Level 10, Singapore 119228, Singapore</t>
  </si>
  <si>
    <t>National University of Singapore; National University of Singapore; National University of Singapore; National University of Singapore; National University of Singapore</t>
  </si>
  <si>
    <t>Comparing artificial intelligence to humans for endoscopic diagnosis of gastric neoplasia: An external validation study</t>
  </si>
  <si>
    <t>JOURNAL OF GASTROENTEROLOGY AND HEPATOLOGY</t>
  </si>
  <si>
    <t>Artificial intelligence; Deep learning; Endoscopy; Gastric cancer; Screening</t>
  </si>
  <si>
    <t>UPPER GASTROINTESTINAL ENDOSCOPY; CANCER; COLONOSCOPY; JAPAN</t>
  </si>
  <si>
    <t>Koh, Calvin/M-1604-2019; So, Jimmy/B-5761-2011; Lee, Jonathan/IUP-8919-2023</t>
  </si>
  <si>
    <t>Koh, Calvin/0000-0002-1756-3737; Quek, Sabrina/0000-0001-5377-1528; Lee, Jonathan/0000-0001-7065-8041</t>
  </si>
  <si>
    <t>0815-9319</t>
  </si>
  <si>
    <t>1440-1746</t>
  </si>
  <si>
    <t>J GASTROEN HEPATOL</t>
  </si>
  <si>
    <t>J. Gastroenterol. Hepatol.</t>
  </si>
  <si>
    <t>1587</t>
  </si>
  <si>
    <t>1591</t>
  </si>
  <si>
    <t>10.1111/jgh.16274</t>
  </si>
  <si>
    <t>http://dx.doi.org/10.1111/jgh.16274</t>
  </si>
  <si>
    <t>Gastroenterology &amp; Hepatology</t>
  </si>
  <si>
    <t>T8RA9</t>
  </si>
  <si>
    <t>37408330</t>
  </si>
  <si>
    <t>WOS:001022505000001</t>
  </si>
  <si>
    <t>Meyer, AM; Kim, HB; Eom, JS; Sinik, L; Braun, S; Han, HH; Butterworth, JA</t>
  </si>
  <si>
    <t>Background: Nipple-sparing mastectomy (NSM) with immediate implant-based breast reconstruction provides aesthetic and psychosocial benefits, but nipple-areolar complex (NAC) necrosis remains a significant risk. This study externally validated a previously developed machine learning (ML) model that predicted NAC necrosis with 97% accuracy on institutional data. Methods: This retrospective cohort study identified an initial 394 patients who underwent NSM with immediate breast reconstruction at Asan Medical Center (January 2021-August 2022). Though there were 6 incomplete patient profiles, which resulted in 388 cases being used for statistical analysis, as demonstrated in Table 1. Demographic, oncologic, and surgical data were collected, with complications defined as post-operative events occurring within 90 days. A previously validated random forest ML model was applied to predict NAC necrosis. Model performance was assessed using accuracy, area under the receiver operating characteristic curve (AUC-ROC), sensitivity, specificity, and predictive values. Results: Of 388 patients, 19 (4.9%) developed NAC necrosis. Significant risk factors included older age (mean age: 51.3 vs. 46.2 years, p = 0.015), higher BMI (mean BMI: 24.2 vs. 22.4, p = 0.024), active smoking (p = 0.008), and cumulative smoking exposure (mean pack-years: 3.3 vs. 0.2, p &lt; 0.0001). Mastectomy specimen weight was significantly associated with NAC necrosis (mean: 394.2 g vs. 313.4 g, p = 0.021). The ML model achieved a predictive accuracy of 96%, with an AUC-ROC of 0.70 (95% CI: 0.55-0.85), indicating moderate discriminative ability. Conclusions: The externally validated ML model accurately predicted NAC necrosis in a distinct patient population, demonstrating its potential for personalized risk assessment in NSM candidates. Future validation in diverse populations is needed. (c) 2025 The Authors. Published by Elsevier Ltd on behalf of British Association of Plastic, Reconstructive and Aesthetic Surgeons. This is an open access article under the CC BY license (http://creativecommons.org/licenses/by/4.0/).</t>
  </si>
  <si>
    <t>Meyer, Anne M.; Kim, Hyung Bae; Eom, Jin Sup; Sinik, Lauren; Braun, Sterling; Han, Hyun Ho; Butterworth, James A.</t>
  </si>
  <si>
    <t>Braun, S (corresponding author), 3901 Rainbow Blvd, Kansas City, KS 66160 USA.</t>
  </si>
  <si>
    <t>Sbraun2@kumc.edu</t>
  </si>
  <si>
    <t>[Meyer, Anne M.; Sinik, Lauren; Braun, Sterling; Butterworth, James A.] Univ Kansas, Dept Plast &amp; Reconstruct Surg, 3901 Rainbow Blvd, Kansas City, KS 66160 USA; [Kim, Hyung Bae; Eom, Jin Sup; Braun, Sterling; Han, Hyun Ho] ASAN Med Ctr, 88 Olymp Ro 43 Gil, Seoul, South Korea</t>
  </si>
  <si>
    <t>University of Kansas; University of Kansas Medical Center; University of Ulsan; Asan Medical Center</t>
  </si>
  <si>
    <t>Predicting complications in breast reconstruction: External validation of a machine learning model</t>
  </si>
  <si>
    <t>JOURNAL OF PLASTIC RECONSTRUCTIVE AND AESTHETIC SURGERY</t>
  </si>
  <si>
    <t>NAC necrosis; Nipple sparing mastectomy complications; Direct-to-implant reconstruction; Machine learning</t>
  </si>
  <si>
    <t>Braun, Sterling/AAO-2622-2021</t>
  </si>
  <si>
    <t>Han, Hyun Ho/0000-0001-7072-9882</t>
  </si>
  <si>
    <t>1748-6815</t>
  </si>
  <si>
    <t>1878-0539</t>
  </si>
  <si>
    <t>J PLAST RECONSTR AES</t>
  </si>
  <si>
    <t>J. Plast. Reconstr. Aesthet. Surg.</t>
  </si>
  <si>
    <t>107</t>
  </si>
  <si>
    <t>176</t>
  </si>
  <si>
    <t>181</t>
  </si>
  <si>
    <t>10.1016/j.bjps.2025.06.020</t>
  </si>
  <si>
    <t>http://dx.doi.org/10.1016/j.bjps.2025.06.020</t>
  </si>
  <si>
    <t>JUL 2025</t>
  </si>
  <si>
    <t>Surgery</t>
  </si>
  <si>
    <t>5EQ0X</t>
  </si>
  <si>
    <t>40633437</t>
  </si>
  <si>
    <t>WOS:001533859600001</t>
  </si>
  <si>
    <t>Huang, L; Xu, YM; Chen, J; Liu, F; Wu, DQ; Zhou, W; Wu, LL; Pang, TT; Huang, X; Zhang, K; Yu, HG</t>
  </si>
  <si>
    <t>Background A computer-assisted (CAD) system was developed to assess, score, and classify the technical difficulty of common bile duct (CBD) stone removal during endoscopic retrograde cholangiopancreatography (ERCP). The efficacy of the CAD system was subsequently assessed through a multicenter, prospective, observational study.Method All patients who met the inclusion criteria were included. Based on cholangiogram images, the CAD system analyzed the level of difficulty of stone removal and classified it into "difficult" and "easy" groups. Subsequently, differences in clinical endpoints, including attempts at stone extraction, stone extraction time, total operation time, and stone clearance rates were compared between the two groups.Results 173 patients with CBD stones from three hospitals were included in the study. The group classified as difficult by CAD had more extraction attempts (7.20 vs. 4.20, P&lt; 0.001), more frequent machine lithotripsy (30.4% vs. 7.1 %, P&lt;0.001), longer stone extraction time (16.59 vs. 7.69 minutes, P&lt;0.001), lower single-session stone clearance rate (73.9% vs. 94.5%, P&lt;0.001), and lower total stone clearance rate (89.1% vs. 97.6%, P= 0.019) compared with the group classified as easy by CAD.Conclusion The CAD system effectively assessed and classified the degree of technical difficulty in endoscopic stone extraction during ERCP. In addition, it automatically provided a quantitative evaluation of CBD and stones, which in turn could help endoscopists to apply suitable procedures and interventional methods to minimize the possible risks associated with endoscopic stone removal.</t>
  </si>
  <si>
    <t>Huang, Li; Xu, Youming; Chen, Jie; Liu, Feng; Wu, Deqing; Zhou, Wei; Wu, Lianlian; Pang, Tingting; Huang, Xu; Zhang, Kuo; Yu, Honggang</t>
  </si>
  <si>
    <t>Yu, HG (corresponding author), Wuhan Univ, Dept Gastroenterol, Renmin Hosp, 99 Zhangzhidong Rd, Wuhan 430060, Hubei, Peoples R China.</t>
  </si>
  <si>
    <t>yuhonggang1968@163.com</t>
  </si>
  <si>
    <t>Project of Hubei Provincial Clinical Research Center for Digestive Disease Minimally Invasive Incision [2018BCC337]; Hubei Province Major Science and Technology Innovation Project [2018-916-000-008]</t>
  </si>
  <si>
    <t>Project of Hubei Provincial Clinical Research Center for Digestive Disease Minimally Invasive Incision; Hubei Province Major Science and Technology Innovation Project</t>
  </si>
  <si>
    <t>We acknowledge the grants from Project of Hubei Provincial Clinical Research Center for Digestive Disease Minimally Invasive Incision (Grant No. 2018BCC337) and the Hubei Province Major Science and Technology Innovation Project (Grant No. 2018-916-000-008) for supporting the work.</t>
  </si>
  <si>
    <t>[Huang, Li; Xu, Youming; Zhou, Wei; Wu, Lianlian; Huang, Xu; Yu, Honggang] Wuhan Univ, Dept Gastroenterol, Renmin Hosp, 99 Zhangzhidong Rd, Wuhan 430060, Hubei, Peoples R China; [Huang, Li; Xu, Youming; Zhou, Wei; Wu, Lianlian; Huang, Xu; Yu, Honggang] Wuhan Univ, Hubei Prov Clin Res Ctr Digest Dis Minimally Inva, Renmin Hosp, Wuhan, Peoples R China; [Huang, Li; Xu, Youming; Zhou, Wei; Wu, Lianlian; Huang, Xu; Yu, Honggang] Wuhan Univ, Key Lab Hubei Prov Digest Syst Dis, Renmin Hosp, Wuhan, Peoples R China; [Chen, Jie; Pang, Tingting] Naval Med Univ, Changhai Hosp, Dept Gastroenterol, Shanghai, Peoples R China; [Liu, Feng; Wu, Deqing] Tongji Univ, Shanghai Peoples Hosp 10, Digest Endoscopy Ctr, Sch Med, Shanghai, Peoples R China; [Zhang, Kuo] Wuhan ENDOANGEL Med Technol Co, Wuhan, Peoples R China</t>
  </si>
  <si>
    <t>Wuhan University; Wuhan University; Wuhan University; Naval Medical University; Tongji University</t>
  </si>
  <si>
    <t>An artificial intelligence difficulty scoring system for stone removal during ERCP: a prospective validation</t>
  </si>
  <si>
    <t>ENDOSCOPY</t>
  </si>
  <si>
    <t>COMMON BILE-DUCT; EUROPEAN-SOCIETY; BILIARY STONES</t>
  </si>
  <si>
    <t>Zhou, Wei/P-6013-2019</t>
  </si>
  <si>
    <t>GEORG THIEME VERLAG KG</t>
  </si>
  <si>
    <t>STUTTGART</t>
  </si>
  <si>
    <t>RUDIGERSTR 14, D-70469 STUTTGART, GERMANY</t>
  </si>
  <si>
    <t>0013-726X</t>
  </si>
  <si>
    <t>1438-8812</t>
  </si>
  <si>
    <t>Endoscopy</t>
  </si>
  <si>
    <t>55</t>
  </si>
  <si>
    <t>10.1055/a-1850-6717</t>
  </si>
  <si>
    <t>http://dx.doi.org/10.1055/a-1850-6717</t>
  </si>
  <si>
    <t>JUL 2022</t>
  </si>
  <si>
    <t>Gastroenterology &amp; Hepatology; Surgery</t>
  </si>
  <si>
    <t>8P5ZC</t>
  </si>
  <si>
    <t>35554877</t>
  </si>
  <si>
    <t>WOS:000823910300003</t>
  </si>
  <si>
    <t>Tseng, MH; Liu, WD; Chen, YH</t>
  </si>
  <si>
    <t>Artificial intelligence (AI) has shown strong potential in dermoscopic image classification; however, reliable clinical deployment remains challenging due to limited generalizability across populations and institutions. This challenge is further compounded by the performance saturation of single models: continued architectural scaling often results in diminishing returns within the training domain and fails to yield corresponding gains in cross-domain robustness. Previous work often relies on a single benchmark dataset and evaluate models under matched data distributions, which can overestimate real-world performance. In this study, we examine the robustness and generalizability of dermoscopic AI systems under realistic deployment conditions. We curate HAM20000, a controlled expansion of the HAM10000 dataset integrating multiple public ISIC releases from 2017 to 2024, designed as a stress-test dataset to analyze performance saturation and architectural sensitivity. A total of 27 pretrained deep learning models, including convolutional neural networks, Vision Transformers, and hybrid CNN-Transformer architectures, were systematically evaluated. To mitigate the limitations of single-model optimization, we applied greedy ensemble selection to construct a compact heterogeneous ensemble using soft voting. All models were trained and selected exclusively on HAM20000 and evaluated under strict zero-shot external validation on two independent datasets: CSMUH (East Asian population) and BCN20000 (European cohort). Although the proposed ensemble achieved over 93% accuracy on the HAM20000 dataset, its performance declined substantially under external validation, highlighting a pronounced cross-population domain gap. On the BCN20000 external validation set, the ensemble reached 62% accuracy, outperforming the strongest individual model (59%) by 3%. On the CSMUH external validation set, the proposed GES achieved an accuracy of approximately 57%, demonstrating improved performance over representative single-model baselines, although it did not exceed the best-performing individual architecture in this dataset. These results indicate that, despite a marked absolute performance drop under distribution shift, the ensemble provides a modest yet consistent improvement over single-model baselines rather than a substantial performance leap. This finding underscores the importance of rigorous external validation and suggests that heterogeneous ensemble learning represents a practical and promising strategy for achieving incremental robustness gains in clinically applicable dermoscopic decision support systems.</t>
  </si>
  <si>
    <t>Tseng, Ming-Hseng; Liu, Wen-Da; Chen, Yu-Hsien</t>
  </si>
  <si>
    <t>Chen, YH (corresponding author), Chung Shan Med Univ Hosp, Dept Integrated Chinese &amp; Western Med, Taichung 40201, Taiwan.</t>
  </si>
  <si>
    <t>mht@csmu.edu.tw; cshy2146@csh.org.tw; 1459004@live.csmu.edu.tw</t>
  </si>
  <si>
    <t>National Science and Technology Council, Taiwan, R.O.C. [114-2121-M-040-001]</t>
  </si>
  <si>
    <t>National Science and Technology Council, Taiwan, R.O.C.</t>
  </si>
  <si>
    <t>This research was funded by the National Science and Technology Council, Taiwan, R.O.C., grant number: NSTC 114-2121-M-040-001.</t>
  </si>
  <si>
    <t>[Tseng, Ming-Hseng; Liu, Wen-Da] Chung Shan Med Univ, Dept Med Informat, Taichung 40201, Taiwan; [Tseng, Ming-Hseng] Chung Shan Med Univ Hosp, Informat Technol Off, Taichung 40201, Taiwan; [Chen, Yu-Hsien] Chung Shan Med Univ Hosp, Dept Integrated Chinese &amp; Western Med, Taichung 40201, Taiwan</t>
  </si>
  <si>
    <t>Chung Shan Medical University; Chung Shan Medical University; Chung Shan Medical University Hospital; Chung Shan Medical University; Chung Shan Medical University Hospital</t>
  </si>
  <si>
    <t>Ensemble Artificial Intelligence for Dermoscopic Decision Support: Development and External Validation of the HAM20000 Dataset</t>
  </si>
  <si>
    <t>ELECTRONICS</t>
  </si>
  <si>
    <t>dermoscopy image; HAM10000; HAM20000; greedy selection; ensemble learning; CNN; ViT; hybrid CNN-ViT; CSMUH; BCN20000</t>
  </si>
  <si>
    <t>Tseng, Ming-Hseng/ABT-6716-2022</t>
  </si>
  <si>
    <t>2079-9292</t>
  </si>
  <si>
    <t>ELECTRONICS-SWITZ</t>
  </si>
  <si>
    <t>Electronics</t>
  </si>
  <si>
    <t>MAY 31 2026</t>
  </si>
  <si>
    <t>2367</t>
  </si>
  <si>
    <t>10.3390/electronics15112367</t>
  </si>
  <si>
    <t>http://dx.doi.org/10.3390/electronics15112367</t>
  </si>
  <si>
    <t>MAY 2026</t>
  </si>
  <si>
    <t>Computer Science, Information Systems; Engineering, Electrical &amp; Electronic; Physics, Applied</t>
  </si>
  <si>
    <t>Computer Science; Engineering; Physics</t>
  </si>
  <si>
    <t>JI1QW</t>
  </si>
  <si>
    <t>WOS:001789901600001</t>
  </si>
  <si>
    <t>gold</t>
  </si>
  <si>
    <t>Fine, JA; Rajasekar, AA; Jethava, KP; Chopra, G</t>
  </si>
  <si>
    <t>State-of-the-art identification of the functional groups present in an unknown chemical entity requires the expertise of a skilled spectroscopist to analyse and interpret Fourier transform infra-red (FTIR), mass spectroscopy (MS) and/or nuclear magnetic resonance (NMR) data. This process can be time-consuming and error-prone, especially for complex chemical entities that are poorly characterised in the literature, or inefficient to use with synthetic robots producing molecules at an accelerated rate. Herein, we introduce a fast, multi-label deep neural network for accurately identifying all the functional groups of unknown compounds using a combination of FTIR and MS spectra. We do not use any database, pre-established rules, procedures, or peak-matching methods. Our trained neural network reveals patterns typically used by human chemists to identify standard groups. Finally, we experimentally validated our neural network, trained on single compounds, to predict functional groups in compound mixtures. Our methodology showcases practical utility for future use in autonomous analytical detection.</t>
  </si>
  <si>
    <t>Fine, Jonathan A.; Rajasekar, Anand A.; Jethava, Krupal P.; Chopra, Gaurav</t>
  </si>
  <si>
    <t>Chopra, G (corresponding author), Purdue Univ, Dept Chem, 560 Oval Dr, W Lafayette, IN 47907 USA.</t>
  </si>
  <si>
    <t>gchopra@purdue.edu</t>
  </si>
  <si>
    <t>Purdue University from the Department of Chemistry at Purdue University; Integrative Data Science Initiative award; Ralph W. and Grace M. Showalter Research Trust award; Jim and Diann Robbers Cancer Research Grant for New Investigators award; NIH NCATS ASPIRE Design Challenge awards; NCATS Clinical and Translational Sciences Award from the Indiana Clinical and Translational Sciences Institute [UL1TR002529]; Purdue University Center for Cancer Research NIH [P30 CA023168]</t>
  </si>
  <si>
    <t>Purdue University from the Department of Chemistry at Purdue University (Purdue University); Integrative Data Science Initiative award; Ralph W. and Grace M. Showalter Research Trust award; Jim and Diann Robbers Cancer Research Grant for New Investigators award; NIH NCATS ASPIRE Design Challenge awards; NCATS Clinical and Translational Sciences Award from the Indiana Clinical and Translational Sciences Institute; Purdue University Center for Cancer Research NIH (Purdue University)</t>
  </si>
  <si>
    <t>This work was supported in part by a Purdue University start-up package from the Department of Chemistry at Purdue University, the Integrative Data Science Initiative award, the Ralph W. and Grace M. Showalter Research Trust award, the Jim and Diann Robbers Cancer Research Grant for New Investigators award and NIH NCATS ASPIRE Design Challenge awards to Gaurav Chopra. Additional support, in part by a NCATS Clinical and Translational Sciences Award from the Indiana Clinical and Translational Sciences Institute (UL1TR002529) and the Purdue University Center for Cancer Research NIH grant P30 CA023168 is also acknowledged. The content is solely the responsibility of the authors and does not necessarily represent the official views of the National Institutes of Health.</t>
  </si>
  <si>
    <t>[Fine, Jonathan A.; Jethava, Krupal P.; Chopra, Gaurav] Purdue Univ, Dept Chem, 560 Oval Dr, W Lafayette, IN 47907 USA; [Rajasekar, Anand A.] Indian Inst Technol Madras, Bhupat &amp; Jyoti Mehta Sch Biosci, Dept Biol Engn, Chennai 600036, Tamil Nadu, India</t>
  </si>
  <si>
    <t>Purdue University System; Purdue University; Indian Institute of Technology System (IIT System); Indian Institute of Technology (IIT) - Madras</t>
  </si>
  <si>
    <t>Spectral deep learning for prediction and prospective validation of functional groups</t>
  </si>
  <si>
    <t>CHEMICAL SCIENCE</t>
  </si>
  <si>
    <t>INFRARED-SPECTROSCOPY; DRUG DISCOVERY; REACTIVITY; CHEMISTRY; MOLECULES; MODEL</t>
  </si>
  <si>
    <t>Chopra, Gaurav/M-2327-2018; Jethava, Krupal/C-9024-2016</t>
  </si>
  <si>
    <t>Chopra, Gaurav/0000-0003-0942-7898; Jethava, Krupal/0000-0002-4440-3333; Fine, Jonathan/0000-0002-3685-8581</t>
  </si>
  <si>
    <t>106</t>
  </si>
  <si>
    <t>122</t>
  </si>
  <si>
    <t>46</t>
  </si>
  <si>
    <t>ROYAL SOC CHEMISTRY</t>
  </si>
  <si>
    <t>CAMBRIDGE</t>
  </si>
  <si>
    <t>THOMAS GRAHAM HOUSE, SCIENCE PARK, MILTON RD, CAMBRIDGE CB4 0WF, CAMBS, ENGLAND</t>
  </si>
  <si>
    <t>2041-6520</t>
  </si>
  <si>
    <t>2041-6539</t>
  </si>
  <si>
    <t>CHEM SCI</t>
  </si>
  <si>
    <t>Chem. Sci.</t>
  </si>
  <si>
    <t>MAY 14 2020</t>
  </si>
  <si>
    <t>2020</t>
  </si>
  <si>
    <t>4618</t>
  </si>
  <si>
    <t>4630</t>
  </si>
  <si>
    <t>10.1039/c9sc06240h</t>
  </si>
  <si>
    <t>http://dx.doi.org/10.1039/c9sc06240h</t>
  </si>
  <si>
    <t>Chemistry, Multidisciplinary</t>
  </si>
  <si>
    <t>Chemistry</t>
  </si>
  <si>
    <t>LR4NW</t>
  </si>
  <si>
    <t>34122917</t>
  </si>
  <si>
    <t>WOS:000535674600003</t>
  </si>
  <si>
    <t>Attia, IZ; Tseng, AS; Benavente, ED; Medina-Inojosa, JR; Clark, TG; Malyutina, S; Kapa, S; Schirmer, H; Kudryavtsev, A; Noseworthy, PA; Carter, RE; Ryabikov, A; Perel, P; Friedman, PA; Leon, DA; Lopez-Jimenez, F</t>
  </si>
  <si>
    <t>Objective: To validate a novel artificial-intelligence electrocardiogram algorithm (AI-ECG) to detect left ventricular systolic dysfunction (LVSD) in an external population.Background: LVSD, even when asymptomatic, confers increased morbidity and mortality. We recently derived AI-ECG to detect LVSD using ECGs based on a large sample of patients treated at the Mayo Clinic.Methods: We performed an external validation study with subjects from the Know Your Heart Study, across-sectional study of adults aged 35-69 years residing in two cities in Russia, who had undergone both ECG and transthoracic echocardiography. LVSD was defined as left ventricular ejection fraction &lt;= 35%. We assessed the performance of the AI-ECG to identify LVSD in this distinct patient population.Results: Among 4277 subjects in this external population-based validation study, 0.6% had LVSD (compared to 7.8% of the original clinical derivation study). The overall performance of the AI-ECG to detect LVSD was robust with an area under the receiver operating curve of 0.82. When using the LVSD probability cut-off of 0256 from the original derivation study, the sensitivity, specificity, and accuracy in this population were 26.9%, 97.4%, 97.0%, respectively. Other probability cut-offs were analysed for different sensitivity values.Conclusions: The AI-ECG detected LVSD with robust test performance in a population that was very different from that used to develop the algorithm. Population-specific cut-offs may be necessary for clinical implementation. Differences in population characteristics, ECG and echocardiographic data quality may affect test performance. (C) 2020 Published by Elsevier B.V.</t>
  </si>
  <si>
    <t>Attia, Itzhak Zachi; Tseng, Andrew S.; Benavente, Ernest Diez; Medina-Inojosa, Jose R.; Clark, Taane G.; Malyutina, Sofia; Kapa, Suraj; Schirmer, Henrik; Kudryavtsev, Alexander, V; Noseworthy, Peter A.; Carter, Rickey E.; Ryabikov, Andrew; Perel, Pablo; Friedman, Paul A.; Leon, David A.; Lopez-Jimenez, Francisco</t>
  </si>
  <si>
    <t>Lopez-Jimenez, F (corresponding author), Mayo Clin, Dept Cardiovasc Med, Rochester, MN 55905 USA.</t>
  </si>
  <si>
    <t>lopez@mayo.edu</t>
  </si>
  <si>
    <t>Wellcome Trust - Norwegian Ministry of Health and Care Services, Norwegian Institute of Public Health [100217]; UiT The Arctic University of Norway; Wellcome Trust [100217/Z/12/Z] Funding Source: researchfish</t>
  </si>
  <si>
    <t>Wellcome Trust - Norwegian Ministry of Health and Care Services, Norwegian Institute of Public Health (Wellcome Trust); UiT The Arctic University of Norway; Wellcome Trust (Wellcome Trust)</t>
  </si>
  <si>
    <t>The Know Your Heart study is a component of the International Project on Cardiovascular Disease in Russia (IPCDR). IPCDR was funded by a Wellcome Trust Strategic Award (100217), supported by funds fromthe Norwegian Ministry of Health and Care Services, Norwegian Institute of Public Health, and UiT The Arctic University of Norway. The funders had no role in study design, data collection and analysis, decision to publish, or preparation of the manuscript. DAL's contribution was partly undertaken within the framework of the HSE University Basic Research Program.</t>
  </si>
  <si>
    <t>[Attia, Itzhak Zachi; Tseng, Andrew S.; Medina-Inojosa, Jose R.; Kapa, Suraj; Noseworthy, Peter A.; Friedman, Paul A.; Lopez-Jimenez, Francisco] Mayo Clin, Dept Cardiovasc Med, Rochester, MN 55905 USA; [Benavente, Ernest Diez; Clark, Taane G.] London Sch Hyg &amp; Trop Med, Dept Infect Biol, London WC1E 7HT, England; [Carter, Rickey E.] Mayo Clin, Dept Hlth Sci Res, Jacksonville, FL USA; [Clark, Taane G.] London Sch Hyg &amp; Trop Med, Dept Infect Dis Epidemiol, London WC1E 7HT, England; [Kudryavtsev, Alexander, V] Northern State Med Univ, Arkhangelsk 163000, Russia; [Schirmer, Henrik; Kudryavtsev, Alexander, V; Leon, David A.] UiT Arctic Univ Norway, Dept Community Med, N-9037 Tromso, Norway; [Schirmer, Henrik] Univ Oslo, Inst Clin Med, Campus Ahus,Lorenskog PB 1000, N-1478 Lorenskog, Norway; [Schirmer, Henrik] Akershus Univ Hosp, Dept Cardiol, N-1478 Oslo, Norway; [Malyutina, Sofia; Ryabikov, Andrew] Novosibirsk State Med Univ, Russian Minist Hlth, Novosibirsk 630091, Russia; [Perel, Pablo; Leon, David A.] London Sch Hyg &amp; Trop Med, Fac Epidemiol &amp; Populat Hlth, Dept Non Communicable Dis Epidemiol, London WC1E 7H7, England; [Leon, David A.] Natl Res Univ, Int Lab Populat &amp; Hlth, Higher Sch Econ, Moscow, Russia; [Malyutina, Sofia; Ryabikov, Andrew] Russian Acad Sci, Branch Inst Cytol &amp; Genet, Siberian Branch, Res Inst Internal &amp; Prevent Med, Novosibirsk 630090, Russia; [Benavente, Ernest Diez] Univ Med Ctr Utrecht, Dept Expt Cardiol, Utrecht, Netherlands</t>
  </si>
  <si>
    <t>Mayo Clinic; University of London; London School of Hygiene &amp; Tropical Medicine; Mayo Clinic; University of London; London School of Hygiene &amp; Tropical Medicine; Northern State Medical University; UiT The Arctic University of Tromso; University of Oslo; University of Oslo; Novosibirsk State Medical University; Ministry of Health of the Russian Federation; University of London; London School of Hygiene &amp; Tropical Medicine; HSE University (National Research University Higher School of Economics); Russian Academy of Sciences; Siberian Branch of the Russian Academy of Sciences; Utrecht University; Utrecht University Medical Center</t>
  </si>
  <si>
    <t>External validation of a deep learning electrocardiogram algorithm to detect ventricular dysfunction</t>
  </si>
  <si>
    <t>INTERNATIONAL JOURNAL OF CARDIOLOGY</t>
  </si>
  <si>
    <t>Artificial intelligence; Machine learning; Electrocardiogram; Left ventricular systolic dysfunction</t>
  </si>
  <si>
    <t>Medina-Inojosa, Jose/Z-5609-2019; Clark, Taane/AAM-2570-2020; Ryabikov, Andrew/AAD-8234-2022; Attia, Zachi/AAI-2497-2019; Diez Benavente, Ernest/ODL-3789-2025; Carter, Rickey/A-1594-2012; Malyutina, Sofia/J-1651-2018; Kudryavtsev, Alexander/C-8817-2013</t>
  </si>
  <si>
    <t>Medina-Inojosa, Jose/0000-0001-8705-0462; Clark, Taane/0000-0001-8985-9265; Kapa, Suraj/0000-0003-2283-4340; Diez Benavente, Ernest/0000-0002-4313-4290; Carter, Rickey/0000-0002-0818-273X; Malyutina, Sofia/0000-0001-6539-0466; Kudryavtsev, Alexander/0000-0001-8902-8947</t>
  </si>
  <si>
    <t>67</t>
  </si>
  <si>
    <t>77</t>
  </si>
  <si>
    <t>0167-5273</t>
  </si>
  <si>
    <t>1874-1754</t>
  </si>
  <si>
    <t>INT J CARDIOL</t>
  </si>
  <si>
    <t>Int. J. Cardiol.</t>
  </si>
  <si>
    <t>APR 15 2021</t>
  </si>
  <si>
    <t>329</t>
  </si>
  <si>
    <t>135</t>
  </si>
  <si>
    <t>10.1016/j.ijcard.2020.12.065</t>
  </si>
  <si>
    <t>http://dx.doi.org/10.1016/j.ijcard.2020.12.065</t>
  </si>
  <si>
    <t>MAR 2021</t>
  </si>
  <si>
    <t>RJ4WI</t>
  </si>
  <si>
    <t>33400971</t>
  </si>
  <si>
    <t>WOS:000637601100025</t>
  </si>
  <si>
    <t>Myhre, PL; Hung, CL; Frost, MJ; Jiang, ZB; Ouwerkerk, W; Teramoto, K; Svedlund, S; Saraste, A; Hage, C; Tan, RS; Beussink-Nelson, L; Fermer, ML; Gan, LM; Hummel, YM; Lund, LH; Shah, SJ; Lam, CSP; Tromp, J</t>
  </si>
  <si>
    <t>Aims Echocardiographic strain imaging reflects myocardial deformation and is a sensitive measure of cardiac function and wall-motion abnormalities. Deep learning (DL) algorithms could automate the interpretation of echocardiographic strain imaging.Methods and results We developed and trained an automated DL-based algorithm for left ventricular (LV) strain measurements in an internal dataset. Global longitudinal strain (GLS) was validated externally in (i) a real-world Taiwanese cohort of participants with and without heart failure (HF), (ii) a core-lab measured dataset from the multinational prevalence of microvascular dysfunction-HF and preserved ejection fraction (PROMIS-HFpEF) study, and regional strain in (iii) the HMC-QU-MI study of patients with suspected myocardial infarction. Outcomes included measures of agreement [bias, mean absolute difference (MAD), root-mean-squared-error (RMSE), and Pearson's correlation (R)] and area under the curve (AUC) to identify HF and regional wall-motion abnormalities. The DL workflow successfully analysed 3741 (89%) studies in the Taiwanese cohort, 176 (96%) in PROMIS-HFpEF, and 158 (98%) in HMC-QU-MI. Automated GLS showed good agreement with manual measurements (mean +/- SD): -18.9 +/- 4.5% vs. -18.2 +/- 4.4%, respectively, bias 0.68 +/- 2.52%, MAD 2.0 +/- 1.67, RMSE = 2.61, R = 0.84 in the Taiwanese cohort; and -15.4 +/- 4.1% vs. -15.9 +/- 3.6%, respectively, bias -0.65 +/- 2.71%, MAD 2.19 +/- 1.71, RMSE = 2.78, R = 0.76 in PROMIS-HFpEF. In the Taiwanese cohort, automated GLS accurately identified patients with HF (AUC = 0.89 for total HF and AUC = 0.98 for HF with reduced ejection fraction). In HMC-QU-MI, automated regional strain identified regional wall-motion abnormalities with an average AUC = 0.80.Conclusion DL algorithms can interpret echocardiographic strain images with similar accuracy as conventional measurements. These results highlight the potential of DL algorithms to democratize the use of cardiac strain measurements and reduce time-spent and costs for echo labs globally.Graphical Abstract</t>
  </si>
  <si>
    <t>Myhre, Peder L.; Hung, Chung-Lieh; Frost, Matthew J.; Jiang, Zhubo; Ouwerkerk, Wouter; Teramoto, Kanako; Svedlund, Sara; Saraste, Antti; Hage, Camilla; Tan, Ru-San; Beussink-Nelson, Lauren; Fermer, Maria L.; Gan, Li-Ming; Hummel, Yoran M.; Lund, Lars H.; Shah, Sanjiv J.; Lam, Carolyn S. P.; Tromp, Jasper</t>
  </si>
  <si>
    <t>Myhre, PL (corresponding author), Akershus Univ Hosp, Div Med, Lorenskog, Norway.; Myhre, PL (corresponding author), Univ Oslo, KG Jebsen Ctr Cardiac Biomarkers, Oslo, Norway.</t>
  </si>
  <si>
    <t>p.l.myhre@medisin.uio.no</t>
  </si>
  <si>
    <t>AstraZeneca; NSF-Business Finland Center for Visual and Decision Informatics (CVDI) Advanced Machine Learning for Industrial Applications (AMaLIA) project [4183/31/2021]</t>
  </si>
  <si>
    <t>AstraZeneca (AstraZeneca); NSF-Business Finland Center for Visual and Decision Informatics (CVDI) Advanced Machine Learning for Industrial Applications (AMaLIA) project</t>
  </si>
  <si>
    <t>The PROMIS-HFpEF study (Prevalence of Microvascular Dysfunction in Heart Failure with Preserved Ejection Fraction) was funded by AstraZeneca. The HMC-QU study was supported by the NSF-Business Finland Center for Visual and Decision Informatics (CVDI) Advanced Machine Learning for Industrial Applications (AMaLIA) project under Grant 4183/31/2021.</t>
  </si>
  <si>
    <t>[Myhre, Peder L.] Akershus Univ Hosp, Div Med, Lorenskog, Norway; [Myhre, Peder L.] Univ Oslo, KG Jebsen Ctr Cardiac Biomarkers, Oslo, Norway; [Hung, Chung-Lieh] Mackay Mem Hosp, Dept Internal Med, Div Cardiol, Taipei, Taiwan; [Hung, Chung-Lieh] MacKay Med Coll, Inst Biomed Sci, New Taipei, Taiwan; [Frost, Matthew J.; Jiang, Zhubo] Us2 Ai, Singapore, Singapore; [Ouwerkerk, Wouter; Tan, Ru-San; Lam, Carolyn S. P.; Tromp, Jasper] Natl Heart Ctr, Singapore, Singapore; [Ouwerkerk, Wouter] Univ Amsterdam, Amsterdam Inst Infect &amp; Immun, Canc Ctr Amsterdam, Dept Dermatol,Amsterdam UMC, Amsterdam, Netherlands; [Teramoto, Kanako] Natl Cerebral &amp; Cardiovasc Ctr, Dept Neurosurg, Osaka, Japan; [Svedlund, Sara] Univ Gothenburg, Sahlgrenska Univ Hosp, Dept Clin Physiol, Inst Med, Gothenburg, Sweden; [Svedlund, Sara; Gan, Li-Ming] Ribocure Pharmaceut AB Ribo Life Sci Co Ltd, Gothenburg, Sweden; [Saraste, Antti] Univ Turku, Turku Univ Hosp, Ctr Heart, Turku, Finland; [Hage, Camilla; Lund, Lars H.] Karolinska Univ Hosp, Dept Cardiol, Heart Vasc &amp; Neuro Theme, Stockholm, Sweden; [Hage, Camilla] Karolinska Inst, Dept Med, Cardiol Unit, Stockholm, Sweden; [Beussink-Nelson, Lauren; Shah, Sanjiv J.] Northwestern Univ, Feinberg Sch Med, Dept Med, Div Cardiol, Chicago, IL USA; [Fermer, Maria L.] AstraZeneca, BioPharmaceut R&amp;D, Early Clin Dev Res &amp; Early Dev Cardiovasc Renal &amp;, Gothenburg, Sweden; [Gan, Li-Ming] Univ Gothenburg, Inst Med, Sahlgrenska Acad, Dept Mol &amp; Clin Med, Gothenburg, Sweden; [Lam, Carolyn S. P.; Tromp, Jasper] Duke Natl Univ Singapore, Med Sch, Singapore, Singapore; [Tromp, Jasper] Natl Univ Singapore, Saw Swee Hock Sch Publ Hlth, Singapore, Singapore</t>
  </si>
  <si>
    <t>University of Oslo; University of Oslo; Mackay Memorial Hospital; Mackay Medical University; National Heart Centre Singapore; University of Amsterdam; Vrije Universiteit Amsterdam; National Cerebral &amp; Cardiovascular Center - Japan; Sahlgrenska University Hospital; University of Gothenburg; University of Turku; Karolinska Institutet; Karolinska University Hospital; Karolinska Institutet; Northwestern University; Feinberg School of Medicine; AstraZeneca; University of Gothenburg; National University of Singapore; National University of Singapore</t>
  </si>
  <si>
    <t>External validation of a deep learning algorithm for automated echocardiographic strain measurements</t>
  </si>
  <si>
    <t>Deep learning; Echocardiography; Strain; Global longitudinal strain; Heart failure; Artificial intelligence</t>
  </si>
  <si>
    <t>LEFT-VENTRICULAR STRAIN; LONGITUDINAL STRAIN; QUANTIFICATION; TRACKING; STANDARD</t>
  </si>
  <si>
    <t>Tromp, Jasper/GSD-4895-2022; Hage, Camilla/AAG-6465-2020; Ouwerkerk, Wouter/HNR-7688-2023; Tan, Ru San/HJI-5085-2023; Shah, Sanjiv/AFQ-9480-2022; Teramoto, Kanako/AEX-5679-2022; Lam, Carolyn SP/ABD-6810-2021</t>
  </si>
  <si>
    <t>Lund, Lars H/0000-0003-1411-4482; Myhre, Peder Langeland/0000-0002-5871-1804; Shah, Sanjiv/0000-0002-5655-8201; Teramoto, Kanako/0000-0002-4217-9497</t>
  </si>
  <si>
    <t>JAN 22 2024</t>
  </si>
  <si>
    <t>60</t>
  </si>
  <si>
    <t>68</t>
  </si>
  <si>
    <t>10.1093/ehjdh/ztad072</t>
  </si>
  <si>
    <t>http://dx.doi.org/10.1093/ehjdh/ztad072</t>
  </si>
  <si>
    <t>GU0P9</t>
  </si>
  <si>
    <t>38264705</t>
  </si>
  <si>
    <t>WOS:001155071200010</t>
  </si>
  <si>
    <t>Frenkel, E; Neumayr, J; Schwarzmaier, J; Kessler, A; Ammar, N; Schwendicke, F; Kühnisch, J; Dujic, H</t>
  </si>
  <si>
    <t>Objective: This ex vivo diagnostic study aimed to externally validate a freely accessible AI-based model for caries detection, classification, localisation and segmentation using an independent image dataset. It was hypothesised that there would be no difference in diagnostic performance compared to previously published internal validation data. Methods: For the independent dataset, 718 dental images representing different stages of carious (n = 535) and noncarious teeth (n = 183) were retrieved from the internet. All photographs were evaluated by the dental team (reference standard) and the AI-based model (test method). Diagnostic performance was statistically determined using cross-tabulations to calculate accuracy (ACC), sensitivity (SE), specificity (SP) and area under the curve (AUC). Results: An overall ACC of 92.0% was achieved for caries detection, with an ACC of 85.5-95.6%, SE of 42.9-93.3%, SP of 82.1-99.4% and AUC of 0.702-0.909 for the classification of caries. Furthermore, 97.0% of the cases were accurately localised. Fully and partially correct segmentation was achieved in 52.9% and 44.1% of the cases, respectively. Conclusions: The validated AI-based model showed promising diagnostic performance in detecting and classifying caries using an independent image dataset. Future studies are needed to investigate the validity, reliability and practicability of AI-based models using dental photographs from different image sources and/or patient groups.</t>
  </si>
  <si>
    <t>Frenkel, Elisabeth; Neumayr, Julia; Schwarzmaier, Julia; Kessler, Andreas; Ammar, Nour; Schwendicke, Falk; Kuehnisch, Jan; Dujic, Helena</t>
  </si>
  <si>
    <t>Kühnisch, J (corresponding author), Ludwig Maximilians Univ Munchen, Univ Hosp, Dept Conservat Dent &amp; Periodontol, D-80336 Munich, Germany.</t>
  </si>
  <si>
    <t>julia.neumayr97@web.de; julia.schwarzmaier@web.de; h.dujic@med.uni-muenchen.de; lisafrenkel04@gmail.com; jan.kuehnisch@med.uni-muenchen.de; andreas.kessler@med.uni-muenchen.de; nour.ammar@outlook.de; falk.schwendicke@med.uni-muenchen.de</t>
  </si>
  <si>
    <t>Forschungsgemeinschaft Dental e.V. (FGD)</t>
  </si>
  <si>
    <t>N.A. received a scholarship from the Forschungsgemeinschaft Dental e.V. (FGD) with grant number 01/2023.</t>
  </si>
  <si>
    <t>[Frenkel, Elisabeth; Neumayr, Julia; Schwarzmaier, Julia; Kessler, Andreas; Ammar, Nour; Schwendicke, Falk; Kuehnisch, Jan; Dujic, Helena] Ludwig Maximilians Univ Munchen, Univ Hosp, Dept Conservat Dent &amp; Periodontol, D-80336 Munich, Germany; [Kessler, Andreas] Univ Freiburg, Med Ctr, Fac Med, Ctr Dent Med,Dept Prosthet Dent, D-79106 Freiburg, Germany</t>
  </si>
  <si>
    <t>University of Munich; University of Freiburg</t>
  </si>
  <si>
    <t>Caries Detection and Classification in Photographs Using an Artificial Intelligence-Based Model-An External Validation Study</t>
  </si>
  <si>
    <t>dental caries; diagnosis; validation study; artificial intelligence; deep learning</t>
  </si>
  <si>
    <t>SCORING SYSTEM UNIVISS</t>
  </si>
  <si>
    <t>Kessler, Andreas/QMQ-7995-2026; Kühnisch, Jan/HCI-7122-2022; Ammar, Nour/AAV-7367-2021</t>
  </si>
  <si>
    <t>Kessler, Andreas/0000-0003-3024-2425; Kühnisch, Jan/0000-0003-4063-2291; Ammar, Nour/0000-0002-7654-2493; Dujic, Helena/0000-0002-9829-4427</t>
  </si>
  <si>
    <t>2281</t>
  </si>
  <si>
    <t>10.3390/diagnostics14202281</t>
  </si>
  <si>
    <t>http://dx.doi.org/10.3390/diagnostics14202281</t>
  </si>
  <si>
    <t>K1O1L</t>
  </si>
  <si>
    <t>39451605</t>
  </si>
  <si>
    <t>WOS:001341635700001</t>
  </si>
  <si>
    <t>Yoon, SJ; Kwon, W; Lee, OJ; Jung, JH; Shin, YC; Lim, CS; Kim, H; Jang, JY; Shin, SH; Heo, JS; Han, IW</t>
  </si>
  <si>
    <t>Purpose: Postoperative pancreatic fistula (POPF) is a life-threatening complication following pancreatoduodenectomy (PD). We previously developed nomogram-and artificial intelligence (AI)-based risk prediction platforms for POPF after PD. This study aims to externally validate these platforms. Methods: Between January 2007 and December 2016, a total of 1,576 patients who underwent PD in Seoul National University Hospital, Ilsan Paik Hospital, and Boramae Medical Center were retrospectively reviewed. The individual risk scores for POPF were calculated using each platform by Samsung Medical Center. The predictive ability was evaluated using a receiver operating characteristic curve and the area under the curve (AUC). The optimal predictive value was obtained via backward elimination in accordance with the results from the AI development process. Results: The AUC of the nomogram after external validation was 0.679 (P &lt; 0.001). The values of AUC after backward elimination in the AI model varied from 0.585 to 0.672. A total of 13 risk factors represented the maximal AUC of 0.672 (P &lt; 0.001). Conclusion: We performed external validation of previously developed platforms for predicting POPF. Further research is needed to investigate other potential risk factors and thereby improve the predictability of the platform.</t>
  </si>
  <si>
    <t>Yoon, So Jeong; Kwon, Wooil; Lee, Ok Joo; Jung, Ji Hye; Shin, Yong Chan; Lim, Chang-Sup; Kim, Hongbeom; Jang, Jin-Young; Shin, Sang Hyun; Heo, Jin Seok; Han, In Woong</t>
  </si>
  <si>
    <t>Han, IW (corresponding author), Sungkyunkwan Univ, Samsung Med Ctr, Dept Surg, Div Hepatobiliary Pancreat Surg,Sch Med, 81 Irwon Ro, Seoul 06351, South Korea.</t>
  </si>
  <si>
    <t>cardioman76@gmail.com</t>
  </si>
  <si>
    <t>Samsung Medical Center grant [SMO1210421]</t>
  </si>
  <si>
    <t>Samsung Medical Center grant (Samsung)</t>
  </si>
  <si>
    <t>This study was supported by Samsung Medical Center grant (#SMO1210421).</t>
  </si>
  <si>
    <t>[Yoon, So Jeong; Lee, Ok Joo; Jung, Ji Hye; Shin, Sang Hyun; Heo, Jin Seok; Han, In Woong] Sungkyunkwan Univ, Samsung Med Ctr, Dept Surg, Div Hepatobiliary Pancreat Surg,Sch Med, 81 Irwon Ro, Seoul 06351, South Korea; [Kwon, Wooil; Kim, Hongbeom; Jang, Jin-Young] Seoul Natl Univ, Seoul Natl Univ Hosp, Coll Med, Dept Surg, Seoul, South Korea; [Shin, Yong Chan] Inje Univ, Ilsan Paik Hosp, Coll Med, Dept Surg, Goyang, South Korea; [Lim, Chang-Sup] Seoul Natl Univ, Boramae Med Ctr, Dept Surg, Coll Med,Seoul Metropolitan Govt, Seoul, South Korea</t>
  </si>
  <si>
    <t>Seoul National University (SNU); Seoul National University Hospital; Inje University</t>
  </si>
  <si>
    <t>External validation of risk prediction platforms for pancreatic fistula after pancreatoduodenectomy using nomograms and artificial intelligence</t>
  </si>
  <si>
    <t>ANNALS OF SURGICAL TREATMENT AND RESEARCH</t>
  </si>
  <si>
    <t>Artificial intelligence; Nomograms; Pancreatic fistula; Pancreatoduodenectomy; Postoperative complications</t>
  </si>
  <si>
    <t>Heo, Jinseok/QLW-1823-2026</t>
  </si>
  <si>
    <t>Lim, Chang-Sup/0000-0002-2349-9647; Lee, Okjoo/0000-0003-1077-2592; Jin-Young, Jang/0000-0003-3312-0503; Shin, Sang Hyun/0000-0002-2533-4491; Kwon, Wooil/0000-0002-4827-7805</t>
  </si>
  <si>
    <t>KOREAN SURGICAL SOCIETY</t>
  </si>
  <si>
    <t>SEOUL</t>
  </si>
  <si>
    <t>3304HO, 101 DONG, BROWNSTONE SEOUL, 335, JUNGMIN-DONG, JUNG-GU, SEOUL, 100-859, SOUTH KOREA</t>
  </si>
  <si>
    <t>2288-6575</t>
  </si>
  <si>
    <t>2288-6796</t>
  </si>
  <si>
    <t>ANN SURG TREAT RES</t>
  </si>
  <si>
    <t>Ann. Surg. Treat. Res.</t>
  </si>
  <si>
    <t>102</t>
  </si>
  <si>
    <t>147</t>
  </si>
  <si>
    <t>10.4174/astr.2022.102.3.147</t>
  </si>
  <si>
    <t>http://dx.doi.org/10.4174/astr.2022.102.3.147</t>
  </si>
  <si>
    <t>ZU7ZH</t>
  </si>
  <si>
    <t>35317357</t>
  </si>
  <si>
    <t>WOS:000770058000004</t>
  </si>
  <si>
    <t>Marchetti, MA; Cowen, EA; Kurtansky, NR; Weber, J; Dauscher, M; DeFazio, J; Deng, L; Dusza, SW; Haliasos, H; Halpern, AC; Hosein, S; Nazir, ZH; Marghoob, AA; Quigley, EA; Salvador, T; Rotemberg, VM</t>
  </si>
  <si>
    <t>The use of artificial intelligence (AI) has the potential to improve the assessment of lesions suspicious of melanoma, but few clinical studies have been conducted. We validated the accuracy of an open-source, non-commercial AI algorithm for melanoma diagnosis and assessed its potential impact on dermatologist decision-making. We conducted a prospective, observational clinical study to assess the diagnostic accuracy of the AI algorithm (ADAE) in predicting melanoma from dermoscopy skin lesion images. The primary aim was to assess the reliability of ADAE's sensitivity at a predefined threshold of 95%. Patients who had consented for a skin biopsy to exclude melanoma were eligible. Dermatologists also estimated the probability of melanoma and indicated management choices before and after real-time exposure to ADAE scores. All lesions underwent biopsy. Four hundred thirty-five participants were enrolled and contributed 603 lesions (95 melanomas). Participants had a mean age of 59 years, 54% were female, and 96% were White individuals. At the predetermined 95% sensitivity threshold, ADAE had a sensitivity of 96.8% (95% CI: 91.1-98.9%) and specificity of 37.4% (95% CI: 33.3-41.7%). The dermatologists' ability to assess melanoma risk significantly improved after ADAE exposure (AUC 0.7798 vs. 0.8161, p = 0.042). Post-ADAE dermatologist decisions also had equivalent or higher net benefit compared to biopsying all lesions. We validated the accuracy of an open-source melanoma AI algorithm and showed its theoretical potential for improving dermatology experts' ability to evaluate lesions suspicious of melanoma. Larger randomized trials are needed to fully evaluate the potential of adopting this AI algorithm into clinical workflows.</t>
  </si>
  <si>
    <t>Marchetti, Michael A.; Cowen, Emily A.; Kurtansky, Nicholas R.; Weber, Jochen; Dauscher, Megan; DeFazio, Jennifer; Deng, Liang; Dusza, Stephen W.; Haliasos, Helen; Halpern, Allan C.; Hosein, Sharif; Nazir, Zaeem H.; Marghoob, Ashfaq A.; Quigley, Elizabeth A.; Salvador, Trina; Rotemberg, Veronica M.</t>
  </si>
  <si>
    <t>Rotemberg, VM (corresponding author), Mem Sloan Kettering Canc Ctr, Dept Med, Dermatol Serv, New York, NY 10065 USA.</t>
  </si>
  <si>
    <t>rotembev@mskcc.org</t>
  </si>
  <si>
    <t>National Institutes of Health/National. Cancer Institute Cancer Center Support Grant; Melanoma Research Alliance Young Investigator Award [P30 CA008748]; Harry J. Lloyd Charitable Trust Melanoma Research Grant; National Center for Advancing Translational Sciences (NCATS) Clinical and Translational Science Center at Weill Cornell Medical College; National Cancer Institute [P30CA008748] Funding Source: NIH RePORTER; National Center for Advancing Translational Sciences [KL2TR002385] Funding Source: NIH RePORTER</t>
  </si>
  <si>
    <t>National Institutes of Health/National. Cancer Institute Cancer Center Support Grant; Melanoma Research Alliance Young Investigator Award; Harry J. Lloyd Charitable Trust Melanoma Research Grant; National Center for Advancing Translational Sciences (NCATS) Clinical and Translational Science Center at Weill Cornell Medical College; National Cancer Institute (United States Department of Health &amp; Human Services, National Institutes of Health (NIH) - USA, NIH National Cancer Institute (NCI)); National Center for Advancing Translational Sciences (United States Department of Health &amp; Human Services, National Institutes of Health (NIH) - USA, NIH National Center for Advancing Translational Sciences (NCATS))</t>
  </si>
  <si>
    <t>This work was supported by the National Institutes of Health/National. Cancer Institute Cancer Center Support Grant (P30 CA008748), a Melanoma Research Alliance Young Investigator Award (614197), a Harry J. Lloyd Charitable Trust Melanoma Research Grant, and a National Center for Advancing Translational Sciences (NCATS) grant 2 KL2 TR0002385-06 of the Clinical and Translational Science Center at Weill Cornell Medical College. The sponsors had no role in study design; in the collection, analysis, and interpretation of data; in the writing of the report; and in the decision to submit the paper for publication. We thank Dr. Mario Lacouture at Memorial Sloan Kettering Cancer Center for his contribution enrolling participants into the study.</t>
  </si>
  <si>
    <t>[Marchetti, Michael A.; Cowen, Emily A.; Kurtansky, Nicholas R.; Weber, Jochen; Dauscher, Megan; DeFazio, Jennifer; Deng, Liang; Dusza, Stephen W.; Haliasos, Helen; Halpern, Allan C.; Hosein, Sharif; Nazir, Zaeem H.; Marghoob, Ashfaq A.; Quigley, Elizabeth A.; Salvador, Trina; Rotemberg, Veronica M.] Mem Sloan Kettering Canc Ctr, Dept Med, Dermatol Serv, New York, NY 10065 USA</t>
  </si>
  <si>
    <t>Memorial Sloan Kettering Cancer Center</t>
  </si>
  <si>
    <t>Prospective validation of dermoscopy-based open-source artificial intelligence for melanoma diagnosis (PROVE-AI study)</t>
  </si>
  <si>
    <t>TECHNOLOGICAL ADVANCES; PREDICTION MODELS; IMPACT</t>
  </si>
  <si>
    <t>Kurtansky, Nicholas/HJB-3156-2022</t>
  </si>
  <si>
    <t>Kurtansky, Nicholas/0000-0002-6745-0386; Weber, Jochen/0000-0002-2397-4954; Cowen, Emily/0000-0002-8616-3542</t>
  </si>
  <si>
    <t>24</t>
  </si>
  <si>
    <t>59</t>
  </si>
  <si>
    <t>JUL 12 2023</t>
  </si>
  <si>
    <t>127</t>
  </si>
  <si>
    <t>10.1038/s41746-023-00872-1</t>
  </si>
  <si>
    <t>http://dx.doi.org/10.1038/s41746-023-00872-1</t>
  </si>
  <si>
    <t>M0KP3</t>
  </si>
  <si>
    <t>37438476</t>
  </si>
  <si>
    <t>WOS:001027088200001</t>
  </si>
  <si>
    <t>Schmidt, B; Soerensen, SJC; Bhambhvani, HP; Fan, RE; Bhattacharya, I; Choi, MH; Kunder, CA; Kao, CS; Higgins, J; Rusu, M; Sonn, GA</t>
  </si>
  <si>
    <t>ObjectivesTo externally validate the performance of the DeepDx Prostate artificial intelligence (AI) algorithm (Deep Bio Inc., Seoul, South Korea) for Gleason grading on whole-mount prostate histopathology, considering potential variations observed when applying AI models trained on biopsy samples to radical prostatectomy (RP) specimens due to inherent differences in tissue representation and sample size.Materials and MethodsThe commercially available DeepDx Prostate AI algorithm is an automated Gleason grading system that was previously trained using 1133 prostate core biopsy images and validated on 700 biopsy images from two institutions. We assessed the AI algorithm's performance, which outputs Gleason patterns (3, 4, or 5), on 500 1-mm2 tiles created from 150 whole-mount RP specimens from a third institution. These patterns were then grouped into grade groups (GGs) for comparison with expert pathologist assessments. The reference standard was the International Society of Urological Pathology GG as established by two experienced uropathologists with a third expert to adjudicate discordant cases. We defined the main metric as the agreement with the reference standard, using Cohen's kappa.ResultsThe agreement between the two experienced pathologists in determining GGs at the tile level had a quadratically weighted Cohen's kappa of 0.94. The agreement between the AI algorithm and the reference standard in differentiating cancerous vs non-cancerous tissue had an unweighted Cohen's kappa of 0.91. Additionally, the AI algorithm's agreement with the reference standard in classifying tiles into GGs had a quadratically weighted Cohen's kappa of 0.89. In distinguishing cancerous vs non-cancerous tissue, the AI algorithm achieved a sensitivity of 0.997 and specificity of 0.88; in classifying GG &gt;= 2 vs GG 1 and non-cancerous tissue, it demonstrated a sensitivity of 0.98 and specificity of 0.85.ConclusionThe DeepDx Prostate AI algorithm had excellent agreement with expert uropathologists and performance in cancer identification and grading on RP specimens, despite being trained on biopsy specimens from an entirely different patient population.</t>
  </si>
  <si>
    <t>Schmidt, Bogdana; Soerensen, Simon John Christoph; Bhambhvani, Hriday P.; Fan, Richard E.; Bhattacharya, Indrani; Choi, Moon Hyung; Kunder, Christian A.; Kao, Chia-Sui; Higgins, John; Rusu, Mirabela; Sonn, Geoffrey A.</t>
  </si>
  <si>
    <t>Sonn, GA (corresponding author), Ctr Acad Med, 453 Quarry Rd, Urol 5656, Palo Alto, CA 94304 USA.</t>
  </si>
  <si>
    <t>gsonn@stanford.edu</t>
  </si>
  <si>
    <t>Department of Radiology at Stanford University; Department of Urology at Stanford University; National Cancer Institute of the National Institutes of Health [R37CA260346]</t>
  </si>
  <si>
    <t>Department of Radiology at Stanford University (Stanford University); Department of Urology at Stanford University; National Cancer Institute of the National Institutes of Health (United States Department of Health &amp; Human Services, National Institutes of Health (NIH) - USA, NIH National Cancer Institute (NCI))</t>
  </si>
  <si>
    <t>All support for the present manuscript: this work was supported by the Departments of Radiology and Urology at Stanford University and the National Cancer Institute of the National Institutes of Health under Award Number R37CA260346. The content is solely the responsibility of the authors' and does not necessarily represent the official views of the National Institutes of Health. Dr Bhambhvani was previously an employee of Valar Labs (January 2022-October2022). Dr Rusu received consultant fees from Roche Molecular Systems until April 2023, unrelated to this research. Dr Rusu received research grants from GE Healthcare and Philips Healthcare. There are no financial conflicts of interest between any company and the authors. All authors certify that they have disclosed all relationships that could be viewed as presenting a potential conflict of interest.</t>
  </si>
  <si>
    <t>[Schmidt, Bogdana] Univ Utah, Huntsman Canc Hosp, Dept Surg, Div Urol, Salt Lake City, UT USA; [Soerensen, Simon John Christoph; Fan, Richard E.; Rusu, Mirabela; Sonn, Geoffrey A.] Stanford Univ, Dept Urol, Sch Med, Stanford, CA USA; [Soerensen, Simon John Christoph] Stanford Univ, Dept Epidemiol &amp; Populat Hlth, Sch Med, Stanford, CA USA; [Bhattacharya, Indrani; Rusu, Mirabela; Sonn, Geoffrey A.] Stanford Univ, Sch Med, Dept Radiol, Stanford, CA 94305 USA; [Kunder, Christian A.; Higgins, John] Stanford Univ, Sch Med, Dept Pathol, Stanford, CA USA; [Rusu, Mirabela] Stanford Univ, Dept Biomed Data Sci, Stanford, CA USA; [Bhambhvani, Hriday P.] New York Presbyterian Hosp, Weill Cornell Med Coll, Dept Urol, New York, NY USA; [Kao, Chia-Sui] Cleveland Clin, Dept Pathol &amp; Lab Med, Cleveland, OH USA; [Choi, Moon Hyung] Catholic Univ Korea, Eunpyeong St Marys Hosp, Coll Med, Dept Radiol, Seoul, South Korea</t>
  </si>
  <si>
    <t>Utah System of Higher Education; University of Utah; Huntsman Cancer Institute; Stanford University; Stanford Medicine; Stanford Medicine; Stanford University; Stanford University; Stanford Medicine; Stanford Medicine; Stanford University; Stanford University; Cornell University; Weill Cornell Medicine; NewYork-Presbyterian Hospital; Cleveland Clinic Foundation; Catholic University of Korea</t>
  </si>
  <si>
    <t>External validation of an artificial intelligence model for Gleason grading of prostate cancer on prostatectomy specimens</t>
  </si>
  <si>
    <t>BJU INTERNATIONAL</t>
  </si>
  <si>
    <t>radical prostatectomy; artificial intelligence; Gleason grading; prostate cancer; whole-mount prostatectomy</t>
  </si>
  <si>
    <t>HISTOPATHOLOGY; REGISTRATION; BIOPSIES</t>
  </si>
  <si>
    <t>Bhambhvani, Hriday/PJT-0583-2026; Bhattacharya, Inani/AAD-9549-2021; Soerensen, Simon John Christoph/AFE-5600-2022; Kunder, Christian/AAW-5377-2021</t>
  </si>
  <si>
    <t>Fan, Richard/0000-0001-7716-0377; Sonn, Geoffrey/0000-0002-0850-1956; Bhattacharya, Inani/0000-0003-1557-6961; Rusu, Mirabela/0000-0002-0372-0367</t>
  </si>
  <si>
    <t>30</t>
  </si>
  <si>
    <t>1464-4096</t>
  </si>
  <si>
    <t>1464-410X</t>
  </si>
  <si>
    <t>BJU INT</t>
  </si>
  <si>
    <t>BJU Int.</t>
  </si>
  <si>
    <t>JAN 2025</t>
  </si>
  <si>
    <t>133</t>
  </si>
  <si>
    <t>139</t>
  </si>
  <si>
    <t>10.1111/bju.16464</t>
  </si>
  <si>
    <t>http://dx.doi.org/10.1111/bju.16464</t>
  </si>
  <si>
    <t>JUL 2024</t>
  </si>
  <si>
    <t>Urology &amp; Nephrology</t>
  </si>
  <si>
    <t>O8M4V</t>
  </si>
  <si>
    <t>38989669</t>
  </si>
  <si>
    <t>WOS:001268775100001</t>
  </si>
  <si>
    <t>Baldwin, DR; Gustafson, J; Pickup, L; Arteta, C; Novotny, P; Declerck, J; Kadir, T; Figueiras, C; Sterba, A; Exell, A; Potesil, V; Holland, P; Spence, H; Clubley, A; O'Dowd, E; Clark, M; Ashford-Turner, V; Callister, MEJ; Gleeson, F</t>
  </si>
  <si>
    <t>BackgroundEstimation of the risk of malignancy in pulmonary nodules detected by CT is central in clinical management. The use of artificial intelligence (AI) offers an opportunity to improve risk prediction. Here we compare the performance of an AI algorithm, the lung cancer prediction convolutional neural network (LCP-CNN), with that of the Brock University model, recommended in UK guidelines.MethodsA dataset of incidentally detected pulmonary nodules measuring 5-15 mm was collected retrospectively from three UK hospitals for use in a validation study. Ground truth diagnosis for each nodule was based on histology (required for any cancer), resolution, stability or (for pulmonary lymph nodes only) expert opinion. There were 1397 nodules in 1187 patients, of which 234 nodules in 229 (19.3%) patients were cancer. Model discrimination and performance statistics at predefined score thresholds were compared between the Brock model and the LCP-CNN.ResultsThe area under the curve for LCP-CNN was 89.6% (95% CI 87.6 to 91.5), compared with 86.8% (95% CI 84.3 to 89.1) for the Brock model (p &lt;= 0.005). Using the LCP-CNN, we found that 24.5% of nodules scored below the lowest cancer nodule score, compared with 10.9% using the Brock score. Using the predefined thresholds, we found that the LCP-CNN gave one false negative (0.4% of cancers), whereas the Brock model gave six (2.5%), while specificity statistics were similar between the two models.ConclusionThe LCP-CNN score has better discrimination and allows a larger proportion of benign nodules to be identified without missing cancers than the Brock model. This has the potential to substantially reduce the proportion of surveillance CT scans required and thus save significant resources.</t>
  </si>
  <si>
    <t>Baldwin, David R.; Gustafson, Jennifer; Pickup, Lyndsey; Arteta, Carlos; Novotny, Petr; Declerck, Jerome; Kadir, Timor; Figueiras, Catarina; Sterba, Albert; Exell, Alan; Potesil, Vaclav; Holland, Paul; Spence, Hazel; Clubley, Alison; O'Dowd, Emma; Clark, Matthew; Ashford-Turner, Victoria; Callister, Matthew E. J.; Gleeson, Fergus, V</t>
  </si>
  <si>
    <t>Baldwin, DR (corresponding author), Nottingham Univ Hosp, Resp Med, City Campus, Nottingham NG5 1PB, England.</t>
  </si>
  <si>
    <t>david.baldwin@nuh.nhs.uk</t>
  </si>
  <si>
    <t>National Institute for Health Research's i4i Programme, IDEAL: Artificial Intelligence and Big Data for Early Lung Cancer Diagnosis [II-LB-0716-20006]; National Institutes of Health Research (NIHR) [II-LB-0716-20006] Funding Source: National Institutes of Health Research (NIHR)</t>
  </si>
  <si>
    <t>National Institute for Health Research's i4i Programme, IDEAL: Artificial Intelligence and Big Data for Early Lung Cancer Diagnosis; National Institutes of Health Research (NIHR) (National Institutes of Health Research (NIHR))</t>
  </si>
  <si>
    <t>This is a summary of independent research funded by the National Institute for Health Research's i4i Programme, IDEAL: Artificial Intelligence and Big Data for Early Lung Cancer Diagnosis, II-LB-0716-20006.</t>
  </si>
  <si>
    <t>[Baldwin, David R.; O'Dowd, Emma] Nottingham Univ Hosp, Resp Med, City Campus, Nottingham NG5 1PB, England; [Gustafson, Jennifer; Figueiras, Catarina; Gleeson, Fergus, V] Churchill Hosp, Radiol, Oxford, England; [Pickup, Lyndsey; Arteta, Carlos; Declerck, Jerome; Kadir, Timor; Potesil, Vaclav] Optellum Ltd, Oxford, England; [Novotny, Petr] Glenfield Gen Hosp, Resp Med, Leicester, Leics, England; [Sterba, Albert] Motol Teaching Hosp V, Prague, Czech Republic; [Exell, Alan] Oxford Univ Hosp NHS Fdn Trust, Oxford, England; [Holland, Paul; Spence, Hazel; Clubley, Alison] Nottingham Univ Hosp NHS Trust, Radiol, Nottingham, England; [Clark, Matthew] Leeds Teaching Hosp NHS Trust, Radiol, Leeds, W Yorkshire, England; [Ashford-Turner, Victoria; Callister, Matthew E. J.] Leeds Teaching Hosp NHS Trust, Resp Med, Leeds, W Yorkshire, England</t>
  </si>
  <si>
    <t>University of Nottingham; Nottingham University Hospital NHS Trust; Nottingham City Hospital; University of Oxford; University of Leicester; University Hospitals of Leicester NHS Trust; Glenfield Hospital; Oxford University Hospitals NHS Foundation Trust; Nottingham University Hospital NHS Trust; University of Leeds; University of Leeds</t>
  </si>
  <si>
    <t>External validation of a convolutional neural network artificial intelligence tool to predict malignancy in pulmonary nodules</t>
  </si>
  <si>
    <t>THORAX</t>
  </si>
  <si>
    <t>lung cancer; non-small cell lung cancer; CT imaging</t>
  </si>
  <si>
    <t>CANCER; CT; RISK; PROBABILITY; MANAGEMENT; MODEL</t>
  </si>
  <si>
    <t>Spence, Hazel/IAM-4637-2023</t>
  </si>
  <si>
    <t>Baldwin, David/0000-0001-8410-7160; O'Dowd, Emma/0000-0001-6904-1327; Callister, Matthew/0000-0001-8157-0803; Arteta, Carlos/0000-0002-7897-3334</t>
  </si>
  <si>
    <t>160</t>
  </si>
  <si>
    <t>180</t>
  </si>
  <si>
    <t>0040-6376</t>
  </si>
  <si>
    <t>1468-3296</t>
  </si>
  <si>
    <t>Thorax</t>
  </si>
  <si>
    <t>APR 2020</t>
  </si>
  <si>
    <t>306</t>
  </si>
  <si>
    <t>312</t>
  </si>
  <si>
    <t>10.1136/thoraxjnl-2019-214104</t>
  </si>
  <si>
    <t>http://dx.doi.org/10.1136/thoraxjnl-2019-214104</t>
  </si>
  <si>
    <t>Respiratory System</t>
  </si>
  <si>
    <t>LS1AA</t>
  </si>
  <si>
    <t>32139611</t>
  </si>
  <si>
    <t>WOS:000536123400004</t>
  </si>
  <si>
    <t>Stopa, BM; Robertson, FC; Karhade, AV; Chua, M; Broekman, MLD; Schwab, JH; Smith, TR; Gormley, WB</t>
  </si>
  <si>
    <t>OBJECTIVE Nonroutine discharge after elective spine surgery increases healthcare costs, negatively impacts patient satisfaction, and exposes patients to additional hospital-acquired complications. Therefore, prediction of nonroutine discharge in this population may improve clinical management. The authors previously developed a machine learning algorithm from national data that predicts risk of nonhome discharge for patients undergoing surgery for lumbar disc disorders. In this paper the authors externally validate their algorithm in an independent institutional population of neurosurgical spine patients.METHODS Medical records from elective inpatient surgery for lumbar disc herniation or degeneration in the Transitional Care Program at Brigham and Women's Hospital (2013-2015) were retrospectively reviewed. Variables included age, sex, BMI, American Society of Anesthesiologists (ASA) class, preoperative functional status, number of fusion levels, comorbidities, preoperative laboratory values, and discharge disposition. Nonroutine discharge was defined as postoperative discharge to any setting other than home. The discrimination (c-statistic), calibration, and positive and negative predictive values (PPVs and NPVs) of the algorithm were assessed in the institutional sample.RESULTS Overall, 144 patients underwent elective inpatient surgery for lumbar disc disorders with a nonroutine discharge rate of 6.9% (n = 10). The median patient age was 50 years and 45.1% of patients were female. Most patients were ASA class II (66.0%), had 1 or 2 levels fused (80.6%), and had no diabetes (91.7%). The median hematocrit level was 41.2%. The neural network algorithm generalized well to the institutional data, with a c-statistic (area under the receiver operating characteristic curve) of 0.89, calibration slope of 1.09, and calibration intercept of -0.08. At a threshold of 0.25, the PPV was 0.50 and the NPV was 0.97.CONCLUSIONS This institutional external validation of a previously developed machine learning algorithm suggests a reliable method for identifying patients with lumbar disc disorder at risk for nonroutine discharge. Performance in the institutional cohort was comparable to performance in the derivation cohort and represents an improved predictive value over clinician intuition. This finding substantiates initial use of this algorithm in clinical practice. This tool may be used by multidisciplinary teams of case managers and spine surgeons to strategically invest additional time and resources into postoperative plans for this population.</t>
  </si>
  <si>
    <t>Stopa, Brittany M.; Robertson, Faith C.; Karhade, Aditya V.; Chua, Melissa; Broekman, Marike L. D.; Schwab, Joseph H.; Smith, Timothy R.; Gormley, William B.</t>
  </si>
  <si>
    <t>Science Citation Index Expanded (SCI-EXPANDED); Conference Proceedings Citation Index - Science (CPCI-S)</t>
  </si>
  <si>
    <t>Gormley, WB (corresponding author), Harvard Med Sch, Brigham &amp; Womens Hosp, Boston, MA 02115 USA.</t>
  </si>
  <si>
    <t>wgormley@bwh.harvard.edu</t>
  </si>
  <si>
    <t>[Stopa, Brittany M.; Robertson, Faith C.; Karhade, Aditya V.; Chua, Melissa; Smith, Timothy R.; Gormley, William B.] Brigham &amp; Womens Hosp, Dept Neurosurg, Computat Neurosci Outcomes Ctr Harvard, 75 Francis St, Boston, MA 02115 USA; [Broekman, Marike L. D.] Haaglanden Med Ctr, Dept Neurosurg, Leiden, Netherlands; [Broekman, Marike L. D.] Leiden Univ, Med Ctr, Leiden, Netherlands; [Schwab, Joseph H.] Massachusetts Gen Hosp, Dept Orthoped Surg, Boston, MA 02114 USA</t>
  </si>
  <si>
    <t>Harvard University; Harvard University Medical Affiliates; Brigham &amp; Women's Hospital; Haaglanden Medical Center; Leiden University - Excl LUMC; Leiden University; Leiden University Medical Center (LUMC); Harvard University; Harvard University Medical Affiliates; Massachusetts General Hospital</t>
  </si>
  <si>
    <t>Predicting nonroutine discharge after elective spine surgery: external validation of machine learning algorithms</t>
  </si>
  <si>
    <t>JOURNAL OF NEUROSURGERY-SPINE</t>
  </si>
  <si>
    <t>Article; Proceedings Paper</t>
  </si>
  <si>
    <t>87th Annual Scientific Meeting of the American-Association-of-Neurological-Surgeons (AANS)</t>
  </si>
  <si>
    <t>APR 13-17, 2019</t>
  </si>
  <si>
    <t>San Diego, CA</t>
  </si>
  <si>
    <t>Amer Assoc Neurol Surg</t>
  </si>
  <si>
    <t>machine learning; artificial intelligence; prediction model; nonroutine discharge; positive predictive value; negative predictive value</t>
  </si>
  <si>
    <t>HOSPITAL READMISSIONS; REHOSPITALIZATION; DISPOSITION; RATES; RISK</t>
  </si>
  <si>
    <t>Robertson, Faith/AAO-9914-2020; Smith, Timothy/N-2481-2014</t>
  </si>
  <si>
    <t>Chua, Melissa/0000-0002-2832-4002; HUITRON, EFREN/0009-0008-2046-3359; Schwab, Joseph/0000-0002-2059-7559</t>
  </si>
  <si>
    <t>AMER ASSOC NEUROLOGICAL SURGEONS</t>
  </si>
  <si>
    <t>ROLLING MEADOWS</t>
  </si>
  <si>
    <t>5550 MEADOWBROOK DRIVE, ROLLING MEADOWS, IL 60008 USA</t>
  </si>
  <si>
    <t>1547-5654</t>
  </si>
  <si>
    <t>1547-5646</t>
  </si>
  <si>
    <t>J NEUROSURG-SPINE</t>
  </si>
  <si>
    <t>J. Neurosurg.-Spine</t>
  </si>
  <si>
    <t>NOV 2019</t>
  </si>
  <si>
    <t>742</t>
  </si>
  <si>
    <t>747</t>
  </si>
  <si>
    <t>10.3171/2019.5.SPINE1987</t>
  </si>
  <si>
    <t>http://dx.doi.org/10.3171/2019.5.SPINE1987</t>
  </si>
  <si>
    <t>JJ2GP</t>
  </si>
  <si>
    <t>31349223</t>
  </si>
  <si>
    <t>WOS:000493980000015</t>
  </si>
  <si>
    <t>Green Submitted</t>
  </si>
  <si>
    <t>Hedderich, DM; Opfer, R; Krüger, J; Spies, L; Yakushev, I; Buchert, R</t>
  </si>
  <si>
    <t>Background Single-subject voxel-based morphometry (VBM) is a powerful technique for reader-independent detection of brain atrophy in structural magnetic resonance imaging (MRI) to support the (differential) diagnosis and staging of neurodegenerative diseases in individual patients. However, VBM is sensitive to the MRI scanner platform and details of the acquisition sequence. To mitigate this limitation, we recently proposed and technically validated a convolutional neural network (CNN)-based VBM which does not rely on a normative reference database. Objective Clinical validation of CNN-based VBM. Methods CNN-based VBM was compared with conventional VBM based on a mixed-scanner normative database in 227 consecutive patients (66.0 +/- 9.6 years, 53.3% female) with suspected dementing neurodegenerative disease. VBM maps were interpreted visually by two experienced readers, first with respect to the presence of any neurodegenerative disease, then for the differentiation between Alzheimer's disease (AD)-typical and non-AD atrophy patterns. A Likert 6-score was used for both tasks. Simultaneously acquired positron emission tomography (PET) with 18F-fluorodeoxyglucose (FDG) served as reference standard. Results Repeated-measures ANOVA revealed a significant impact of the VBM method on the visual detection of any neurodegenerative disease (p &lt; 0.001). Balanced accuracy/sensitivity/specificity were 80.4/86.3/74.5% for CNN-based VBM versus 75.7/79.5/71.8% for conventional VBM. Differentiation between AD and non-AD typical atrophy patterns did not differ between both VBM methods (p = 0.871). Conclusions CNN-based VBM provides clinically useful accuracy for the detection of neurodegeneration-suspect atrophy with higher sensitivity than conventional VBM with a mixed-scanner normative reference database and without compromising specificity.</t>
  </si>
  <si>
    <t>Hedderich, Dennis M.; Opfer, Roland; Krueger, Julia; Spies, Lothar; Yakushev, Igor; Buchert, Ralph</t>
  </si>
  <si>
    <t>Buchert, R (corresponding author), Univ Med Ctr Hamburg Eppendorf, Dept Diagnost &amp; Intervent Radiol &amp; Nucl Med, Martinistr 52, D-20246 Hamburg, Germany.</t>
  </si>
  <si>
    <t>r.buchert@uke.de</t>
  </si>
  <si>
    <t>[Hedderich, Dennis M.] Tech Univ Munich, Sch Med &amp; Hlth, Dept Neuroradiol, Klinikum rechts Isar, Munich, Germany; [Opfer, Roland; Krueger, Julia; Spies, Lothar] Jung Diagnost GmbH, Hamburg, Germany; [Yakushev, Igor] Tech Univ Munich, Sch Med &amp; Hlth, Dept Nucl Med, Klinikum Rechts Isar, Munich, Germany; [Buchert, Ralph] Univ Med Ctr Hamburg Eppendorf, Dept Diagnost &amp; Intervent Radiol &amp; Nucl Med, Martinistr 52, D-20246 Hamburg, Germany</t>
  </si>
  <si>
    <t>Technical University of Munich; University of Munich; Technical University of Munich; University of Hamburg; University Medical Center Hamburg-Eppendorf</t>
  </si>
  <si>
    <t>Clinical validation of artificial intelligence-based single-subject morphometry without normative reference database</t>
  </si>
  <si>
    <t>JOURNAL OF ALZHEIMERS DISEASE</t>
  </si>
  <si>
    <t>Alzheimer's disease; artificial intelligence; atrophy; clinical validation; convolutional neural network; deep learning; frontotemporal lobar degeneration; magnetic resonance imaging; normative database; voxel-based morphometry</t>
  </si>
  <si>
    <t>VOXEL-BASED MORPHOMETRY; BRAIN F-18-FDG PET; ALZHEIMERS-DISEASE; DIAGNOSIS; DEMENTIA; ATROPHY</t>
  </si>
  <si>
    <t>Hedderich, Dennis/AAF-6432-2020; Buchert, Ralph/AAO-9468-2020; Yakushev, Igor/KZU-9954-2024</t>
  </si>
  <si>
    <t>Opfer, Roland/0000-0002-9911-5478; Krüger, Julia/0000-0001-9963-4588; Buchert, Ralph/0000-0002-0945-0724; Yakushev, Igor/0000-0003-4764-798X; Spies, Lothar/0000-0002-5012-9406</t>
  </si>
  <si>
    <t>45</t>
  </si>
  <si>
    <t>SAGE PUBLICATIONS LTD</t>
  </si>
  <si>
    <t>1 OLIVERS YARD, 55 CITY ROAD, LONDON EC1Y 1SP, ENGLAND</t>
  </si>
  <si>
    <t>1387-2877</t>
  </si>
  <si>
    <t>1875-8908</t>
  </si>
  <si>
    <t>J ALZHEIMERS DIS</t>
  </si>
  <si>
    <t>J. Alzheimers Dis.</t>
  </si>
  <si>
    <t>103</t>
  </si>
  <si>
    <t>542</t>
  </si>
  <si>
    <t>551</t>
  </si>
  <si>
    <t>10.1177/13872877241304607</t>
  </si>
  <si>
    <t>http://dx.doi.org/10.1177/13872877241304607</t>
  </si>
  <si>
    <t>Neurosciences</t>
  </si>
  <si>
    <t>W0D9K</t>
  </si>
  <si>
    <t>39801073</t>
  </si>
  <si>
    <t>WOS:001415400300023</t>
  </si>
  <si>
    <t>Cossío, F; Schurz, H; Engström, M; Barck-Holst, C; Tsirikoglou, A; Lundström, C; Gustafsson, H; Smith, K; Zackrisson, S; Strand, F</t>
  </si>
  <si>
    <t>Purpose: Multiple vendors are currently offering artificial intelligence (AI) computer-aided systems for triage detection, diagnosis, and risk prediction of breast cancer based on screening mammography. There is an imminent need to establish validation platforms that enable fair and transparent testing of these systems against external data.Approach: We developed validation of artificial intelligence for breast imaging (VAI-B), a platform for independent validation of AI algorithms in breast imaging. The platform is a hybrid solution, with one part implemented in the cloud and another in an on-premises environment at Karolinska Institute. Cloud services provide the flexibility of scaling the computing power during inference time, while secure on-premises clinical data storage preserves their privacy. A MongoDB database and a python package were developed to store and manage the data on-premises. VAI-B requires four data components: radiological images, AI inferences, radiologist assessments, and cancer outcomes.Results: To pilot test VAI-B, we defined a case-control population based on 8080 patients diagnosed with breast cancer and 36,339 healthy women based on the Swedish national quality registry for breast cancer. Images and radiological assessments from more than 100,000 mammography examinations were extracted from hospitals in three regions of Sweden. The images were processed by AI systems from three vendors in a virtual private cloud to produce abnormality scores related to signs of cancer in the images. A total of 105,706 examinations have been processed and stored in the database.Conclusions: We have created a platform that will allow downstream evaluation of AI systems for breast cancer detection, which enables faster development cycles for participating vendors and safer AI adoption for participating hospitals. The platform was designed to be scalable and ready to be expanded should a new vendor want to evaluate their system or should a new hospital wish to obtain an evaluation of different AI systems on their images.</t>
  </si>
  <si>
    <t>Cossio, Fernando; Schurz, Haiko; Engstrom, Mathias; Barck-Holst, Carl; Tsirikoglou, Apostolia; Lundstrom, Claes; Gustafsson, Hakan; Smith, Kevin; Zackrisson, Sophia; Strand, Fredrik</t>
  </si>
  <si>
    <t>Cossío, F (corresponding author), Karolinska Inst, Dept Oncol Pathol, Stockholm, Sweden.; Cossío, F (corresponding author), Karolinska Univ Hosp, Dept Radiol, Stockholm, Sweden.</t>
  </si>
  <si>
    <t>haiko.schurz@ki.se; carl.barck-holst@westcode.se; apostolia.tsirikoglou@ki.se; hakan.l.gustafsson@liu.se; sophia.zackrisson@med.lu.se; claes.lundstrom@liu.se; ksmith@kth.se; fredrik.strand@ki.se; mathias@cmrad.com; fernando.cossio.ramirez@ki.se</t>
  </si>
  <si>
    <t>Regional Cancer Centers in Collaboration and Vinnova [21/00060, 2021-02617]; Medtechlabs, Stockholm, Sweden; Vinnova [2021-02617] Funding Source: Vinnova</t>
  </si>
  <si>
    <t>Regional Cancer Centers in Collaboration and Vinnova; Medtechlabs, Stockholm, Sweden; Vinnova (Vinnova)</t>
  </si>
  <si>
    <t>We would like to acknowledge Ann-Sofi Mikaelsson for efficient project management. The Regional Cancer Centre Stockholm-Gotland and the National Quality Register of Breast Cancer, Sweden, for providing timely clinical data. Region OEstergoetland, Region Vaestmanland, and Region Soedermanland, Sweden, for providing radiological images. MX Healthcare GmBH ("Vara"), Berlin, Germany; Therapixel SA, Nice, France; and Lunit Inc., Seoul, South Korea, for providing AI-CADe systems. Medtechlabs, Stockholm, Sweden, for providing research support. We acknowledge grants 21/00060 and 2021-02617 from Regional Cancer Centers in Collaboration and Vinnova, respectively.</t>
  </si>
  <si>
    <t>[Cossio, Fernando; Schurz, Haiko; Tsirikoglou, Apostolia; Strand, Fredrik] Karolinska Inst, Dept Oncol Pathol, Stockholm, Sweden; [Cossio, Fernando; Strand, Fredrik] Karolinska Univ Hosp, Dept Radiol, Stockholm, Sweden; [Engstrom, Mathias] Collect Minds Radiol, Stockholm, Sweden; [Barck-Holst, Carl] West Code Grp, Stockholm, Sweden; [Lundstrom, Claes; Gustafsson, Hakan] Linkoping Univ, Ctr Med Image Sci &amp; Visualizat CMIV, Linkoping, Sweden; [Gustafsson, Hakan] Linkoping Univ, Dept Med Radiat Phys, Dept Hlth Med &amp; Caring Sci, Linkoping, Sweden; [Smith, Kevin] Royal Inst Technol KTH, Div Computat Sci &amp; Technol, Stockholm, Sweden; [Zackrisson, Sophia] Lund Univ, Dept Diagnost Radiol, Translat Med, Malmo, Sweden; [Zackrisson, Sophia] Skane Univ Hosp, Dept Imaging &amp; Physiol, Malmo, Sweden</t>
  </si>
  <si>
    <t>Karolinska Institutet; Karolinska Institutet; Karolinska University Hospital; Linkoping University; Linkoping University; Royal Institute of Technology; Lund University; Lund University; Skane University Hospital</t>
  </si>
  <si>
    <t>VAI-B: a multicenter platform for the external validation of artificial intelligence algorithms in breast imaging</t>
  </si>
  <si>
    <t>JOURNAL OF MEDICAL IMAGING</t>
  </si>
  <si>
    <t>breast cancer; data management; machine learning; validation; mammography</t>
  </si>
  <si>
    <t>Strand, Fredrik/AFH-8721-2022; Schurz, Haiko/AAX-3928-2020</t>
  </si>
  <si>
    <t>Cossio, Fernando/0000-0003-2265-2678; Gustafsson, Håkan/0000-0001-6148-1053; Strand, Fredrik/0000-0003-3910-7086; Schurz, Haiko/0000-0002-0009-3409; Tsirikoglou, Apostolia/0000-0003-0298-937X</t>
  </si>
  <si>
    <t>SPIE-SOC PHOTO-OPTICAL INSTRUMENTATION ENGINEERS</t>
  </si>
  <si>
    <t>BELLINGHAM</t>
  </si>
  <si>
    <t>1000 20TH ST, PO BOX 10, BELLINGHAM, WA 98225 USA</t>
  </si>
  <si>
    <t>2329-4302</t>
  </si>
  <si>
    <t>2329-4310</t>
  </si>
  <si>
    <t>J MED IMAGING</t>
  </si>
  <si>
    <t>J. Med. Imaging</t>
  </si>
  <si>
    <t>NOV 1 2023</t>
  </si>
  <si>
    <t>10.1117/1.JMI.10.6.061404</t>
  </si>
  <si>
    <t>http://dx.doi.org/10.1117/1.JMI.10.6.061404</t>
  </si>
  <si>
    <t>19</t>
  </si>
  <si>
    <t>EO6N0</t>
  </si>
  <si>
    <t>36949901</t>
  </si>
  <si>
    <t>WOS:001139907400005</t>
  </si>
  <si>
    <t>Recker, F</t>
  </si>
  <si>
    <t>Introduction Artificial intelligence (AI) is increasingly entering obstetrics and prenatal medicine, particularly in prenatal ultrasound, fetal echocardiography, fetal magnetic resonance imaging, genomic screening, risk prediction and clinical decision support. The aim of this review was to summarize current evidence, recent developments and implementation requirements for AI-based applications in prenatal care. Materials and Methods A structured narrative review was performed with emphasis on peer-reviewed and clinically relevant literature published from 2021 to 2026, supplemented by landmark methodological, regulatory and reporting guidance. Priority was given to systematic reviews, diagnostic accuracy studies, external validation studies, prospective evaluations, randomized educational or clinical studies, regulatory documents and reporting standards relevant to AI in medicine. Results The strongest current evidence supports AI-assisted standard-plane recognition, image-quality assessment and fetal biometry, followed by emerging applications in fetal cardiac screening, blind-sweep ultrasound, fetal MRI segmentation, placental phenotyping, prediction of fetal growth restriction, preterm birth and preeclampsia, and machine learning-enhanced cfDNA analysis. Generative and multimodal AI systems may support report drafting, guideline retrieval and education, but remain insufficiently validated for autonomous clinical decision-making. Discussion AI has the potential to improve access, standardization, efficiency and quality assurance in prenatal medicine. However, most applications remain limited by retrospective design, enriched datasets, insufficient external validation, unclear calibration, limited fairness analyses and incomplete workflow evaluation. Clinical adoption should therefore follow a human-in-the-loop model with prospective validation, transparent reporting, regulatory oversight, bias monitoring and post-market surveillance. AI should augment rather than replace specialist expertise in obstetrics and fetal medicine.</t>
  </si>
  <si>
    <t>Recker, Florian</t>
  </si>
  <si>
    <t>Recker, F (corresponding author), Univ Cologne, Fac Med, Dept Obstet, Kerpener Str 34, D-50931 Cologne, Germany.; Recker, F (corresponding author), Univ Hosp Cologne, Kerpener Str 34, D-50931 Cologne, Germany.</t>
  </si>
  <si>
    <t>florianrecker@icloud.com</t>
  </si>
  <si>
    <t>[Recker, Florian] Univ Cologne, Fac Med, Dept Obstet, Kerpener Str 34, D-50931 Cologne, Germany; [Recker, Florian] Univ Hosp Cologne, Kerpener Str 34, D-50931 Cologne, Germany</t>
  </si>
  <si>
    <t>University of Cologne; University of Cologne</t>
  </si>
  <si>
    <t>Artificial Intelligence in Obstetrics and Prenatal Medicine: Current Evidence, Clinical Validation and Implementation</t>
  </si>
  <si>
    <t>GEBURTSHILFE UND FRAUENHEILKUNDE</t>
  </si>
  <si>
    <t>obstetrics; artificial intelligence; fetal medicine</t>
  </si>
  <si>
    <t>MODEL</t>
  </si>
  <si>
    <t>Oswald-Hesse-Strasse 50, D-70469 STUTTGART, GERMANY</t>
  </si>
  <si>
    <t>0016-5751</t>
  </si>
  <si>
    <t>1438-8804</t>
  </si>
  <si>
    <t>GEBURTSH FRAUENHEILK</t>
  </si>
  <si>
    <t>Geburtshilfe Frauenheilkd.</t>
  </si>
  <si>
    <t>10.1055/a-2920-1072</t>
  </si>
  <si>
    <t>http://dx.doi.org/10.1055/a-2920-1072</t>
  </si>
  <si>
    <t>AUG 2026</t>
  </si>
  <si>
    <t>Obstetrics &amp; Gynecology</t>
  </si>
  <si>
    <t>MQ1OX</t>
  </si>
  <si>
    <t>WOS:001848230300001</t>
  </si>
  <si>
    <t>Sampieri, C; Mora, F; Peretti, G; Larrosa, M; Vilaseca, I; Avilés-Jurado, FX; Ioppi, A; Bellini, E; Alegre, B; Ruiz-Sevilla, L; Srivastava, R; Sakellaridis, AC; Razou, A; Kotsis, GP; Moccia, S; Mattos, LS; Baldini, C</t>
  </si>
  <si>
    <t>Objective To develop and externally validate a computer-aided diagnosis (CADx) model using artificial intelligence (AI) for classifying laryngeal lesions from laryngoscopy images into high-risk (HR), low-risk (LR).Study design Retrospective multicenter development of a CADx model and external validation on independent cohorts.Setting Multicenter tertiary referral hospitals (Italy, India, China, Greece, and Spain).Methods Over 20,000 images derived from laryngoscopic examinations were retrieved. Images were annotated based on histopathology or expert consensus. A deep learning model was trained using an internal dataset and evaluated on 2 external datasets to assess generalizability. The CADx model classifies only images containing visible lesions, discriminating between LR and HR categories. Diagnostic performance was measured using standard metrics, including accuracy, precision, recall, F1-score, and area under the receiver operating characteristic curve (AUC). Model performance was compared with physicians of varying expertise and ChatGPT-4o.Results The computer-aided diagnosis model achieved a similar performance across internal and external datasets in distinguishing HR from LR lesions, with accuracy/AUC of 0.90/0.89 internally, 0.85/0.85 on the Greek dataset, and 0.88/0.88 on the Spanish dataset. The model's accuracy was statistically noninferior to that of otolaryngologists and expert laryngologists, and superior to general practitioners and ChatGPT-4o.Conclusion This is a large multicenter clinical validation of a CADx model for laryngeal endoscopy, demonstrating generalizability and performance comparable to clinicians in discriminating between LR and HR lesions. The model's success supports its potential role in augmenting diagnostic capabilities, especially in resource-limited settings. A prospective multicenter clinical trial is underway to assess real-world clinical implementation.</t>
  </si>
  <si>
    <t>Sampieri, Claudio; Mora, Francesco; Peretti, Giorgio; Larrosa, Marc; Vilaseca, Isabel; Aviles-Jurado, Francesc X.; Ioppi, Alessandro; Bellini, Elisa; Alegre, Berta; Ruiz-sevilla, Laura; Srivastava, Rakesh; Sakellaridis, Athanasios C.; Razou, Andriana; Kotsis, Georgios P.; Moccia, Sara; Mattos, Leonardo S.; Baldini, Chiara</t>
  </si>
  <si>
    <t>Sampieri, C (corresponding author), Univ Genoa, Dept Expt Med DIMES, Via LB Alberti 2, I-16132 Genoa, Italy.</t>
  </si>
  <si>
    <t>claudio.sampieri@outlook.com</t>
  </si>
  <si>
    <t>HORIZON EUROPE European Research Council; HORIZON EUROPE European Innovation Council</t>
  </si>
  <si>
    <t>HORIZON EUROPE European Research Council (European Research Council (ERC)); HORIZON EUROPE European Innovation Council</t>
  </si>
  <si>
    <t>C.S., F.M., G.P., I.V., S.M., L.D.M., and C.B. reported receiving grants from the European Union-Next Generation EU- Horizon Program for the AIRCARE project.</t>
  </si>
  <si>
    <t>[Sampieri, Claudio] Univ Genoa, Dept Expt Med DIMES, Genoa, Italy; [Sampieri, Claudio; Vilaseca, Isabel; Aviles-Jurado, Francesc X.; Alegre, Berta] Hosp Clin Barcelona, Dept Otolaryngol, Barcelona, Spain; [Sampieri, Claudio; Vilaseca, Isabel; Aviles-Jurado, Francesc X.] Hosp Clin Barcelona, Unit Head &amp; Neck Tumors, Barcelona, Spain; [Mora, Francesco; Peretti, Giorgio; Bellini, Elisa] IRCCS Osped Policlin San Martino, Unit Otorhinolaryngol Head &amp; Neck Surg, Genoa, Italy; [Mora, Francesco; Peretti, Giorgio; Bellini, Elisa] Univ Genoa, Dept Surg Sci &amp; Integrated Diagnost DISC, Genoa, Italy; [Larrosa, Marc; Vilaseca, Isabel] Univ Barcelona, Fac Med &amp; Hlth Sci, Surg &amp; Med Surg Specialties Dept, Barcelona, Spain; [Ioppi, Alessandro] Santa Chiara Hosp, Azienda Provinciale Servizi Sanit, Dept Otorhinolaryngol Head &amp; Neck Surg, Trento, Italy; Hosp Univ Joan XXIII, Otorhinolaryngol Head Neck Surg Dept, Tarragona, Spain; [Srivastava, Rakesh] Sushrut Inst Plast Surg &amp; Super Specialty Hosp, Dept ENT &amp; Head Neck Surg, Lucknow, India; [Sakellaridis, Athanasios C.; Razou, Andriana; Kotsis, Georgios P.] St Savvas Canc Hosp, Dept Otorhinolaryngol Head &amp; Neck Surg, Athens 11522, Greece; [Moccia, Sara] Univ G AnnunzioChieti, Dept Innovat Technol Med &amp; Dent, Pescara, Italy; [Mattos, Leonardo S.; Baldini, Chiara] Ist Italiano Tecnol, Dept Adv Robot, Genoa, Italy; [Baldini, Chiara] Univ Genoa, Dipartimento Informat Bioingn Robot &amp; Ingn Sistemi, Genoa, Italy</t>
  </si>
  <si>
    <t>University of Genoa; University of Barcelona; Hospital Clinic de Barcelona; University of Barcelona; Hospital Clinic de Barcelona; University of Genoa; IRCCS AOU San Martino IST; University of Genoa; University of Barcelona; Santa Chiara Hospital; Istituto Italiano di Tecnologia - IIT; University of Genoa</t>
  </si>
  <si>
    <t>Multicenter Clinical Validation of an Artificial Intelligence Diagnostic Classification Model for Laryngoscopy Images</t>
  </si>
  <si>
    <t>OTOLARYNGOLOGY-HEAD AND NECK SURGERY</t>
  </si>
  <si>
    <t>Artificial Intelligence; head and neck; laryngeal cancer; laryngology; otolaryngology</t>
  </si>
  <si>
    <t>De Mattos, Leonardo/GRJ-2017-2022; Ruiz Sevilla, Laura/MGU-4341-2025; Sampieri, Claudio/GQQ-1121-2022; Moccia, Sara/J-3733-2019; Avilés-Jurado, Francesc Xavier/V-4970-2019; Vilaseca González, Isabel/J-1528-2019</t>
  </si>
  <si>
    <t>Sampieri, Claudio/0000-0002-7699-2291; Avilés-Jurado, Francesc Xavier/0000-0001-5560-8097; Alegre, Berta/0000-0003-3378-9725; Vilaseca González, Isabel/0000-0003-4399-5522</t>
  </si>
  <si>
    <t>0194-5998</t>
  </si>
  <si>
    <t>1097-6817</t>
  </si>
  <si>
    <t>OTOLARYNG HEAD NECK</t>
  </si>
  <si>
    <t>Otolaryngol. Head Neck Surg.</t>
  </si>
  <si>
    <t>APR 2026</t>
  </si>
  <si>
    <t>174</t>
  </si>
  <si>
    <t>1049</t>
  </si>
  <si>
    <t>1058</t>
  </si>
  <si>
    <t>10.1002/ohn.70153</t>
  </si>
  <si>
    <t>http://dx.doi.org/10.1002/ohn.70153</t>
  </si>
  <si>
    <t>FEB 2026</t>
  </si>
  <si>
    <t>Otorhinolaryngology; Surgery</t>
  </si>
  <si>
    <t>FY3JG</t>
  </si>
  <si>
    <t>41696998</t>
  </si>
  <si>
    <t>WOS:001690794600001</t>
  </si>
  <si>
    <t>Zappalà, S; Alfieri, F; Ancona, A; Anna, AMD; Kashani, KB</t>
  </si>
  <si>
    <t>Objective: To externally validate the persistent electronic alert (PersEA) machine learning model for predicting persistent severe acute kidney injury (psAKI), addressing the scarcity of validated prediction models. Patients and Methods: We included adult patients (18 years or older) admitted to intensive care unit with at least stage 2 acute kidney injury (AKI) at a tertiary medical center, using retrospective data collected between January 1st, 2017 and December 31st, 2022. The data were accessed and analyzed during the period from March 1st, 2023, through July 28th, 2023. The psAKI was defined as AKI stage 3 lasting for &gt;72 hours or AKI leading to death in 48 hours or kidney replacement therapy in 1 day. The performance of the PersEA model, a boosted tree algorithm fed by hourly patient data via electronic health records to provide real-time psAKI predictions, was evaluated using specific metrics that penalize late alarms. We measured the area under the receiver operating characteristic and the area under the precision-recall curves. Results: After screening, 4479 patients from the Mayo Clinic cohort were included in the current external validation study, with 234 (5.22%) having psAKI. Results from the Amsterdam UMCdb (531 patients, 59 [11.11%] positive) and MIMIC-III (495 patients, 57 [11.52%] positive) cohorts were obtained in a prior development study. The model demonstrated an area under the receiver operating characteristic curve of 0.98 (95% CI, 0.97-0.98) and an area under the precision-recall curve of 0.67 (95% CI, 0.60-0.73), and when applying the threshold that reached 0.80 sensitivity on the internal cohort, PersEA achieved 0.88 sensitivity, 0.94 specificity, and 0.47 precision, all based on Mayo Clinic data. Conclusion: The PersEA model performed excellently on an external cohort, showing that it is scalable on high-quality data with little to no tuning once a noisy training set is chosen. (c) 2025 THE AUTHORS. Published by Elsevier Inc on behalf of Mayo Foundation for Medical Education and Research. This is an open access article under the CC BY-NC-ND license (http://creativecommons.org/licenses/by-nc-nd/4.0/)</t>
  </si>
  <si>
    <t>Zappala, Simone; Alfieri, Francesca; Ancona, Andrea; Anna, Antonio M. Dell; Kashani, Kianoush B.</t>
  </si>
  <si>
    <t>Kashani, KB (corresponding author), Mayo Clin, Dept Med, Div Nephrol &amp; Hypertens, 200 1st St SW, Rochester, MN 55905 USA.</t>
  </si>
  <si>
    <t>kashani.Kianoush@mayo.edu</t>
  </si>
  <si>
    <t>Mayo Clinic Platform_Accelerate program, cohort 3</t>
  </si>
  <si>
    <t>Mayo Clinic Platform_Accelerate program, cohort 3 (Mayo Clinic)</t>
  </si>
  <si>
    <t>This work was supported by participation in Mayo Clinic Platform_Accelerate program, cohort 3, which provided access to valuable resources, data, and expert guidance, enabling the successful completion of this study.</t>
  </si>
  <si>
    <t>[Zappala, Simone; Alfieri, Francesca; Ancona, Andrea] U Care Med Srl, Cono Castelfidardo 304, Tonino, Italy; [Anna, Antonio M. Dell] Univ Apitino Gemelli RCCS, Fdn Policlin, Dept Anellhesia Intens Care &amp; Emergency Med, Rome, Italy; [Kashani, Kianoush B.] Mayo Clin, Dept Med, Div Nephrol &amp; Hypertens, 200 1st St SW, Rochester, MN 55905 USA; [Kashani, Kianoush B.] Mayo Clin, Dept Med, Div Pamonary &amp; Crit Care Medione, Rochester, MN USA</t>
  </si>
  <si>
    <t>Mayo Clinic; Mayo Clinic</t>
  </si>
  <si>
    <t>External Validation of Persistent Severe Acute Kidney Injury Prediction With Machine Learning Model</t>
  </si>
  <si>
    <t>MAYO CLINIC PROCEEDINGS: DIGITAL HEALTH</t>
  </si>
  <si>
    <t>RECOVERY</t>
  </si>
  <si>
    <t>Kashani, Kianoush/AFW-1473-2022; /ABD-1945-2020</t>
  </si>
  <si>
    <t>Kashani, Kianoush/0000-0003-2184-3683</t>
  </si>
  <si>
    <t>2949-7612</t>
  </si>
  <si>
    <t>MAYO CLIN P DIGIT H</t>
  </si>
  <si>
    <t>Mayo Clin. Proc. Digit. Health</t>
  </si>
  <si>
    <t>JUN 2025</t>
  </si>
  <si>
    <t>100200</t>
  </si>
  <si>
    <t>10.1016/j.mcpdig.2025.100200</t>
  </si>
  <si>
    <t>http://dx.doi.org/10.1016/j.mcpdig.2025.100200</t>
  </si>
  <si>
    <t>APR 2025</t>
  </si>
  <si>
    <t>5XB6Y</t>
  </si>
  <si>
    <t>40568605</t>
  </si>
  <si>
    <t>WOS:001546393800008</t>
  </si>
  <si>
    <t>Houran, J; O'Keeffe, C</t>
  </si>
  <si>
    <t>This two-part study presents the development and application of a prototypical, theory-driven AI-generated narrative and a complementary structured interview framework to support the operationalization and empirical inquiry into the phenomenology of Haunted People Syndrome (HP-S). This model describes spontaneously recurring "ghostly episodes" as an interactionist phenomenon emerging from thin-boundary individuals who are stimulated by disease states and perceptual contagion and therefore actively strive to comprehend or cope with their flurries of anomalous perceptions via standard psychological mechanisms. Using ChatGPT-4o, we generated a composite narrative simulating high-intensity expressions of HP-S's five recognition patterns. This narrative was calibrated against the Survey of Strange Events, the Haunted People Syndrome Screener, and a study-specific HP-S Recognition Pattern Scale (HP-S RPS). The RPS was also converted to a structured clinical interview (SCI-HP-S) to facilitate standardized phenomenological assessment. Finally, we applied these tools to a real-world case to demonstrate their effectiveness in identifying variant HP-S expressions, including technologically mediated forms of distress. These AI-assisted tools advance research by modeling certain anomalous experiences through both narrative simulation and structured assessments, offering culturally responsive and clinically tractable methods for investigating complex perceptual and affective transformations. This framework provides a foundation for future empirical validation of HP-S assessment tools.</t>
  </si>
  <si>
    <t>Houran, James; O'keeffe, Ciaran</t>
  </si>
  <si>
    <t>Houran, J (corresponding author), Integrated Knowledge Syst, Grapevine, TX 76051 USA.</t>
  </si>
  <si>
    <t>jim@drjimhouran.com</t>
  </si>
  <si>
    <t>[Houran, James] Integrated Knowledge Syst, Grapevine, TX 76051 USA; [Houran, James] Polytech Inst Management &amp; Technol, Lab Stat &amp; Computat, Porto, Portugal; [O'keeffe, Ciaran] Buckinghamshire New Univ, Coll Hlth &amp; Soc, Wycombe, England</t>
  </si>
  <si>
    <t>Buckinghamshire New University</t>
  </si>
  <si>
    <t>Prototyping Haunted People Syndrome: Artificial Intelligence-Generated Narrative, Structured Interview, and Clinical Validation</t>
  </si>
  <si>
    <t>PSYCHOLOGY OF CONSCIOUSNESS-THEORY RESEARCH AND PRACTICE</t>
  </si>
  <si>
    <t>generative artificial intelligence; liminality; narrative phenomenology; spiritually interpreted anomalous experiences; structured clinical interview</t>
  </si>
  <si>
    <t>TOP-DOWN PURIFICATION; TRANSLIMINALITY; EXPERIENCES</t>
  </si>
  <si>
    <t>O'Keeffe, Ciaran/AAC-7717-2019</t>
  </si>
  <si>
    <t>O'Keeffe, Ciaran/0000-0002-9655-3261; Houran, James/0000-0003-1725-582X</t>
  </si>
  <si>
    <t>112</t>
  </si>
  <si>
    <t>EDUCATIONAL PUBLISHING FOUNDATION-AMERICAN PSYCHOLOGICAL ASSOC</t>
  </si>
  <si>
    <t>WASHINGTON</t>
  </si>
  <si>
    <t>750 FIRST ST, NE, WASHINGTON, DC 20002-4242 USA</t>
  </si>
  <si>
    <t>2326-5523</t>
  </si>
  <si>
    <t>2326-5531</t>
  </si>
  <si>
    <t>PSYCHOL CONSCIOUS</t>
  </si>
  <si>
    <t>Psychol. Conscious.</t>
  </si>
  <si>
    <t>10.1037/cns0000447</t>
  </si>
  <si>
    <t>http://dx.doi.org/10.1037/cns0000447</t>
  </si>
  <si>
    <t>NOV 2025</t>
  </si>
  <si>
    <t>Psychology, Experimental</t>
  </si>
  <si>
    <t>Psychology</t>
  </si>
  <si>
    <t>9HR7B</t>
  </si>
  <si>
    <t>WOS:001606610300001</t>
  </si>
  <si>
    <t>Sahu, N; Azad, C; Kumar, U</t>
  </si>
  <si>
    <t>Aiming to develop a generalized machine learning (ML) model for evaluating the performance of photoelectrode in PEC system by predicting the photocurrent density (J), we adopted four Bayesian optimized ML models (SVR, GBR, ETR, RFR) and predicted J using a dataset of 2593 records. SHAP analysis was used to interpret the model output. The model generalizability was tested by using two new data sets: dataset-1 and dataset-2. Each model predicted J as well as the correlation of predicted and experimental J with VRHE. SVR showed the best performance in testing with R2, MAE, RMSE equal to 0.977, 0.195, 0.436 respectively. SHAP analysis identified the band gap as the first and second top most contributing feature in predicting J by SVR and remaining three models respectively. In external validation, ETR performed the best in predicting (i) J with R2, MAE, RMSE equal to 0.76925, 0.34652, 0.37976 and 0.88297, 0.17557, 0.20040 for dataset-1 and dataset-2 respectively and (ii) correlation between predicted J vs VRHE and experimental J vs VRHE with MAE 0.34652 and 0.17557 for dataset1 and dataset-2 respectively. Our predicted accuracy of R2 = 0.977 in J by SVR is higher than the best ever reported accuracy of R2 = 0.9686. The SHAP results established the feature importance in J prediction. Further, high accuracies (R2 = 0.76925 and 0.88297) in external validation are rarely reported.</t>
  </si>
  <si>
    <t>Sahu, Nepal; Azad, Chandrashekhar; Kumar, Uday</t>
  </si>
  <si>
    <t>Kumar, U (corresponding author), Natl Inst Technol Jamshedpur, Dept Phys, Jamshedpur 831014, Jharkhand, India.</t>
  </si>
  <si>
    <t>nepalsahu152@gmail.com; uday.phy@nitjsr.ac.in</t>
  </si>
  <si>
    <t>NIT Jamshedpur</t>
  </si>
  <si>
    <t>One of us, Mr. Nepal Sahu would like to thank NIT Jamshedpur for doctoral fellowship.</t>
  </si>
  <si>
    <t>[Sahu, Nepal; Kumar, Uday] Natl Inst Technol Jamshedpur, Dept Phys, Jamshedpur 831014, Jharkhand, India; [Azad, Chandrashekhar] Natl Inst Technol Jamshedpur, Dept Comp Sci &amp; Engn, Jamshedpur 831014, Jharkhand, India</t>
  </si>
  <si>
    <t>National Institute of Technology (NIT System); National Institute of Technology Jamshedpur; National Institute of Technology (NIT System); National Institute of Technology Jamshedpur</t>
  </si>
  <si>
    <t>Study and prediction of photocurrent density with external validation using machine learning models</t>
  </si>
  <si>
    <t>INTERNATIONAL JOURNAL OF HYDROGEN ENERGY</t>
  </si>
  <si>
    <t>Bayesian optimization; Machine learning; Photocurrent density; SHAP analysis; External validation</t>
  </si>
  <si>
    <t>SUPPORT VECTOR REGRESSION; ARTIFICIAL-INTELLIGENCE; HYDROGEN</t>
  </si>
  <si>
    <t>Azad, Dr. Chandrashekhar/U-2277-2019; Azad, Chanashekhar/U-2277-2019; Kumar, Uday/AAB-6457-2019</t>
  </si>
  <si>
    <t>SAHU, NEPAL/0000-0003-0661-6626; Azad, Chanashekhar/0000-0003-2101-8114; Kumar, Uday/0000-0002-0927-2454</t>
  </si>
  <si>
    <t>PERGAMON-ELSEVIER SCIENCE LTD</t>
  </si>
  <si>
    <t>THE BOULEVARD, LANGFORD LANE, KIDLINGTON, OXFORD OX5 1GB, ENGLAND</t>
  </si>
  <si>
    <t>0360-3199</t>
  </si>
  <si>
    <t>1879-3487</t>
  </si>
  <si>
    <t>INT J HYDROGEN ENERG</t>
  </si>
  <si>
    <t>Int. J. Hydrog. Energy</t>
  </si>
  <si>
    <t>NOV 26 2024</t>
  </si>
  <si>
    <t>92</t>
  </si>
  <si>
    <t>1335</t>
  </si>
  <si>
    <t>1355</t>
  </si>
  <si>
    <t>10.1016/j.ijhydene.2024.10.339</t>
  </si>
  <si>
    <t>http://dx.doi.org/10.1016/j.ijhydene.2024.10.339</t>
  </si>
  <si>
    <t>NOV 2024</t>
  </si>
  <si>
    <t>Chemistry, Physical; Electrochemistry; Energy &amp; Fuels</t>
  </si>
  <si>
    <t>Chemistry; Electrochemistry; Energy &amp; Fuels</t>
  </si>
  <si>
    <t>L4F4H</t>
  </si>
  <si>
    <t>WOS:001350291400001</t>
  </si>
  <si>
    <t>Ferguson, T; Ravani, P; Sood, MM; Clarke, A; Komenda, P; Rigatto, C; Tangri, N</t>
  </si>
  <si>
    <t>Introduction: Prediction of disease progression at all stages of chronic kidney disease (CKD) may help improve patient outcomes. As such, we aimed to develop and externally validate a random forest model to predict progression of CKD using demographics and laboratory data. Methods: The model was developed in a population-based cohort from Manitoba, Canada, between April 1, 2006, and December 31, 2016, with external validation in Alberta, Canada. A total of 77,196 individuals with an estimated glomerular filtration rate (eGFR) &gt; 10 ml/min per 1.73 m2 and a urine albumin-to-creatinine ratio (ACR) available were included from Manitoba and 107,097 from Alberta. We considered &gt; 80 laboratory features, including analytes from complete blood cell counts, chemistry panels, liver en-zymes, urine analysis, and quantification of urine albumin and protein. The primary outcome in our study was a 40% decline in eGFR or kidney failure. We assessed model discrimination using the area under the receiver operating characteristic curve (AUC) and calibration using plots of observed and predicted risks. Results: The final model achieved an AUC of 0.88 (95% CI 0.87-0.89) at 2 years and 0.84 (0.83-0.85) at 5 years in internal testing. Discrimination and calibration were preserved in the external validation data set with AUC scores of 0.87 (0.86-0.88) at 2 years and 0.84 (0.84-0.86) at 5 years. The top 30% of individuals predicted as high risk and intermediate risk represent 87% of CKD progression events in 2 years and 77% of progression events in 5 years. Conclusion: A machine learning model that leverages routinely collected laboratory data can predict eGFR decline or kidney failure with accuracy.</t>
  </si>
  <si>
    <t>Ferguson, Thomas; Ravani, Pietro; Sood, Manish M.; Clarke, Alix; Komenda, Paul; Rigatto, Claudio; Tangri, Navdeep</t>
  </si>
  <si>
    <t>Tangri, N (corresponding author), Seven Oaks Gen Hosp, 2300 McPhillips St,2LB19, Winnipeg, MB R2V 3M3, Canada.</t>
  </si>
  <si>
    <t>ntangri@sogh.mb.ca</t>
  </si>
  <si>
    <t>Canadian Institutes for Health Research [FRN 173359]; Roy and Vi Baay Chair in Kidney Disease; Canadian Institutes for Health Research</t>
  </si>
  <si>
    <t>Canadian Institutes for Health Research (Canadian Institutes of Health Research (CIHR)); Roy and Vi Baay Chair in Kidney Disease; Canadian Institutes for Health Research (Canadian Institutes of Health Research (CIHR))</t>
  </si>
  <si>
    <t>The authors acknowledge the Manitoba Centre for Health Policy for use of data contained in the Manitoba Population Research Data Repository under (HIPC #2018/2019-12) . The results and conclusions are those of the authors, and no official endorsement by the Manitoba Centre for Health Policy, Manitoba Health, or other data providers is intended or should be inferred. Data used in this study are from the Manitoba Population Research Data Repository housed at the Manitoba Centre for Health Policy, University of Manitoba, and were derived from data provided by Manitoba Health. This study is based in part on data provided by Alberta Health and Alberta Health Services. The interpretation and conclusions contained herein are those of the researchers and do not represent the views of the Government of Alberta or Alberta Health Services. Neither the Government of Alberta, Alberta Health, nor Alberta Health Services express any opinion in relation to this study. PR holds Canadian Institutes for Health Research funding (FRN 173359) to support studies in chronic kidney disease. PR is supported by the Roy and Vi Baay Chair in Kidney Disease. NT and MMS are supported by operating grants or foundation awards from the Canadian Institutes for Health Research. The funding organizations had no role in the design and conduct of the study; in the collection, analysis, and interpretation of the data; or in the preparation, review, or approval of the manuscript.</t>
  </si>
  <si>
    <t>[Ferguson, Thomas; Komenda, Paul; Rigatto, Claudio; Tangri, Navdeep] Univ Manitoba, Max Rady Coll Med, Dept Internal Med, Winnipeg, MB, Canada; [Ferguson, Thomas; Komenda, Paul; Rigatto, Claudio; Tangri, Navdeep] Seven Oaks Hosp, Chron Dis Innovat Ctr, Winnipeg, MB, Canada; [Ravani, Pietro; Clarke, Alix] Univ Calgary, Cumming Sch Med, Dept Med, Calgary, AB, Canada; [Ravani, Pietro; Clarke, Alix] Univ Calgary, Cumming Sch Med, Dept Community Hlth Sci, Calgary, AB, Canada; [Sood, Manish M.] Dept Med, Ottawa, ON, Canada; [Sood, Manish M.] Ottawa Hosp, Res Inst, Ottawa, ON, Canada; [Tangri, Navdeep] Seven Oaks Gen Hosp, 2300 McPhillips St,2LB19, Winnipeg, MB R2V 3M3, Canada</t>
  </si>
  <si>
    <t>University of Manitoba; University of Calgary; University of Calgary; University of Ottawa; Ottawa Hospital Research Institute; University of Manitoba; Children's Hospital Research Institute of Manitoba (CHRIM)</t>
  </si>
  <si>
    <t>Development and External Validation of a Machine Learning Model for Progression of CKD</t>
  </si>
  <si>
    <t>KIDNEY INTERNATIONAL REPORTS</t>
  </si>
  <si>
    <t>CKD progression; machine learning; predictive modeling</t>
  </si>
  <si>
    <t>CHRONIC KIDNEY-DISEASE; PREDICTIVE MODEL; FAILURE; EQUATIONS</t>
  </si>
  <si>
    <t>Ravani, Pietro/J-3050-2015; Rigatto, Claudio/JNS-0494-2023; Sood, Manish/H-3134-2019</t>
  </si>
  <si>
    <t>Tangri, Navdeep/0000-0002-5075-6370; Komenda, Paul/0000-0001-7016-7146; Clarke, Alix/0000-0001-9635-2702; Rigatto, Claudio/0000-0002-8306-8072</t>
  </si>
  <si>
    <t>58</t>
  </si>
  <si>
    <t>2468-0249</t>
  </si>
  <si>
    <t>KIDNEY INT REP</t>
  </si>
  <si>
    <t>Kidney Int. Rep.</t>
  </si>
  <si>
    <t>AUG 2022</t>
  </si>
  <si>
    <t>1772</t>
  </si>
  <si>
    <t>1781</t>
  </si>
  <si>
    <t>10.1016/j.ekir.2022.05.004</t>
  </si>
  <si>
    <t>http://dx.doi.org/10.1016/j.ekir.2022.05.004</t>
  </si>
  <si>
    <t>4I2ZY</t>
  </si>
  <si>
    <t>35967110</t>
  </si>
  <si>
    <t>WOS:000850447200006</t>
  </si>
  <si>
    <t>Ferreira, I; Simoes, J; Correia, J; Areia, AL</t>
  </si>
  <si>
    <t>No machine learning (ML) models for predicting delivery mode after labor induction (IOL) have been externally validated. We aimed to develop and validate one using medical records. Portuguese tertiary center data (n = 2434) were used for development and internal validation, and Consortium on Safe Labor data (n = 10,591) for external validation. Outcomes are vaginal delivery (VD) or cesarean section (CS). Internal validation employed different ML approaches, aiming for model simplification. Logistic regression performed best on internal validation: AUROC:0.793; F1-score:0.748; PPV:0.752, with good calibration and decision curve analysis (DCA), being selected for simplification. Simplified top-13 features model was selected for external validation: AUROC:0.808; F1-score:0.781; PPV:0.822, tending for VD (99.6%) while avoiding false-positives (0.5%). Calibration curves underestimated CS risk by 10-75%; DCA showed good net benefit. The model's good AUROC and DCA suggest clinical utility. Calibration curve underestimation of CS risk may result from outcome imbalance between datasets.</t>
  </si>
  <si>
    <t>Ferreira, Iolanda; Simoes, Joana; Correia, Joao; Areia, Ana Luisa</t>
  </si>
  <si>
    <t>Ferreira, I (corresponding author), Unidade Local Saude Coimbra, Obstet Dept, Coimbra, Portugal.; Ferreira, I (corresponding author), Univ Coimbra, Fac Med, Coimbra, Portugal.</t>
  </si>
  <si>
    <t>10862@ulscoimbra.min-saude.pt</t>
  </si>
  <si>
    <t>ULS Coimbra</t>
  </si>
  <si>
    <t>The data included in this paper were obtained from the Consortium on Safe Labor, supported by the Intramural Research Program of the Eunice Kennedy Shriver National Institute of Child Health and Human Development, National Institutes of Health, through Contract No. HHSN267200603425C. Institutions involved in the Consortium include, in alphabetical order: Baystate Medical Center, Springfield, MA; Cedars-Sinai Medical Center Burnes Allen Research Center, Los Angeles, CA; Christiana Care Health System, Newark, DE; Georgetown University Hospital, MedStar Health, Washington, DC; Indiana University Clarian Health, Indianapolis, IN; Intermountain Healthcare and the University of Utah, Salt Lake City, Utah; Maimonides Medical Center, Brooklyn, NY; MetroHealth Medical Center, Cleveland, OH.; Summa Health System, Akron City Hospital, Akron, OH; The EMMES Corporation, Rockville MD (Data Coordinating Center); University of Illinois at Chicago, Chicago, IL; University of Miami, Miami, FL; and University of Texas Health Science Center at Houston, Houston, Texas. The named authors alone are responsible for the views expressed in this manuscript, which does not necessarily represent the decisions or the stated policy of the NICHD.We acknowledge NICHD DASH for providing the Consortium on Safe Labor data that was used for this research.This work has received funding from the Research Grant from the Coimbra Hospital and University Centre.</t>
  </si>
  <si>
    <t>[Ferreira, Iolanda; Areia, Ana Luisa] Unidade Local Saude Coimbra, Obstet Dept, Coimbra, Portugal; [Ferreira, Iolanda; Areia, Ana Luisa] Univ Coimbra, Fac Med, Coimbra, Portugal; [Simoes, Joana; Correia, Joao] Univ Coimbra, Dept Informat Engn, Ctr Informat &amp; Syst, Coimbra, Portugal; [Areia, Ana Luisa] ICBR, Inflammat &amp; Biomarkers Grp, Coimbra, Portugal</t>
  </si>
  <si>
    <t>Universidade de Coimbra; Universidade de Coimbra; Universidade de Coimbra</t>
  </si>
  <si>
    <t>External validation of a machine learning model for delivery mode prediction after induction</t>
  </si>
  <si>
    <t>CESAREAN DELIVERY; LABOR</t>
  </si>
  <si>
    <t>Areia, Ana/IWE-1373-2023</t>
  </si>
  <si>
    <t>33</t>
  </si>
  <si>
    <t>APR 28 2026</t>
  </si>
  <si>
    <t>508</t>
  </si>
  <si>
    <t>10.1038/s41746-026-02384-0</t>
  </si>
  <si>
    <t>http://dx.doi.org/10.1038/s41746-026-02384-0</t>
  </si>
  <si>
    <t>KO8RW</t>
  </si>
  <si>
    <t>42050170</t>
  </si>
  <si>
    <t>WOS:001812075400001</t>
  </si>
  <si>
    <t>Afshar, M; Sharma, B; Bhalla, S; Thompson, HM; Dligach, D; Boley, RA; Kishen, E; Simmons, A; Perticone, K; Karnik, NS</t>
  </si>
  <si>
    <t>Background: Opioid misuse screening in hospitals is resource-intensive and rarely done. Many hospitalized patients are never offered opioid treatment. An automated approach leveraging routinely captured electronic health record (EHR) data may be easier for hospitals to institute. We previously derived and internally validated an opioid classifier in a separate hospital setting. The aim is to externally validate our previously published and open-source machine-learning classifier at a different hospital for identifying cases of opioid misuse.Methods: An observational cohort of 56,227 adult hospitalizations was examined between October 2017 and December 2019 during a hospital-wide substance use screening program with manual screening. Manually completed Drug Abuse Screening Test served as the reference standard to validate a convolutional neural network (CNN) classifier with coded word embedding features from the clinical notes of the EHR. The opioid classifier utilized all notes in the EHR and sensitivity analysis was also performed on the first 24 h of notes. Calibration was performed to account for the lower prevalence than in the original cohort.Results: Manual screening for substance misuse was completed in 67.8% (n=56,227) with 1.1% (n =628) identified with opioid misuse. The data for external validation included 2,482,900 notes with 67,969 unique clinical concept features. The opioid classifier had an AUC of 0.99 (95% CI 0.99-0.99) across the encounter and 0.98 (95% CI 0.98-0.99) using only the first 24 h of notes. In the calibrated classifier, the sensitivity and positive predictive value were 0.81 (95% CI 0.77-0.84) and 0.72 (95% CI 0.68-0.75). For the first 24 h, they were 0.75 (95% CI 0.71-0.78) and 0.61 (95% CI 0.57-0.64).Conclusions: Our opioid misuse classifier had good discrimination during external validation. Our model may provide a comprehensive and automated approach to opioid misuse identification that augments current workflows and overcomes manual screening barriers.</t>
  </si>
  <si>
    <t>Afshar, Majid; Sharma, Brihat; Bhalla, Sameer; Thompson, Hale M.; Dligach, Dmitriy; Boley, Randy A.; Kishen, Ekta; Simmons, Alan; Perticone, Kathryn; Karnik, Niranjan S.</t>
  </si>
  <si>
    <t>Afshar, M (corresponding author), Univ Wisconsin, Dept Med, 1685 Highland Ave, Madison, WI 53705 USA.</t>
  </si>
  <si>
    <t>majid.afshar@wisc.edu</t>
  </si>
  <si>
    <t>National Institute of Alcoholism and Alcohol Abuse [K23AA024503]; National Library of Medicine [R01-LM-010090, R01-LM-012973]; National Institute on Drug Abuse [R01DA04171, UG1DA-049467]; National Center for Advancing Translational Sciences [UL1-TR-002398]; National Institute of Drug Abuse [R01 DA051464]; Agency for Healthcare Research Quality [K12-HS-026385]; Agency for Healthcare Research and Quality [K12HS026385] Funding Source: NIH RePORTER; National Center for Advancing Translational Sciences [UL1TR002389] Funding Source: NIH RePORTER; National Institute on Drug Abuse [R01DA051464, UG1DA049467] Funding Source: NIH RePORTER</t>
  </si>
  <si>
    <t>National Institute of Alcoholism and Alcohol Abuse (United States Department of Health &amp; Human Services, National Institutes of Health (NIH) - USA, NIH National Institute on Alcohol Abuse &amp; Alcoholism (NIAAA)); National Library of Medicine (United States Department of Health &amp; Human Services, National Institutes of Health (NIH) - USA, NIH National Library of Medicine (NLM)); National Institute on Drug Abuse (United States Department of Health &amp; Human Services, National Institutes of Health (NIH) - USA, NIH National Institute on Drug Abuse (NIDA)); National Center for Advancing Translational Sciences (United States Department of Health &amp; Human Services, National Institutes of Health (NIH) - USA, NIH National Center for Advancing Translational Sciences (NCATS)); National Institute of Drug Abuse (United States Department of Health &amp; Human Services, National Institutes of Health (NIH) - USA, NIH National Institute on Drug Abuse (NIDA)); Agency for Healthcare Research Quality (United States Department of Health &amp; Human Services, Agency for Healthcare Research &amp; Quality); Agency for Healthcare Research and Quality (United States Department of Health &amp; Human Services, Agency for Healthcare Research &amp; Quality); National Center for Advancing Translational Sciences (United States Department of Health &amp; Human Services, National Institutes of Health (NIH) - USA, NIH National Center for Advancing Translational Sciences (NCATS)); National Institute on Drug Abuse (United States Department of Health &amp; Human Services, National Institutes of Health (NIH) - USA, NIH National Institute on Drug Abuse (NIDA))</t>
  </si>
  <si>
    <t>This research was supported in part by the following: (1) National Institute of Alcoholism and Alcohol Abuse Grant Number K23AA024503 (MA). This fund supported the Dr. Majid Afshar's effort in performing the research and writing the manuscript. (2) National Library of Medicine Grant Number R01-LM-010090 (DD) and R01-LM-012973 (DD). This fund supported the effort in experiments by Dr. Dmitriy Dligach in neural network architectures. (3) National Institute on Drug Abuse Grant Numbers R01DA04171 (NK), UG1DA-049467 (MA,NK), National Center for Advancing Translational Sciences Grant Number UL1-TR-002398 (MA, NK). This fund provided the effort for PI Niranjan Karnik to share content expertise in opioid misuse. (4) National Institute of Drug Abuse Grant Number R01 DA051464 (MA). This fund supported the Dr. Majid Afshar's effort in performing the research and writing the manuscript. (5) Agency for Healthcare Research &amp; Quality Grant Number K12-HS-026385 (HT). This fund supported Dr. Hale Thompson's effort in reviewing and editing the manuscript.</t>
  </si>
  <si>
    <t>[Afshar, Majid] Loyola Univ Chicago, Div Hlth Informat &amp; Data Sci, Maywood, IL 60153 USA; [Afshar, Majid] Univ Wisconsin, Dept Med, 1685 Highland Ave, Madison, WI 53705 USA; [Sharma, Brihat; Thompson, Hale M.; Boley, Randy A.; Perticone, Kathryn; Karnik, Niranjan S.] Rush Univ, Med Ctr, Dept Psychiat &amp; Behav Sci, Chicago, IL 60612 USA; [Bhalla, Sameer] Rush Univ, Rush Med Coll, Chicago, IL 60612 USA; [Dligach, Dmitriy] Loyola Univ Chicago, Dept Comp Sci, Chicago, IL USA; [Kishen, Ekta; Simmons, Alan] Rush Univ, Med Ctr, Clin Res Analyt, Res Core, Chicago, IL 60612 USA</t>
  </si>
  <si>
    <t>Loyola University Chicago; University of Wisconsin System; University of Wisconsin Madison; Rush University; Rush University; Loyola University Chicago; Rush University</t>
  </si>
  <si>
    <t>External validation of an opioid misuse machine learning classifier in hospitalized adult patients</t>
  </si>
  <si>
    <t>ADDICTION SCIENCE &amp; CLINICAL PRACTICE</t>
  </si>
  <si>
    <t>Opioid misuse; Heroin; Opioid use disorder; Natural language processing; Machine learning; Computable phenotype</t>
  </si>
  <si>
    <t>DRUG-USE; USE DISORDER; PREDICTION; ALCOHOL; ASSOCIATION; SERVICES; MODELS; ABUSE; RISK</t>
  </si>
  <si>
    <t>Karnik, Niranjan/A-1074-2011; Afshar, Majid/AAD-8365-2019; Simmons, Alan/A-9815-2008</t>
  </si>
  <si>
    <t>Thompson, Hale M/0000-0002-9704-934X; Karnik, Niranjan/0000-0001-7650-3008; Afshar, Majid/0000-0002-6368-4652</t>
  </si>
  <si>
    <t>43</t>
  </si>
  <si>
    <t>1940-0640</t>
  </si>
  <si>
    <t>ADDICT SCI CLIN PRAC</t>
  </si>
  <si>
    <t>Addict. Sci. Clin. Pract.</t>
  </si>
  <si>
    <t>MAR 17 2021</t>
  </si>
  <si>
    <t>10.1186/s13722-021-00229-7</t>
  </si>
  <si>
    <t>http://dx.doi.org/10.1186/s13722-021-00229-7</t>
  </si>
  <si>
    <t>Substance Abuse</t>
  </si>
  <si>
    <t>QY4IC</t>
  </si>
  <si>
    <t>33731210</t>
  </si>
  <si>
    <t>WOS:000630004200001</t>
  </si>
  <si>
    <t>gold; Green Submitted; Green Published</t>
  </si>
  <si>
    <t>Huo, TT; Liu, PR; Xue, MD; Zhang, JY; Xie, Y; Wang, HL; Zhou, H; Yan, ZN; Liu, SX; Lu, L; Yang, JM; Wu, W; Ye, ZW</t>
  </si>
  <si>
    <t>Purpose To evaluate a MobileNetV3-YOLOv8 deep learning (DL) model for detecting tibial plateau fractures (TPFs), including occult TPFs (OTPFs), on knee radiographs. We hypothesized that the DL model would improve diagnostic performance and reduce interpretation time, particularly for less experienced physicians.Materials and Methods This retrospective, multicenter study, included 1543 adult patients from 5 tertiary hospitals in China. A total of 3547 radiographs were included: 2837 for training/validation and 710 from a single external center for testing. In the test set, 267 (37.6%) were normal, 282 (39.7%) were obvious TPFs, and 161 (22.7%) were OTPFs. Performance metrics comprised sensitivity, specificity, accuracy, positive predictive value (PPV), negative predictive value (NPV), F1-score, and the area under the receiver operating characteristic curve (AUROC). Eleven physicians (6 experienced, 5 inexperienced) interpreted 70 test images with and without DL assistance. Interreader agreement (Fleiss' kappa) and interpretation time were evaluated.Results For obvious TPFs, the model achieved 89.4% sensitivity (95% confidence interval [CI], 85.7-92.3), 92.5% specificity (95% CI, 89.9-95.1), 88.7% PPV, 92.9% NPV, 89.0% F1-score, and 91.9% accuracy (95% CI, 89.7-94.1). For OTPFs, it achieved 85.7% sensitivity (95% CI, 81.2-89.4), 91.3% specificity (95% CI, 88.5-93.2), 74.2% PPV, 95.6% NPV, 79.5% F1-score, and 88.2% accuracy (95% CI, 86.4-89.8). The overall AUROC was 0.949 (95% CI, 0.935-0.963). DL assistance improved OTPF sensitivity of less experienced readers (67.5% to 83.8%), increased interreader agreement (kappa) (0.58 [95% CI, 0.52-0.64] to 0.71 [95% CI, 0.65-0.76] and reduced mean interpretation time (55.8 seconds to 34.3 seconds).Conclusion The MobileNetV3-YOLOv8 model accurately detected both obvious and occult TPFs, substantially improving diagnostic sensitivity, interreader agreement, and efficiency. These findings suggest that AI assistance can enhance diagnostic performance and reduce interpretation time, offering considerable benefits for emergency departments where rapid and accurate fracture detection is paramount.</t>
  </si>
  <si>
    <t>Huo, Tongtong; Liu, Pengran; Xue, Mingdi; Zhang, Jiayao; Xie, Yi; Wang, Honglin; Zhou, Hong; Yan, Zineng; Liu, Songxiang; Lu, Lin; Yang, Jiaming; Wu, Wei; Ye, Zhewei</t>
  </si>
  <si>
    <t>Ye, ZW (corresponding author), Huazhong Univ Sci &amp; Technol, Union Hosp, Tongji Med Coll, Dept Orthoped, 1277 Jiefang Ave, Wuhan 430022, Hubei, Peoples R China.</t>
  </si>
  <si>
    <t>yezhewei@hust.edu.cn</t>
  </si>
  <si>
    <t>National Natural Science Foundation of China; Research Institute of Imaging, National Key Laboratory of Multi-Spectral Information Processing Technology, Huazhong University of Science and Technology, China</t>
  </si>
  <si>
    <t>National Natural Science Foundation of China (National Natural Science Foundation of China (NSFC)); Research Institute of Imaging, National Key Laboratory of Multi-Spectral Information Processing Technology, Huazhong University of Science and Technology, China</t>
  </si>
  <si>
    <t>We gratefully acknowledge the support provided by the Research Institute of Imaging, National Key Laboratory of Multi-Spectral Information Processing Technology, Huazhong University of Science and Technology, China.</t>
  </si>
  <si>
    <t>[Huo, Tongtong] Wuhan Univ Sci &amp; Technol, Dept Elect Informat, Wuhan 430081, Hubei, Peoples R China; [Huo, Tongtong; Liu, Pengran; Xue, Mingdi; Zhang, Jiayao; Xie, Yi; Wang, Honglin; Zhou, Hong; Yan, Zineng; Lu, Lin; Yang, Jiaming; Wu, Wei; Ye, Zhewei] Huazhong Univ Sci &amp; Technol, Union Hosp, Tongji Med Coll, Dept Orthoped, 1277 Jiefang Ave, Wuhan 430022, Hubei, Peoples R China; [Liu, Songxiang] Wuhan Univ, Dept Orthoped, Renmin Hosp, Wuhan 430060, Peoples R China</t>
  </si>
  <si>
    <t>Wuhan University of Science &amp; Technology; Huazhong University of Science &amp; Technology; Wuhan University</t>
  </si>
  <si>
    <t>Deep learning diagnosis of adult tibial plateau fractures: multicenter study with external validation</t>
  </si>
  <si>
    <t>RADIOLOGY ADVANCES</t>
  </si>
  <si>
    <t>Tibial plateau fracture; occult fracture; deep learning; artificial intelligence</t>
  </si>
  <si>
    <t>Ye, Zhewei/OMM-6832-2025; Huo, Tongtong/HPB-6240-2023; WU, WEI/MFJ-5291-2025</t>
  </si>
  <si>
    <t>Ye, Zhewei/0000-0002-2730-9820</t>
  </si>
  <si>
    <t>2976-9337</t>
  </si>
  <si>
    <t>RADIOL ADV</t>
  </si>
  <si>
    <t>Radiol. Adv.</t>
  </si>
  <si>
    <t>MAY 2025</t>
  </si>
  <si>
    <t>umaf020</t>
  </si>
  <si>
    <t>10.1093/radadv/umaf020</t>
  </si>
  <si>
    <t>http://dx.doi.org/10.1093/radadv/umaf020</t>
  </si>
  <si>
    <t>8CI8V</t>
  </si>
  <si>
    <t>41059155</t>
  </si>
  <si>
    <t>WOS:001585297000001</t>
  </si>
  <si>
    <t>Yasin, P; Ding, LW; Mamat, M; Guo, W; Song, XH</t>
  </si>
  <si>
    <t>Background: Tuberculosis spondylitis (TS), also known as Pott's disease, is the most common destructive form of musculoskeletal tuberculosis and poses significant clinical challenges, particularly when complicated by osteoporosis. Osteoporosis exacerbates surgical outcomes and increases the risk of complications, making its accurate prediction crucial for effective patient management. Methods: This retrospective study included 906 TS patients from two medical centers between January 2016 and November 2022. We collected demographic information and blood test data from routine examinations. To address class imbalance, the synthetic minority oversampling technique (SMOTE) was applied. Feature selection was performed using LASSO, Boruta, and Recursive Feature Elimination (RFE) to identify key predictors of osteoporosis. Multiple machine learning (ML) algorithms, including logistic regression, random forest, and XGBoost, were trained and optimized using nested cross-validation and hyperparameter tuning. The optimal model was further refined through threshold tuning to enhance performance metrics. Model interpretability was achieved using SHapley Additive exPlanations (SHAP), and an online web application was developed for real-time clinical use. Results: Out of 906 patients, 60 were diagnosed with osteoporosis based on Dual-energy X-ray absorptiometry (DXA) measurements. Feature selection identified hemoglobin (HB), estimated glomerular filtration rate (eGFR), and cystatin C (CYS_C) as significant predictors. The logistic regression model exhibited the highest performance with an area under the receiver operating characteristic curve (AUC) of 0.826, which was externally validated with an AUC of 0.796. Threshold tuning optimized the decision threshold to 0.32, improving the F1-score and balancing sensitivity and specificity. SHAP analysis highlighted the critical roles of HB, eGFR, and CYS_C in osteoporosis prediction. The developed web application facilitates the model's integration into clinical workflows, enabling healthcare professionals to make informed decisions at the bedside. Conclusion: This study successfully developed and validated an ML-based tool for predicting osteoporosis in TS patients using readily available clinical data. The model demonstrated robust predictive performance and was effectively integrated into a userfriendly online application, offering a practical solution to enhance surgical decision-making and improve patient outcomes in realtime clinical settings.</t>
  </si>
  <si>
    <t>Yasin, Parhat; Ding, Liwen; Mamat, Mardan; Guo, Wei; Song, Xinghua</t>
  </si>
  <si>
    <t>Song, XH (corresponding author), Xinjiang Med Univ, Affiliated Hosp 6, Dept Spine Surg, Urumqi 830000, Xinjiang, Peoples R China.; Song, XH (corresponding author), First Peoples Hosp, Kashi &amp; Xinjiang Key Lab Artificial Intelligence A, Kashi 844000, Xinjiang, Peoples R China.</t>
  </si>
  <si>
    <t>songxinghua19@163.com</t>
  </si>
  <si>
    <t>First People's Hospital of Kashi &amp; Xinjiang Key Laboratory of Artificial Intelligence Assisted Imaging Diagnosis Fund [XJRGZN2024003]</t>
  </si>
  <si>
    <t>First People's Hospital of Kashi &amp; Xinjiang Key Laboratory of Artificial Intelligence Assisted Imaging Diagnosis Fund</t>
  </si>
  <si>
    <t>Funding This work was supported by The First People's Hospital of Kashi &amp; Xinjiang Key Laboratory of Artificial Intelligence Assisted Imaging Diagnosis Fund (XJRGZN2024003) . The funding body played no role in the design of the study and collection, analysis, interpretation of data, and in writing the manuscript.</t>
  </si>
  <si>
    <t>[Yasin, Parhat; Song, Xinghua] Xinjiang Med Univ, Affiliated Hosp 6, Dept Spine Surg, Urumqi 830000, Xinjiang, Peoples R China; [Ding, Liwen] Xinjiang Med Univ, Coll Pediat, Urumqi 830000, Xinjiang, Peoples R China; [Mamat, Mardan] Xinjiang Med Univ, Affiliated Hosp 1, Dept Spine Surg, Urumqi 830000, Xinjiang, Peoples R China; [Guo, Wei] Peking Univ, Peoples Hosp, Dept Orthoped Oncol, Beijing 100871, Peoples R China; [Song, Xinghua] First Peoples Hosp, Kashi &amp; Xinjiang Key Lab Artificial Intelligence A, Kashi 844000, Xinjiang, Peoples R China</t>
  </si>
  <si>
    <t>Xinjiang Medical University; Xinjiang Medical University; Xinjiang Medical University; Peking University</t>
  </si>
  <si>
    <t>Machine Learning-Based Interpretable Screening for Osteoporosis in Tuberculosis Spondylitis Patients Using Blood Test Data: Development and External Validation of a Novel Web-Based Risk Calculator with Explainable Artificial Intelligence (XAI)</t>
  </si>
  <si>
    <t>INFECTION AND DRUG RESISTANCE</t>
  </si>
  <si>
    <t>tuberculosis spondylitis; osteoporosis; machine learning; threshold tuning; logistic regression</t>
  </si>
  <si>
    <t>BONE-MINERAL DENSITY; CLINICAL-FEATURES; DIAGNOSIS; DISORDER; FUSION; HEALTH; KIDNEY; SPINE</t>
  </si>
  <si>
    <t>Yasin, Parhat/NKQ-5931-2025</t>
  </si>
  <si>
    <t>DOVE MEDICAL PRESS LTD</t>
  </si>
  <si>
    <t>ALBANY</t>
  </si>
  <si>
    <t>PO BOX 300-008, ALBANY, AUCKLAND 0752, NEW ZEALAND</t>
  </si>
  <si>
    <t>1178-6973</t>
  </si>
  <si>
    <t>INFECT DRUG RESIST</t>
  </si>
  <si>
    <t>Infect. Drug Resistance</t>
  </si>
  <si>
    <t>2797</t>
  </si>
  <si>
    <t>2821</t>
  </si>
  <si>
    <t>10.2147/IDR.S520062</t>
  </si>
  <si>
    <t>http://dx.doi.org/10.2147/IDR.S520062</t>
  </si>
  <si>
    <t>Infectious Diseases; Pharmacology &amp; Pharmacy</t>
  </si>
  <si>
    <t>3HV3G</t>
  </si>
  <si>
    <t>40469477</t>
  </si>
  <si>
    <t>WOS:001500698700001</t>
  </si>
  <si>
    <t>Castilla, AC; D'Amorim, ID; Wanderley, MFB; Esmeraldo, MA; Yoshida, AR; Eigier, AM; Sawamura, MVY</t>
  </si>
  <si>
    <t>Background: Chest radiography (CXR) is the most frequently performed radiological exam worldwide, but reporting backlogs, caused by a shortage of radiologists, remain a critical challenge in emergency care. Artificial intelligence (AI) triage systems can help alleviate this challenge by differentiating normal from abnormal studies and prioritizing urgent cases for review. This study aimed to externally validate TRIA, a commercial AI-powered CXR triage algorithm (NeuralMed, S &amp; atilde;o Paulo, Brazil). Methods: TRIA employs a two-stage deep learning approach, comprising an image segmentation module that isolates the thoracic region, followed by a classification model trained to recognize common cardiopulmonary pathologies. We trained the system on 275,399 CXRs from multiple public and private datasets. We performed external validation retrospectively on 1045 CXRs (568 normal and 477 abnormal) from a teaching university hospital that was not used for training. We established ground truth using a large language model (LLM) to extract findings from original radiologist reports. An independent radiologist review of a 300-report subset confirmed the reliability of this method, achieving an accuracy of 0.98 (95% CI 0.978-0.988). We compared four ensemble decision strategies for abnormality detection. Performance metrics included sensitivity, specificity, accuracy, and area under the receiver operating characteristic curve (AUROC) with 95% CI. Results: The general abnormality classifier achieved strong performance (AUROC 0.911). Individual pathology models for cardiomegaly, pneumothorax, and effusion showed excellent results (AUROC of 0.968, 0.955, and 0.935, respectively). The weighted ensemble demonstrated the best balance, with an accuracy of 0.854 (95% CI, 0.831-0.874), a sensitivity of 0.845 (0.810-0.875), a specificity of 0.861 (0.830-0.887), and an AUROC of 0.927 (0.911-0.940). Sensitivity-prioritized methods achieving sensitivity &gt;0.92 produced lower specificity (&lt;0.69). False negatives were mainly subtle or equivocal cases, although many were still flagged as abnormal by the general classifier. Conclusions: TRIA achieved robust and balanced accuracy in distinguishing normal from abnormal CXRs. Integrating this system into clinical workflows has the potential to reduce reporting delays, prioritize urgent cases, and improve patient safety. These findings support its clinical utility and warrant prospective multicenter validation.</t>
  </si>
  <si>
    <t>Castilla, Andre Coutinho; D'Amorim, Iago De Paiva; Wanderley, Maria Fernanda Barbosa; Esmeraldo, Mateus Aragao; Yoshida, Andre Ricca; Eigier, Anthony Moreno; Sawamura, Marcio Valente Yamada</t>
  </si>
  <si>
    <t>Castilla, AC (corresponding author), NeuralMed A2 Tecnol Ltda, Rua Pe Joao Manoel 1212,Cj 41, BR-01411010 Sao Paulo, SP, Brazil.</t>
  </si>
  <si>
    <t>nandaw@gmail.com; andre.yoshida@neuralmed.com; iago.damorim@hc.fm.usp.br; marcio.sawamura@hc.fm.usp.br; andre@neuralmed.com; a@neuralmed.com; mateusesmeraldo3@gmail.com</t>
  </si>
  <si>
    <t>NeuralMed</t>
  </si>
  <si>
    <t>This research and the article processing charges were supported by NeuralMed using its regular institutional funds.</t>
  </si>
  <si>
    <t>[Castilla, Andre Coutinho; Wanderley, Maria Fernanda Barbosa; Yoshida, Andre Ricca; Eigier, Anthony Moreno] NeuralMed A2 Tecnol Ltda, Rua Pe Joao Manoel 1212,Cj 41, BR-01411010 Sao Paulo, SP, Brazil; [D'Amorim, Iago De Paiva; Sawamura, Marcio Valente Yamada] Univ Sao Paulo HCFMUSP, Hosp Clin, Fac Med, Dept Radiol &amp; Oncol, Av Dr Eneas Carvalho Aguiar 255, BR-05403000 Sao Paulo, SP, Brazil; [Esmeraldo, Mateus Aragao] Stanford Univ, Sch Med, Dept Radiol, Palo Alto, CA 94305 USA</t>
  </si>
  <si>
    <t>Stanford University; Stanford Medicine</t>
  </si>
  <si>
    <t>External Validation of an Artificial Intelligence Triaging System for Chest X-Rays: A Retrospective Independent Clinical Study</t>
  </si>
  <si>
    <t>artificial intelligence; chest radiography; triage; external validation; deep learning; radiology; diagnostic accuracy; medical imaging</t>
  </si>
  <si>
    <t>Valente Yamada Sawamura, Marcio/U-2545-2017; Aragão Esmeraldo, Mateus/OKS-2037-2025</t>
  </si>
  <si>
    <t>Valente Yamada Sawamura, Marcio/0000-0002-9424-9776; CASTILLA, ANDRE/0000-0001-8742-2801; Aragão Esmeraldo, Mateus/0000-0002-3537-9730; Barbosa Wanderley, Maria Fernanda/0000-0003-0882-5050</t>
  </si>
  <si>
    <t>NOV 15 2025</t>
  </si>
  <si>
    <t>2899</t>
  </si>
  <si>
    <t>10.3390/diagnostics15222899</t>
  </si>
  <si>
    <t>http://dx.doi.org/10.3390/diagnostics15222899</t>
  </si>
  <si>
    <t>H8163</t>
  </si>
  <si>
    <t>41300923</t>
  </si>
  <si>
    <t>WOS:001625925700001</t>
  </si>
  <si>
    <t>Okada, M; Katsuki, M; Shimazu, T; Takeshima, T; Mitsufuji, T; Ito, Y; Ohbayashi, K; Imai, N; Miyahara, J; Matsumori, Y; Nakazato, Y; Fujita, K; Hoshino, E; Yamamoto, T</t>
  </si>
  <si>
    <t>The misdiagnosis of headache disorders is a serious issue, and AI-based headache model diagnoses with external validation are scarce. We previously developed an artificial intelligence (AI)-based headache diagnosis model using a database of 4000 patients' questionnaires in a headache-specializing clinic and herein performed external validation prospectively. The validation cohort of 59 headache patients was prospectively collected from August 2023 to February 2024 at our or collaborating multicenter institutions. The ground truth was specialists' diagnoses based on the initial questionnaire and at least a one-month headache diary after the initial consultation. The diagnostic performance of the AI model was evaluated. The mean age was 42.55 +/- 12.74 years, and 51/59 (86.67%) of the patients were female. No missing values were reported. Of the 59 patients, 56 (89.83%) had migraines or medication-overuse headaches, and 3 (5.08%) had tension-type headaches. No one had trigeminal autonomic cephalalgias or other headaches. The models' overall accuracy and kappa for the ground truth were 94.92% and 0.65 (95%CI 0.21-1.00), respectively. The sensitivity, specificity, precision, and F values for migraines were 98.21%, 66.67%, 98.21%, and 98.21%, respectively. There was disagreement between the AI diagnosis and the ground truth by headache specialists in two patients. This is the first external validation of the AI headache diagnosis model. Further data collection and external validation are required to strengthen and improve its performance in real-world settings.</t>
  </si>
  <si>
    <t>Okada, Mariko; Katsuki, Masahito; Shimazu, Tomokazu; Takeshima, Takao; Mitsufuji, Takashi; Ito, Yasuo; Ohbayashi, Katsumi; Imai, Noboru; Miyahara, Junichi; Matsumori, Yasuhiko; Nakazato, Yoshihiko; Fujita, Kazuki; Hoshino, Eri; Yamamoto, Toshimasa</t>
  </si>
  <si>
    <t>Yamamoto, T (corresponding author), Saitama Med Univ, Dept Neurol, 38 Morohongo,Moroyama Machi, Saitama 3500495, Japan.</t>
  </si>
  <si>
    <t>mrk1030@saitama-med.ac.jp; ytoshi@saitama-med.ac.jp</t>
  </si>
  <si>
    <t>Saitama Medical University [22-E-1-03]</t>
  </si>
  <si>
    <t>Saitama Medical University (Saitama Medical University)</t>
  </si>
  <si>
    <t>This research was funded by a "New researcher promoting research fee" with grant number 22-E-1-03, supported by Saitama Medical University.</t>
  </si>
  <si>
    <t>[Okada, Mariko; Mitsufuji, Takashi; Ito, Yasuo; Nakazato, Yoshihiko; Yamamoto, Toshimasa] Saitama Med Univ, Dept Neurol, 38 Morohongo,Moroyama Machi, Saitama 3500495, Japan; [Katsuki, Masahito] Nagaoka Univ Technol, Phys Educ &amp; Hlth Ctr, Niigata 9402137, Japan; [Shimazu, Tomokazu; Hoshino, Eri] Saitama Neuropsychiat Inst, Dept Neurol, Saitama 3388577, Japan; [Takeshima, Takao; Miyahara, Junichi] Tominaga Hosp, Headache Ctr, Osaka 5560017, Japan; [Takeshima, Takao; Miyahara, Junichi] Tominaga Hosp, Dept Neurol, Osaka 5560017, Japan; [Ohbayashi, Katsumi] Ohbayashi Clin, Utsunomiya, Tochigi 3210933, Japan; [Imai, Noboru] Japanese Red Cross Shizuoka Hosp, Dept Neurol, Shizuoka 4200853, Japan; [Matsumori, Yasuhiko] Sendai Headache &amp; Neurol Clin, Sendai 9820014, Japan; [Fujita, Kazuki] Jichi Med Univ, Saitama Med Ctr, Dept Neurol, Saitama 3308503, Japan</t>
  </si>
  <si>
    <t>Saitama Medical University; Nagaoka University of Technology; Jichi Medical University</t>
  </si>
  <si>
    <t>Preliminary External Validation Results of the Artificial Intelligence-Based Headache Diagnostic Model: A Multicenter Prospective Observational Study</t>
  </si>
  <si>
    <t>LIFE-BASEL</t>
  </si>
  <si>
    <t>artificial intelligence (AI); headache; machine learning; migraine; efficient medicine; digital transformation (DX); specialist; rural area; medication-overuse headache</t>
  </si>
  <si>
    <t>MEDICATION-OVERUSE HEADACHE; TENSION-TYPE HEADACHE; CHRONIC MIGRAINE; PREVALENCE; JAPAN; EPIDEMIOLOGY; PATTERNS; CARE</t>
  </si>
  <si>
    <t>Katsuki, Masahito/AAA-1036-2022; /AAM-4844-2020; Shimazu, Tomokazu/KXQ-8431-2024; Takeshima, Takao/AER-0188-2022</t>
  </si>
  <si>
    <t>Katsuki, Masahito/0000-0002-0192-5430; Shimazu, Tomokazu/0000-0001-9146-7770; Takeshima, Takao/0000-0003-2678-6956; Yamamoto, Toshimasa/0009-0005-1171-6244; Imai, Noboru/0000-0002-8745-0391; , Yasuo/0000-0003-4434-1977</t>
  </si>
  <si>
    <t>78</t>
  </si>
  <si>
    <t>2075-1729</t>
  </si>
  <si>
    <t>Life-Basel</t>
  </si>
  <si>
    <t>JUN 2024</t>
  </si>
  <si>
    <t>744</t>
  </si>
  <si>
    <t>10.3390/life14060744</t>
  </si>
  <si>
    <t>http://dx.doi.org/10.3390/life14060744</t>
  </si>
  <si>
    <t>Biology; Microbiology</t>
  </si>
  <si>
    <t>Life Sciences &amp; Biomedicine - Other Topics; Microbiology</t>
  </si>
  <si>
    <t>WR4M1</t>
  </si>
  <si>
    <t>38929727</t>
  </si>
  <si>
    <t>WOS:001256586900001</t>
  </si>
  <si>
    <t>Ardakani, AA; Kwee, RM; Mirza-Aghazadeh-Attari, M; Castro, HM; Kuzan, TY; Altintoprak, KM; Besutti, G; Monelli, F; Faeghi, F; Acharya, UR; Mohammadi, A</t>
  </si>
  <si>
    <t>Computed tomography has gained an important role in the early diagnosis of COVID-19 pneumonia. How-ever, the ever-increasing number of patients has overwhelmed radiology departments and has caused a reduction in quality of services. Artificial intelligence (AI) systems are the remedy to the current situa-tion. However, the lack of application in real-world conditions has limited their consideration in clinical settings. This study validated a clinical AI system, COVIDiag, to aid radiologists in accurate and rapid evaluation of COVID-19 cases. 50 COVID-19 and 50 non-COVID-19 pneumonia cases were included from each of five centers: Argentina, Turkey, Iran, Netherlands, and Italy. The Dutch database included only 50 COVID-19 cases. The performance parameters namely sensitivity, specificity, accuracy, and area under the ROC curve (AUC) were computed for each database using COVIDiag model. The most common pattern of involvement among COVID-19 cases in all databases were bilateral involvement of upper and lower lobes with ground-glass opacities. The best sensitivity of 92.0% was recorded for the Italian database. The sys-tem achieved an AUC of 0.983, 0.914, 0.910, and 0.882 for Argentina, Turkey, Iran, and Italy, respectively. The model obtained a sensitivity of 86.0% for the Dutch database. COVIDiag model could diagnose COVID-19 pneumonia in all of cohorts with AUC of 0.921 (sensitivity, specificity, and accuracy of 88.8%, 87.0%, and 88.0%, respectively). Our study confirmed the accuracy of our proposed AI model (COVIDiag) in the diagnosis of COVID-19 cases. Furthermore, the system demonstrated consistent optimal diagnostic perfor-mance on multinational databases, which is critical to determine the generalizability and objectivity of the proposed COVIDiag model. Our results are significant as they provide real-world evidence regarding the applicability of AI systems in clinical medicine. (c) 2021 Elsevier B.V. All rights reserved.</t>
  </si>
  <si>
    <t>Ardakani, Ali Abbasian; Kwee, Robert M.; Mirza-Aghazadeh-Attari, Mohammad; Castro, Horacio Matias; Kuzan, Taha Yusuf; Altintoprak, Kubra Murzoglu; Besutti, Giulia; Monelli, Filippo; Faeghi, Fariborz; Acharya, U. Rajendra; Mohammadi, Afshin</t>
  </si>
  <si>
    <t>Mohammadi, A (corresponding author), Urmia Univ Med Sci, Dept Radiol, Modaress Blvd,Ershad Ave, Orumiyeh 12468, Iran.</t>
  </si>
  <si>
    <t>afshin.mohdi@gmail.com</t>
  </si>
  <si>
    <t>[Ardakani, Ali Abbasian; Faeghi, Fariborz] Shahid Beheshti Univ Med Sci, Sch Allied Med Sci, Radiol Technol Dept, Tehran, Iran; [Kwee, Robert M.] Zuyderland Med Ctr, Dept Radiol, Heerlen Sittard Geleen, Netherlands; [Mirza-Aghazadeh-Attari, Mohammad] Tabriz Univ Med Sci, Fac Med, Med Radiat Sci Res Grp, Tabriz, Iran; [Castro, Horacio Matias] Hosp Italiano Buenos Aires, Pulmonol Dept, Buenos Aires, DF, Argentina; [Kuzan, Taha Yusuf; Altintoprak, Kubra Murzoglu] Sancaktepe Sehit Prof Dr Ilhan Varank Training &amp;, Dept Radiol, Istanbul, Turkey; [Besutti, Giulia; Monelli, Filippo] Azienda USL IRCCS Reggio Emilia, Radiol Dept, Reggio Emilia, Italy; [Besutti, Giulia; Monelli, Filippo] Univ Modena &amp; Reggio Emilia, Clin &amp; Expt Med PhD Program, Modena, Italy; [Acharya, U. Rajendra] Ngee Ann Polytech, Dept Elect &amp; Comp Engn, Singapore 599489, Singapore; [Acharya, U. Rajendra] SUSS Univ, Sch Sci &amp; Technol, Dept Biomed Engn, Singapore, Singapore; [Acharya, U. Rajendra] Asia Univ, Dept Biomed Informat &amp; Med Engn, Taichung, Taiwan; [Mohammadi, Afshin] Urmia Univ Med Sci, Fac Med, Dept Radiol, Orumiyeh, Iran</t>
  </si>
  <si>
    <t>Universita di Modena e Reggio Emilia; Urmia University of Medical Sciences</t>
  </si>
  <si>
    <t>A practical artificial intelligence system to diagnose COVID-19 using computed tomography: A multinational external validation study</t>
  </si>
  <si>
    <t>PATTERN RECOGNITION LETTERS</t>
  </si>
  <si>
    <t>Artificial intelligence; Coronavirus infections; Machine learning; Pneumonia; Tomography X-ray computed</t>
  </si>
  <si>
    <t>CHEST-CT; MANAGEMENT; RADIOLOGY</t>
  </si>
  <si>
    <t>Monelli, Filippo/GYI-8760-2022; Kuzan, Taha Yusuf/AAT-6746-2021; Acharya, U Rajendra/E-3791-2010; Castro, Horacio Matias/AAW-9057-2020; Abbasian Ardakani, Ali/A-2228-2015; Besutti, Giulia/K-5453-2018</t>
  </si>
  <si>
    <t>Monelli, Filippo/0000-0001-9184-306X; Kuzan, Taha Yusuf/0000-0002-5420-8507; Acharya, U Rajendra/0000-0003-2689-8552; Castro, Horacio Matias/0000-0002-6617-2695; Mirza-Aghazadeh-Attari, Mohammad/0000-0001-7927-6912; Abbasian Ardakani, Ali/0000-0001-7536-0973</t>
  </si>
  <si>
    <t>0167-8655</t>
  </si>
  <si>
    <t>1872-7344</t>
  </si>
  <si>
    <t>PATTERN RECOGN LETT</t>
  </si>
  <si>
    <t>Pattern Recognit. Lett.</t>
  </si>
  <si>
    <t>DEC 2021</t>
  </si>
  <si>
    <t>42</t>
  </si>
  <si>
    <t>10.1016/j.patrec.2021.09.012</t>
  </si>
  <si>
    <t>http://dx.doi.org/10.1016/j.patrec.2021.09.012</t>
  </si>
  <si>
    <t>OCT 2021</t>
  </si>
  <si>
    <t>Computer Science, Artificial Intelligence</t>
  </si>
  <si>
    <t>Computer Science</t>
  </si>
  <si>
    <t>WD5KW</t>
  </si>
  <si>
    <t>34580550</t>
  </si>
  <si>
    <t>WOS:000704980300006</t>
  </si>
  <si>
    <t>Harper, JP; Lee, GR; Pan, I; Nguyen, XV; Quails, N; Prevedello, LM</t>
  </si>
  <si>
    <t>BACKGROUND AND PURPOSE: The Radiological Society of North America has actively promoted artificial intelligence (AI) challenges since 2017. Algorithms emerging from the recent RSNA 2022 Cervical Spine Fracture Detection Challenge demonstrated state-of-the-art performance in the competition?s data set, surpassing results from prior publications. However, their performance in real-world clinical practice is not known. As an initial step toward the goal of assessing feasibility of these models in clinical practice, we conducted a generalizability test by using one of the leading algorithms of the competition. MATERIALS AND METHODS: The deep learning algorithm was selected due to its performance, portability, and ease of use, and installed locally. One hundred examinations (50 consecutive cervical spine CT scans with at least 1 fracture present and 50 consecutive negative CT scans) from a level 1 trauma center not represented in the competition data set were processed at 6.4 seconds per examination. Ground truth was established based on the radiology report with retrospective confirmation of positive fracture cases. Sensitivity, specificity, F1 score, and area under the curve were calculated. RESULTS: The external validation data set comprised older patients in comparison to the competition set (53.5 +/- 21.8 years versus 58 +/- 22.0, respectively; P &lt; .05). Sensitivity and specificity were 86% and 70% in the external validation group and 85% and 94% in the competition group, respectively. Fractures misclassified by the convolutional neural networks frequently had features of advanced degenerative disease, subtle nondisplaced fractures not easily identified on the axial plane, and malalignment. CONCLUSIONS: The model performed with a similar sensitivity on the test and external data set, suggesting that such a tool could be potentially generalizable as a triage tool in the emergency setting. Discordant factors such as age-associated comorbidities may affect accuracy and specificity of AI models when used in certain populations. Further research should be encouraged to help elucidate the potential contributions and pitfalls of these algorithms in supporting clinical care.</t>
  </si>
  <si>
    <t>Harper, James P.; Lee, Ghee R.; Pan, Ian; Nguyen, Xuan V.; Quails, Nathan; Prevedello, Luciano M.</t>
  </si>
  <si>
    <t>Prevedello, LM (corresponding author), Ohio State Univ, Wexner Med Ctr, Dept Radiol, 395 W 12th Ave, Columbus, OH 43210 USA.</t>
  </si>
  <si>
    <t>luciano.prevedello@osumc.edu</t>
  </si>
  <si>
    <t>American Society of Neuroradiology</t>
  </si>
  <si>
    <t>The authors wish to thank the numerous representatives of the following professional societies for their contributions to the 2022 Cervical Spine Fracture Detection Challenge and resulting data sets: Radiological Society of North America; American Society of Neuroradiology; and American Society of Spine Radiology.</t>
  </si>
  <si>
    <t>[Harper, James P.; Nguyen, Xuan V.; Quails, Nathan; Prevedello, Luciano M.] Ohio State Univ, Wexner Med Ctr, Dept Radiol, 395 W 12th Ave, Columbus, OH 43210 USA; [Lee, Ghee R.] Ohio State Univ, Coll Med, Columbus, OH USA; [Pan, Ian] Brigham &amp; Womens Hosp, Dept Radiol, Boston, MA USA</t>
  </si>
  <si>
    <t>University System of Ohio; Ohio State University; University System of Ohio; Ohio State University; Harvard University; Harvard University Medical Affiliates; Brigham &amp; Women's Hospital</t>
  </si>
  <si>
    <t>External Validation of a Winning Artificial Intelligence Algorithm from the RSNA 2022 Cervical Spine Fracture Detection Challenge</t>
  </si>
  <si>
    <t>AMERICAN JOURNAL OF NEURORADIOLOGY</t>
  </si>
  <si>
    <t>INJURIES</t>
  </si>
  <si>
    <t>Quails, Nathan/ODN-1929-2025; Prevedello, Luciano/G-8650-2014; Nguyen, Vien/H-6067-2018</t>
  </si>
  <si>
    <t>Pan, Ian/0000-0002-0650-6614; Prevedello, Luciano/0000-0002-6768-6452</t>
  </si>
  <si>
    <t>AMER SOC NEURORADIOLOGY</t>
  </si>
  <si>
    <t>DENVILLE</t>
  </si>
  <si>
    <t>PO BOX 3000, DENVILLE, NJ 07834-9349 USA</t>
  </si>
  <si>
    <t>0195-6108</t>
  </si>
  <si>
    <t>1936-959X</t>
  </si>
  <si>
    <t>AM J NEURORADIOL</t>
  </si>
  <si>
    <t>Am. J. Neuroradiol.</t>
  </si>
  <si>
    <t>1852</t>
  </si>
  <si>
    <t>1858</t>
  </si>
  <si>
    <t>10.3174/ajnr.A8715</t>
  </si>
  <si>
    <t>http://dx.doi.org/10.3174/ajnr.A8715</t>
  </si>
  <si>
    <t>Clinical Neurology; Neuroimaging; Radiology, Nuclear Medicine &amp; Medical Imaging</t>
  </si>
  <si>
    <t>Neurosciences &amp; Neurology; Radiology, Nuclear Medicine &amp; Medical Imaging</t>
  </si>
  <si>
    <t>6TX9K</t>
  </si>
  <si>
    <t>39993795</t>
  </si>
  <si>
    <t>WOS:001542322200001</t>
  </si>
  <si>
    <t>Catalina, QM; Fuster-Casanovas, A; Solé-Casals, J; Vidal-Alaball, J</t>
  </si>
  <si>
    <t>Background: Chest x-rays are the most commonly used type of x-rays today, accounting for up to 26% of all radiographic tests performed. However, chest radiography is a complex imaging modality to interpret. Several studies have reported discrepancies in chest x-ray interpretations among emergency physicians and radiologists. It is of vital importance to be able to offer a fast and reliable diagnosis for this kind of x-ray, using artificial intelligence (AI) to support the clinician. Oxipit has developed an AI algorithm for reading chest x-rays, available through a web platform called ChestEye. This platform is an automatic computer-aided diagnosis system where a reading of the inserted chest x-ray is performed, and an automatic report is returned with a capacity to detect 75 pathologies, covering 90% of diagnoses. Objective: The overall objective of the study is to perform validation with prospective data of the ChestEye algorithm as a diagnostic aid. We wish to validate the algorithm for a single pathology and multiple pathologies by evaluating the accuracy, sensitivity, and specificity of the algorithm. Methods: A prospective validation study will be carried out to compare the diagnosis of the reference radiologists for the users attending the primary care center in the Osona region (Spain), with the diagnosis of the ChestEye AI algorithm. Anonymized chest x-ray images will be acquired and fed into the AI algorithm interface, which will return an automatic report. A radiologist will evaluate the same chest x-ray, and both assessments will be compared to calculate the precision, sensitivity, specificity, and accuracy of the AI algorithm. Results will be represented globally and individually for each pathology using a confusion matrix and the One-vs-All methodology. Results: Patient recruitment was conducted from February 7, 2022, and it is expected that data can be obtained in 5 to 6 months. In June 2022, more than 450 x-rays have been collected, so it is expected that 600 samples will be gathered in July 2022. We hope to obtain sufficient evidence to demonstrate that the use of AI in the reading of chest x-rays can be a good tool for diagnostic support. However, there is a decreasing number of radiology professionals and, therefore, it is necessary to develop and validate tools to support professionals who have to interpret these tests. Conclusions: If the results of the validation of the model are satisfactory, it could be implemented as a support tool and allow an increase in the accuracy and speed of diagnosis, patient safety, and agility in the primary care system, while reducing the cost of unnecessary tests.</t>
  </si>
  <si>
    <t>Miro Catalina, Queralt; Fuster-Casanovas, Alna; Sole-Casals, Jordi; Vidal-Alaball, Josep</t>
  </si>
  <si>
    <t>Catalina, QM (corresponding author), Fundacio Inst Univ Recerca Atencio Primaria Salut, Unitat Suport Recerca Catalunya Cent, C Pica Estats 13-15, St Fruitos De Bages 08272, Spain.</t>
  </si>
  <si>
    <t>qmiro.cc.ics@gencat.cat</t>
  </si>
  <si>
    <t>[Miro Catalina, Queralt; Fuster-Casanovas, Alna; Vidal-Alaball, Josep] Fundacio Inst Univ Recerca Atencio Primaria Salut, Unitat Suport Recerca Catalunya Cent, St Fruitos De Bages, Spain; [Miro Catalina, Queralt; Fuster-Casanovas, Alna; Vidal-Alaball, Josep] Inst Catala Salut, Hlth Promot Rural Areas Res Grp, Gerencia Terr Catalunya Cent, St Fruitos De Bages, Spain; [Sole-Casals, Jordi] Univ Vic Cent Univ Catalonia, Data &amp; Signal Proc Grp, Fac Sci Technol &amp; Engn, Vic, Spain; [Sole-Casals, Jordi] Univ Cambridge, Dept Psychiat, Cambridge, England; [Vidal-Alaball, Josep] Univ Vic Cent Univ Catalonia, Fac Med, Vic, Spain</t>
  </si>
  <si>
    <t>Institut Catala de la Salut (ICS); Universitat de Vic - Universitat Central de Catalunya (UVic-UCC); University of Cambridge; Universitat de Vic - Universitat Central de Catalunya (UVic-UCC)</t>
  </si>
  <si>
    <t>Developing an Artificial Intelligence Model for Reading Chest X-rays: Protocol for a Prospective Validation Study</t>
  </si>
  <si>
    <t>JMIR RESEARCH PROTOCOLS</t>
  </si>
  <si>
    <t>artificial intelligence; machine learning; chest x-ray; radiology; validation</t>
  </si>
  <si>
    <t>RADIOGRAPHS</t>
  </si>
  <si>
    <t>Solé-Casals, Jordi/B-7754-2008; Vidal-Alaball, Josep/P-5975-2017</t>
  </si>
  <si>
    <t>Miró Catalina, Queralt/0000-0001-7379-4671; Solé-Casals, Jordi/0000-0002-6534-1979; Fuster-Casanovas, Aïna/0000-0001-9128-9580; Vidal-Alaball, Josep/0000-0002-3527-4242</t>
  </si>
  <si>
    <t>JMIR PUBLICATIONS, INC</t>
  </si>
  <si>
    <t>TORONTO</t>
  </si>
  <si>
    <t>130 QUEENS QUAY East, Unit 1100, TORONTO, ON M5A 0P6, CANADA</t>
  </si>
  <si>
    <t>1929-0748</t>
  </si>
  <si>
    <t>JMIR RES PROTOC</t>
  </si>
  <si>
    <t>JMIR RES. Protoc.</t>
  </si>
  <si>
    <t>NOV 2022</t>
  </si>
  <si>
    <t>e39536</t>
  </si>
  <si>
    <t>10.2196/39536</t>
  </si>
  <si>
    <t>http://dx.doi.org/10.2196/39536</t>
  </si>
  <si>
    <t>Health Care Sciences &amp; Services; Public, Environmental &amp; Occupational Health</t>
  </si>
  <si>
    <t>8C7HA</t>
  </si>
  <si>
    <t>36383419</t>
  </si>
  <si>
    <t>WOS:000917774000006</t>
  </si>
  <si>
    <t>Farooqi, OA; Fru, GA; Gong, YM; Oswald, LE; DeNucci, DJ</t>
  </si>
  <si>
    <t>Objectives To evaluate the sensitivity of 2 dental artificial intelligence (AI) systems for detecting dentinal caries using longitudinal, outcomes-anchored validation within an integrated healthcare system.Methods In this pilot external validation study, 2 commercially available AI systems were tested on full-mouth intraoral radiographic series, including bitewings, from 90 patients in a federal healthcare system. Ground truth was established using baseline clinical examinations and follow-up documentation 6-12 months later. Vendor-specific and pooled sensitivity for dentinal caries detection were calculated.Results Vendor A achieved a sensitivity of 48.5% (95% CI: 37.0-60.2), Vendor B achieved 57.5% (95% CI: 46.1-68.2), and pooled sensitivity was 53.0% (95% CI: 44.8-61.1).Conclusions Outcomes-anchored, longitudinal validation of dental AI systems for dentinal caries detection was feasible within a large integrated healthcare system. This approach provides clinically relevant sensitivity estimates grounded in real treatment outcomes. These findings are most directly applicable to large integrated healthcare systems with standardized longitudinal data capture and may not fully reflect the variability of private-practice dental settings.Advances in knowledge This study establishes a reproducible framework for evaluating AI diagnostic performance in real-world healthcare settings using longitudinal clinical outcomes rather than radiographic labels alone, demonstrating that independent validation with clinical follow-up is feasible within a large healthcare system.</t>
  </si>
  <si>
    <t>Farooqi, Owais A.; Fru, Gilbert A.; Gong, Yan Ming; Oswald, Landon E.; DeNucci, Donald J.</t>
  </si>
  <si>
    <t>DeNucci, DJ (corresponding author), VA Greater Los Angeles Healthcare Syst, Dent Serv, 1301 Wilshire Blvd, Los Angeles, CA 90073 USA.</t>
  </si>
  <si>
    <t>donald.denucci@comcast.net</t>
  </si>
  <si>
    <t>[Farooqi, Owais A.; Fru, Gilbert A.; Gong, Yan Ming; Oswald, Landon E.; DeNucci, Donald J.] VA Greater Los Angeles Healthcare Syst, Dent Serv, 1301 Wilshire Blvd, Los Angeles, CA 90073 USA; [Farooqi, Owais A.] UCLA, Sch Dent, Sect Publ &amp; Populat Hlth, Los Angeles, CA 90095 USA</t>
  </si>
  <si>
    <t>University of California System; University of California Los Angeles</t>
  </si>
  <si>
    <t>External validation of 2 artificial intelligence systems for dentinal caries detection: a retrospective pilot clinical outcomes study</t>
  </si>
  <si>
    <t>DENTOMAXILLOFACIAL RADIOLOGY</t>
  </si>
  <si>
    <t>artificial intelligence; dental caries; radiography; diagnostic validation; external validation; dentistry</t>
  </si>
  <si>
    <t>0250-832X</t>
  </si>
  <si>
    <t>1476-542X</t>
  </si>
  <si>
    <t>DENTOMAXILLOFAC RAD</t>
  </si>
  <si>
    <t>Dentomaxillofac. Radiol.</t>
  </si>
  <si>
    <t>10.1093/dmfr/twag054</t>
  </si>
  <si>
    <t>http://dx.doi.org/10.1093/dmfr/twag054</t>
  </si>
  <si>
    <t>Dentistry, Oral Surgery &amp; Medicine; Radiology, Nuclear Medicine &amp; Medical Imaging</t>
  </si>
  <si>
    <t>MS3PI</t>
  </si>
  <si>
    <t>42503894</t>
  </si>
  <si>
    <t>WOS:001849723000001</t>
  </si>
  <si>
    <t>Li, KZ; Oo, HH; Liang, KCW; Ismail, N; Chua, JLL; Chng, JJS; Wu, Y; Wong, DWR; Khan, SR; Yap, BP; Tong, R; Kiew, CM; Huang, YF; Chua, CH; Lim, AKS; Fan, XY</t>
  </si>
  <si>
    <t>Background: To develop and validate an automated visual acuity (VA) testing system integrating artificial intelligence (AI)-driven speech and image recognition technologies, enabling self-administered, clinic-based VA assessment; Methods: The system incorporated a fine-tuned Whisper speech-recognition model with Silero voice activity detection and pose estimation through facial landmark and ArUco marker detection. A state-driven interface guided users through sequential testing with and without a pinhole. Speech recognition was enhanced using a local Singaporean English dataset. Laboratory validation assessed speech and pose recognition performance, while clinical validation compared automated and manual VA testing at a tertiary eye clinic; Results: The fine-tuned model reduced word error rates from 17.83% to 9.81% for letters and 2.76% to 1.97% for numbers. Pose detection accurately identified valid occluder states. Among 72 participants (144 eyes), automated unaided VA showed good agreement with manual VA (ICC = 0.77, 95% CI 0.62-0.85), while pinhole VA demonstrated moderate agreement (ICC = 0.63, 95% CI 0.25-0.83). Automated testing took longer (132.1 +/- 47.5 s vs. 97.1 +/- 47.8 s; p &lt; 0.001), but user experience remained positive (mean Likert scale score 4.3 +/- 0.8); Conclusions: The AI-based automated VA system delivered accurate, reliable, and user-friendly performance, supporting its feasibility for clinical implementation.</t>
  </si>
  <si>
    <t>Li, Kelvin Zhenghao; Oo, Hnin Hnin; Liang, Kenneth Chee Wei; Ismail, Najah; Chua, Jasmine Ling Ling; Chng, Jackson Jie Sheng; Wu, Yang; Wong, Daryl Wei Ren; Khan, Sumaya Rani; Yap, Boon Peng; Tong, Rong; Kiew, Choon Meng; Huang, Yufei; Chua, Chun Hau; Lim, Alva Khai Shin; Fan, Xiuyi</t>
  </si>
  <si>
    <t>Li, KZ (corresponding author), Tan Tock Seng Hosp, Natl Healthcare Grp Eye Inst, Dept Ophthalmol, Singapore 308433, Singapore.; Li, KZ (corresponding author), Nanyang Technol Univ, Ctr AI Med, Lee Kong Chian Sch Med, Singapore 308232, Singapore.</t>
  </si>
  <si>
    <t>kelvin.lizh@ntu.edu.sg</t>
  </si>
  <si>
    <t>Digital and Smart Health Office Digital Prototyping Budget [TH0523AC]; Singapore Institute of Technology Ignition Grant [IG (S) 1/2023-304]; Ng Teng Fong Healthcare Innovation Programme [NTF_FY2023_2_C1_A_04]</t>
  </si>
  <si>
    <t>Digital and Smart Health Office Digital Prototyping Budget; Singapore Institute of Technology Ignition Grant; Ng Teng Fong Healthcare Innovation Programme</t>
  </si>
  <si>
    <t>This research was supported by the Digital and Smart Health Office Digital Prototyping Budget (TH0523AC), the Singapore Institute of Technology Ignition Grant (IG (S) 1/2023-304) and Ng Teng Fong Healthcare Innovation Programme (NTF_FY2023_2_C1_A_04). The funders had no role in the design of the study, data collection, analysis, interpretation of data, or writing of the manuscript.</t>
  </si>
  <si>
    <t>[Li, Kelvin Zhenghao; Oo, Hnin Hnin; Liang, Kenneth Chee Wei; Chua, Jasmine Ling Ling; Chng, Jackson Jie Sheng; Wu, Yang; Wong, Daryl Wei Ren; Khan, Sumaya Rani; Chua, Chun Hau; Lim, Alva Khai Shin] Tan Tock Seng Hosp, Natl Healthcare Grp Eye Inst, Dept Ophthalmol, Singapore 308433, Singapore; [Li, Kelvin Zhenghao; Fan, Xiuyi] Nanyang Technol Univ, Ctr AI Med, Lee Kong Chian Sch Med, Singapore 308232, Singapore; [Ismail, Najah] Nanyang Technol Univ, Coll Comp &amp; Data Sci, Singapore 639798, Singapore; [Yap, Boon Peng] Nanyang Technol Univ, Sch Elect &amp; Elect Engn, Singapore 639798, Singapore; [Tong, Rong; Kiew, Choon Meng] Singapore Inst Technol, Singapore 828608, Singapore; [Huang, Yufei] Natl Healthcare Grp, Digital &amp; Smart Hlth Off, Singapore 308443, Singapore</t>
  </si>
  <si>
    <t>Tan Tock Seng Hospital; Nanyang Technological University; Nanyang Technological University; Nanyang Technological University; Singapore Institute of Technology</t>
  </si>
  <si>
    <t>Development and Clinical Validation of an Artificial Intelligence-Based Automated Visual Acuity Testing System</t>
  </si>
  <si>
    <t>automated; artificial intelligence; visual acuity test</t>
  </si>
  <si>
    <t>RECOGNITION; CHART</t>
  </si>
  <si>
    <t>Liang, Chee Wei Kenneth/0009-0006-3366-741X; Lim, Khai Shin, Alva/0000-0003-3841-3479</t>
  </si>
  <si>
    <t>FEB 20 2026</t>
  </si>
  <si>
    <t>357</t>
  </si>
  <si>
    <t>10.3390/life16020357</t>
  </si>
  <si>
    <t>http://dx.doi.org/10.3390/life16020357</t>
  </si>
  <si>
    <t>EJ2IW</t>
  </si>
  <si>
    <t>41752992</t>
  </si>
  <si>
    <t>WOS:001702379300001</t>
  </si>
  <si>
    <t>gold; Green Published; Green Submitted</t>
  </si>
  <si>
    <t>Chen, WS; Zhou, YC; Xie, FG; Butler, RK; Jeon, CY; Luong, TQ; Zhou, BT; Lin, YC; Lustigova, E; Pisegna, JR; Kim, S; Wu, BU</t>
  </si>
  <si>
    <t>INTRODUCTION:There is currently no widely accepted approach to screening for pancreatic cancer (PC). We aimed to develop and validate a risk prediction model for pancreatic ductal adenocarcinoma (PDAC), the most common form of PC, across 2 health systems using electronic health records.METHODS:This retrospective cohort study consisted of patients aged 50-84 years having at least 1 clinic-based visit over a 10-year study period at Kaiser Permanente Southern California (model training, internal validation) and the Veterans Affairs (VA, external testing). Random survival forests models were built to identify the most relevant predictors from &gt;500 variables and to predict risk of PDAC within 18 months of cohort entry.RESULTS:The Kaiser Permanente Southern California cohort consisted of 1.8 million patients (mean age 61.6) with 1,792 PDAC cases. The 18-month incidence rate of PDAC was 0.77 (95% confidence interval 0.73-0.80)/1,000 person-years. The final main model contained age, abdominal pain, weight change, HbA1c, and alanine transaminase change (c-index: mean = 0.77, SD = 0.02; calibration test: P value 0.4, SD 0.3). The final early detection model comprised the same features as those selected by the main model except for abdominal pain (c-index: 0.77 and SD 0.4; calibration test: P value 0.3 and SD 0.3). The VA testing cohort consisted of 2.7 million patients (mean age 66.1) with an 18-month incidence rate of 1.27 (1.23-1.30)/1,000 person-years. The recalibrated main and early detection models based on VA testing data sets achieved a mean c-index of 0.71 (SD 0.002) and 0.68 (SD 0.003), respectively.DISCUSSION:Using widely available parameters in electronic health records, we developed and externally validated parsimonious machine learning-based models for detection of PC. These models may be suitable for real-time clinical application.</t>
  </si>
  <si>
    <t>Chen, Wansu; Zhou, Yichen; Xie, Fagen; Butler, Rebecca K.; Jeon, Christie Y.; Luong, Tiffany Q.; Zhou, Botao; Lin, Yu-Chen; Lustigova, Eva; Pisegna, Joseph R.; Kim, Sungjin; Wu, Bechien U.</t>
  </si>
  <si>
    <t>Chen, WS (corresponding author), Kaiser Permanente Southern Calif, Dept Res &amp; Evaluat, Pasadena, CA 91103 USA.</t>
  </si>
  <si>
    <t>Yu-Chen.Lin@cshs.org; Sungjin.Kim@cshs.org; Wansu.Chen@KP.org; Joseph.Pisegna@va.gov; fagen.xie@kp.org; bechien.u.wu@kp.org; eva.lustigova@kp.org; yichen.zhou@uconn.edu; rebecca.k.butler@kp.org; tiffany.q.luong@kp.org; christie.jeon@cshs.org; Botao.X.Zhou@kp.org</t>
  </si>
  <si>
    <t>National Cancer Institute of the National Institutes of Health [R01CA230442]; National Cancer Institute [R01CA230442] Funding Source: NIH RePORTER</t>
  </si>
  <si>
    <t>National Cancer Institute of the National Institutes of Health (United States Department of Health &amp; Human Services, National Institutes of Health (NIH) - USA, NIH National Cancer Institute (NCI)); National Cancer Institute (United States Department of Health &amp; Human Services, National Institutes of Health (NIH) - USA, NIH National Cancer Institute (NCI))</t>
  </si>
  <si>
    <t>Research reported in this publication wassupported by the National Cancer Institute of the National Institutes of Health under Award Number R01CA230442. The content is solelythe responsibility of the authors and does not necessarily representthe official views of the National Institutes of Health.</t>
  </si>
  <si>
    <t>[Chen, Wansu; Zhou, Yichen; Xie, Fagen; Butler, Rebecca K.; Luong, Tiffany Q.; Zhou, Botao; Lustigova, Eva] Kaiser Permanente Southern Calif, Dept Res &amp; Evaluat, Pasadena, CA 91103 USA; [Jeon, Christie Y.; Lin, Yu-Chen; Kim, Sungjin] Cedars Sinai Med Ctr, Los Angeles, CA USA; [Pisegna, Joseph R.] VA Greater Angeles Healthcare Syst, Div Gastroenterol &amp; Hepatol, Los Angeles, CA USA; [Pisegna, Joseph R.] UCLA, Dept Med, David Geffen Sch Med, Los Angeles, CA USA; [Pisegna, Joseph R.] UCLA, Dept Human Genet, David Geffen Sch Med, Los Angeles, CA USA; [Wu, Bechien U.] Southern Calif Permanente Med Grp, Dept Gastroenterol, Ctr Pancreat Care, Los Angeles Med Ctr, Los Angeles, CA USA</t>
  </si>
  <si>
    <t>Kaiser Permanente; Cedars Sinai Medical Center; US Department of Veterans Affairs; Veterans Health Administration (VHA); VA Greater Los Angeles Healthcare System; University of California System; University of California Los Angeles; David Geffen School of Medicine at UCLA; University of California Los Angeles Medical Center; University of California System; University of California Los Angeles; David Geffen School of Medicine at UCLA; University of California Los Angeles Medical Center; Permanente Medical Groups; University of California System; University of California Los Angeles; University of California Los Angeles Medical Center</t>
  </si>
  <si>
    <t>Derivation and External Validation of Machine Learning-Based Model for Detection of Pancreatic Cancer</t>
  </si>
  <si>
    <t>AMERICAN JOURNAL OF GASTROENTEROLOGY</t>
  </si>
  <si>
    <t>RISK</t>
  </si>
  <si>
    <t>Lin, Yu Chen/0009-0006-6808-6615; Luong, Tiffany/0000-0002-5825-9248</t>
  </si>
  <si>
    <t>27</t>
  </si>
  <si>
    <t>0002-9270</t>
  </si>
  <si>
    <t>1572-0241</t>
  </si>
  <si>
    <t>AM J GASTROENTEROL</t>
  </si>
  <si>
    <t>Am. J. Gastroenterol.</t>
  </si>
  <si>
    <t>118</t>
  </si>
  <si>
    <t>157</t>
  </si>
  <si>
    <t>167</t>
  </si>
  <si>
    <t>10.14309/ajg.0000000000002050</t>
  </si>
  <si>
    <t>http://dx.doi.org/10.14309/ajg.0000000000002050</t>
  </si>
  <si>
    <t>8C9SH</t>
  </si>
  <si>
    <t>36227806</t>
  </si>
  <si>
    <t>WOS:000917940200027</t>
  </si>
  <si>
    <t>Qian, XY; Luo, HT; Ding, R; Gao, TM; Wang, HA; Wu, PL; Li, N</t>
  </si>
  <si>
    <t>Background:Obstructive sleep apnea (OSA) affects nearly one billion people globally and poses a substantial public health threat. Effective and accessible methods for OSA risk identification are urgently needed. Objective:This study aims to develop and externally validate a machine learning model derived from multi-parameter pulse oximetry (SpO(2)) for OSA screening, and to evaluate its performance, interpretability, and robustness across sex and age subgroups. Methods:Of 4156 screened participants, 2195 underwent polysomnography (internal cohort) and 446 received home sleep apnea testing (external cohort). Eight SpO(2)-derived parameters, including oxygen desaturation index (ODI), hypoxic burden (HB), and ST90 (percentage of sleep time with SpO(2) &lt; 90%), were used to construct models. Six machine learning algorithms were trained, with F-1-score as the primary metric and area under the curve as the secondary metric. Model interpretability was assessed using Shapley additive explanations and intrinsic feature importance scores. Results:Nonlinear parameter-risk relationships were observed between oximetry indices and OSA probability. The 4-parameter ODI-HB-MinSpO(2)-ST90 model achieved optimal performance (F-1-score = 0.9516, area under the curve = 0.9879), surpassing all single-parameter models. Shapley additive explanations analysis identified ODI, HB, and MinSpO(2) as key predictors. The ODI-HB-MinSpO(2)-MeanSpO(2) configuration demonstrated superior performance in female and younger subgroups, whereas the ODI-HB-MinSpO(2)-ST90 model remained optimal for male and older participants. Categorical boosting outperformed other algorithms across multiple metrics and remained robust in both subgroup and external validation analyses. Conclusions:The multi-parameter oximetry model based on the categorical boosting algorithm provides a simple and accurate tool for OSA screening. Sex- and age-stratified strategies can further enhance its clinical applicability.</t>
  </si>
  <si>
    <t>Qian, Xuanyu; Luo, Haitong; Ding, Rong; Gao, Tianming; Wang, Haoan; Wu, Pengliang; Li, Ning</t>
  </si>
  <si>
    <t>Li, N (corresponding author), Shanghai Jiao Tong Univ, Ruijin Hosp, Sch Med, Dept Resp &amp; Crit Care Med, 197 Rui Jin 2nd Rd, Shanghai 200025, Peoples R China.</t>
  </si>
  <si>
    <t>drningbaby@163.com</t>
  </si>
  <si>
    <t>National Natural Science Foundation of China [82100103]; National Science andTechnology Major Project of China [2025ZD01902405]; Shanghai Shenkang Hospital Management Center, Shanghai Clinical Cohort [SHDC2025CCS044]</t>
  </si>
  <si>
    <t>National Natural Science Foundation of China (National Natural Science Foundation of China (NSFC)); National Science andTechnology Major Project of China; Shanghai Shenkang Hospital Management Center, Shanghai Clinical Cohort</t>
  </si>
  <si>
    <t>This study was supported by the grants from the National Natural Science Foundation of China (82100103) , the National Science and Technology Major Project of China (2025ZD01902405) , and the Shanghai Shenkang Hospital Management Center, Shanghai Clinical Cohort (SHDC2025CCS044) .</t>
  </si>
  <si>
    <t>[Qian, Xuanyu; Luo, Haitong; Wang, Haoan; Wu, Pengliang; Li, Ning] Shanghai Jiao Tong Univ, Ruijin Hosp, Sch Med, Dept Resp &amp; Crit Care Med, 197 Rui Jin 2nd Rd, Shanghai 200025, Peoples R China; [Qian, Xuanyu] Tongji Univ, Inst Precis Opt Engn, Sch Phys Sci &amp; Engn, Shanghai, Peoples R China; [Ding, Rong] Taizhou Fourth Peoples Hosp, Dept Resp &amp; Crit Care Med, Taizhou, Jiangsu, Peoples R China; [Gao, Tianming] Pingliang Municipal Hosp Tradit Chinese Med, Dept Resp &amp; Crit Care Med, Pingliang, Gansu, Peoples R China; [Li, Ning] Shanghai Jiao Tong Univ, Inst Resp Dis, Sch Med, Shanghai, Peoples R China</t>
  </si>
  <si>
    <t>Shanghai Jiao Tong University; Tongji University; Shanghai Jiao Tong University</t>
  </si>
  <si>
    <t>Machine Learning-Based Multidimensional Oximetry for Obstructive Sleep Apnea Screening: Development and External Validation</t>
  </si>
  <si>
    <t>JMIR MEDICAL INFORMATICS</t>
  </si>
  <si>
    <t>obstructive sleep apnea; pulse oximetry; machine learning; multi-parameter oximetry; screening; CatBoost; categorical boosting</t>
  </si>
  <si>
    <t>OXYGEN DESATURATION INDEX; NOCTURNAL PULSE OXIMETRY; CLASSIFICATION</t>
  </si>
  <si>
    <t>Qian, Xuanyu/ONJ-5943-2025</t>
  </si>
  <si>
    <t>Wu, Pengliang/0009-0002-9160-6886</t>
  </si>
  <si>
    <t>2291-9694</t>
  </si>
  <si>
    <t>JMIR MED INF</t>
  </si>
  <si>
    <t>JMIR Med. Inf.</t>
  </si>
  <si>
    <t>e80384</t>
  </si>
  <si>
    <t>10.2196/80384</t>
  </si>
  <si>
    <t>http://dx.doi.org/10.2196/80384</t>
  </si>
  <si>
    <t>Medical Informatics</t>
  </si>
  <si>
    <t>HY2XM</t>
  </si>
  <si>
    <t>42102385</t>
  </si>
  <si>
    <t>WOS:001765561800001</t>
  </si>
  <si>
    <t>Zhu, Y; Simon, GJ; Wick, EC; Abe-Jones, Y; Najafi, N; Sheka, A; Tourani, R; Skube, SJ; Hu, Z; Melton, GB</t>
  </si>
  <si>
    <t>BACKGROUND: Surgical complications have tremendous consequences and costs. Complication detection is important for quality improvement, but traditional manual chart review is burdensome. Automated mechanisms are needed to make this more efficient. To understand the generalizability of a machine learning algorithm between sites, automated surgical site infection (SSI) detection algorithms developed at one center were tested at another distinct center.STUDY DESIGN: NSQIP patients had electronic health record (EHR) data extracted at one center (University of Minnesota Medical Center, Site A) over a 4-year period for model development and internal validation, and at a second center (University of California San Francisco, Site B) over a subsequent 2-year period for external validation. Models for automated NSQIP SSI detection of superficial, organ space, and total SSI within 30 days postoperatively were validated using area under the curve (AUC) scores and corresponding 95% confidence intervals.RESULTS: For the 8,883 patients (Site A) and 1,473 patients (Site B), AUC scores were not statistically different for any outcome including superficial (external 0.804, internal [0.784, 0.874] AUC); organ/space (external 0.905, internal [0.867, 0.941] AUC); and total (external 0.855, internal [0.854, 0.908] AUC) SSI. False negative rates decreased with increasing case review volume and would be amenable to a strategy in which cases with low predicted probabilities of SSI could be excluded from chart review.CONCLUSIONS: Our findings demonstrated that SSI detection machine learning algorithms developed at 1 site were generalizable to another institution. SSI detection models are practically applicable to accelerate and focus chart review. ((C) 2021 by the American College of Surgeons. Published by Elsevier Inc. All rights reserved.)</t>
  </si>
  <si>
    <t>Zhu, Ying; Simon, Gyorgy J.; Wick, Elizabeth C.; Abe-Jones, Yumiko; Najafi, Nader; Sheka, Adam; Tourani, Roshan; Skube, Steven J.; Hu, Zhen; Melton, Genevieve B.</t>
  </si>
  <si>
    <t>Melton, GB (corresponding author), Colon &amp; Rectal Surg, 420 Delaware St SE,Mayo Mail Code 450, Minneapolis, MN 55455 USA.</t>
  </si>
  <si>
    <t>gmelton@umn.edu</t>
  </si>
  <si>
    <t>University of Minnesota Academic Health Center Faculty Development Award; Agency for Healthcare Research and Quality [R01HS24532]; NIH Clinical and Translational Science Award program [UL1TR000114]; NIH National Institute of General Medical Sciences [R01GM120079]; Fairview Health Services, University of Minnesota Physicians; University of California, San Francisco Medical Center</t>
  </si>
  <si>
    <t>University of Minnesota Academic Health Center Faculty Development Award; Agency for Healthcare Research and Quality (United States Department of Health &amp; Human Services, Agency for Healthcare Research &amp; Quality); NIH Clinical and Translational Science Award program (United States Department of Health &amp; Human Services, National Institutes of Health (NIH) - USA); NIH National Institute of General Medical Sciences (United States Department of Health &amp; Human Services, National Institutes of Health (NIH) - USA, NIH National Institute of General Medical Sciences (NIGMS)); Fairview Health Services, University of Minnesota Physicians; University of California, San Francisco Medical Center (University of California System)</t>
  </si>
  <si>
    <t>This research was supported by the University of Minnesota Academic Health Center Faculty Development Award, Agency for Healthcare Research and Quality (R01HS24532), NIH Clinical and Translational Science Award program (UL1TR000114), NIH National Institute of General Medical Sciences (R01GM120079), Fairview Health Services, University of Minnesota Physicians, and University of California, San Francisco Medical Center.</t>
  </si>
  <si>
    <t>[Zhu, Ying; Simon, Gyorgy J.; Tourani, Roshan; Hu, Zhen; Melton, Genevieve B.] Univ Minnesota, Inst Hlth Informat, Minneapolis, MN USA; [Simon, Gyorgy J.] Univ Minnesota, Dept Med, Minneapolis, MN 55455 USA; [Wick, Elizabeth C.] Univ Minnesota, Dept Surg, Minneapolis, MN 55455 USA; [Abe-Jones, Yumiko; Najafi, Nader] Univ Calif San Francisco, Dept Surg, San Francisco, CA USA; [Sheka, Adam; Skube, Steven J.; Melton, Genevieve B.] Univ Calif San Francisco, Dept Med, San Francisco, CA 94143 USA</t>
  </si>
  <si>
    <t>University of Minnesota System; University of Minnesota Twin Cities; University of Minnesota System; University of Minnesota Twin Cities; University of Minnesota System; University of Minnesota Twin Cities; University of California System; University of California San Francisco; University of California System; University of California San Francisco</t>
  </si>
  <si>
    <t>Applying Machine Learning Across Sites: External Validation of a Surgical Site Infection Detection Algorithm</t>
  </si>
  <si>
    <t>JOURNAL OF THE AMERICAN COLLEGE OF SURGEONS</t>
  </si>
  <si>
    <t>IDENTIFICATION</t>
  </si>
  <si>
    <t>Melton-Meaux, Genevieve/HSE-3064-2023</t>
  </si>
  <si>
    <t>Melton-Meaux, Genevieve/0000-0001-5193-1663</t>
  </si>
  <si>
    <t>1072-7515</t>
  </si>
  <si>
    <t>1879-1190</t>
  </si>
  <si>
    <t>J AM COLL SURGEONS</t>
  </si>
  <si>
    <t>J. Am. Coll. Surg.</t>
  </si>
  <si>
    <t>JUN 2021</t>
  </si>
  <si>
    <t>232</t>
  </si>
  <si>
    <t>963</t>
  </si>
  <si>
    <t>971</t>
  </si>
  <si>
    <t>10.1016/j.jamcollsurg.2021.03.026</t>
  </si>
  <si>
    <t>http://dx.doi.org/10.1016/j.jamcollsurg.2021.03.026</t>
  </si>
  <si>
    <t>MAY 2021</t>
  </si>
  <si>
    <t>SH7PP</t>
  </si>
  <si>
    <t>33831539</t>
  </si>
  <si>
    <t>WOS:000654326000030</t>
  </si>
  <si>
    <t>Park, SH; Choi, J; Byeon, JS</t>
  </si>
  <si>
    <t>Artificial intelligence (AI) will likely affect various fields of medicine. This article aims to explain the fundamental principles of clinical validation, device approval, and insurance coverage decisions of AI algorithms for medical diagnosis and prediction. Discrimination accuracy of AI algorithms is often evaluated with the Dice similarity coefficient, sensitivity, specificity, and traditional or free-response receiver operating characteristic curves. Calibration accuracy should also be assessed, especially for algorithms that provide probabilities to users. As current AI algorithms have limited generalizability to real-world practice, clinical validation of AI should put it to proper external testing and assisting roles. External testing could adopt diagnostic case-control or diagnostic cohort designs. A diagnostic case-control study evaluates the technical validity/accuracy of AI while the latter tests the clinical validity/accuracy of AI in samples representing target patients in real-world clinical scenarios. Ultimate clinical validation of AI requires evaluations of its impact on patient outcomes, referred to as clinical utility, and for which randomized clinical trials are ideal. Device approval of AI is typically granted with proof of technical validity/accuracy and thus does not intend to directly indicate if AI is beneficial for patient care or if it improves patient outcomes. Neither can it categorically address the issue of limited generalizability of AI. After achieving device approval, it is up to medical professionals to determine if the approved AI algorithms are beneficial for real-world patient care. Insurance coverage decisions generally require a demonstration of clinical utility that the use of AI has improved patient outcomes.</t>
  </si>
  <si>
    <t>Park, Seong Ho; Choi, Jaesoon; Byeon, Jeong-Sik</t>
  </si>
  <si>
    <t>Park, SH (corresponding author), Univ Ulsan, Asan Med Ctr, Coll Med, Dept Radiol, Seoul, South Korea.; Park, SH (corresponding author), Univ Ulsan, Asan Med Ctr, Coll Med, Res Inst Radiol, Seoul, South Korea.</t>
  </si>
  <si>
    <t>seongho@amc.seoul.kr</t>
  </si>
  <si>
    <t>[Park, Seong Ho] Univ Ulsan, Asan Med Ctr, Coll Med, Dept Radiol, Seoul, South Korea; [Park, Seong Ho] Univ Ulsan, Asan Med Ctr, Coll Med, Res Inst Radiol, Seoul, South Korea; [Choi, Jaesoon] Univ Ulsan, Asan Med Ctr, Dept Biomed Engn, Coll Med, Seoul, South Korea; [Byeon, Jeong-Sik] Univ Ulsan, Asan Med Ctr, Dept Gastroenterol, Coll Med, Seoul, South Korea</t>
  </si>
  <si>
    <t>University of Ulsan; Asan Medical Center; University of Ulsan; Asan Medical Center</t>
  </si>
  <si>
    <t>Key principles of clinical validation, device approval, and insurance coverage decisions of artificial intelligence</t>
  </si>
  <si>
    <t>JOURNAL OF THE KOREAN MEDICAL ASSOCIATION</t>
  </si>
  <si>
    <t>Korean</t>
  </si>
  <si>
    <t>Software validation; Device approval; Insurance coverage; Artificial intelligence</t>
  </si>
  <si>
    <t>COMPUTER-AIDED DETECTION; PERFORMANCE; DIAGNOSIS; RADIOLOGY; DISEASES; SYSTEM; GUIDE</t>
  </si>
  <si>
    <t>Park, Seong Ho/J-5488-2012; Choi, Jaesoon/AGG-7419-2022</t>
  </si>
  <si>
    <t>Choi, Jaesoon/0000-0002-6817-618X; Park, Seong Ho/0000-0002-1257-8315</t>
  </si>
  <si>
    <t>KOREAN MEDICAL ASSOC</t>
  </si>
  <si>
    <t>302-75 INCHON-1 DONG, YONGSAN-GU, SEOUL, 140-721, SOUTH KOREA</t>
  </si>
  <si>
    <t>1975-8456</t>
  </si>
  <si>
    <t>2093-5951</t>
  </si>
  <si>
    <t>J KOREAN MED ASSOC</t>
  </si>
  <si>
    <t>J. Korean Med. Assoc.</t>
  </si>
  <si>
    <t>NOV 2020</t>
  </si>
  <si>
    <t>63</t>
  </si>
  <si>
    <t>696</t>
  </si>
  <si>
    <t>708</t>
  </si>
  <si>
    <t>10.5124/jkma.2020.63.11.696</t>
  </si>
  <si>
    <t>http://dx.doi.org/10.5124/jkma.2020.63.11.696</t>
  </si>
  <si>
    <t>OU6PP</t>
  </si>
  <si>
    <t>WOS:000591648700006</t>
  </si>
  <si>
    <t>Karway, GK; Koyner, JL; Caskey, J; Spicer, AB; Carey, KA; Gilbert, ER; Dligach, D; Mayampurath, A; Afshar, M; Churpek, MM</t>
  </si>
  <si>
    <t>Objectives To develop and externally validate machine learning models using structured and unstructured electronic health record data to predict postoperative acute kidney injury (AKI) across inpatient settings.Materials and Methods Data for adult postoperative admissions to the Loyola University Medical Center (2009-2017) were used for model development and admissions to the University of Wisconsin-Madison (2009-2020) were used for validation. Structured features included demographics, vital signs, laboratory results, and nurse-documented scores. Unstructured text from clinical notes were converted into concept unique identifiers (CUIs) using the clinical Text Analysis and Knowledge Extraction System. The primary outcome was the development of Kidney Disease Improvement Global Outcomes stage 2 AKI within 7 days after leaving the operating room. We derived unimodal extreme gradient boosting machines (XGBoost) and elastic net logistic regression (GLMNET) models using structured-only data and multimodal models combining structured data with CUI features. Model comparison was performed using the receiver operating characteristic curve (AUROC), with Delong's test for statistical differences.Results The study cohort included 138 389 adult patient admissions (mean [SD] age 58 [16] years; 11 506 [8%] African-American; and 70 826 [51%] female) across the 2 sites. Of those, 2959 (2.1%) developed stage 2 AKI or higher. Across all data types, XGBoost outperformed GLMNET (mean AUROC 0.81 [95% confidence interval (CI), 0.80-0.82] vs 0.78 [95% CI, 0.77-0.79]). The multimodal XGBoost model incorporating CUIs parameterized as term frequency-inverse document frequency (TF-IDF) showed the highest discrimination performance (AUROC 0.82 [95% CI, 0.81-0.83]) over unimodal models (AUROC 0.79 [95% CI, 0.78-0.80]).Discussion A multimodality approach with structured data and TF-IDF weighting of CUIs increased model performance over structured data-only models.Conclusion These findings highlight the predictive power of CUIs when merged with structured data for clinical prediction models, which may improve the detection of postoperative AKI.Acute kidney injury (AKI) after an operation, called postoperative AKI, is common in hospitalized patients and associated with increased morbidity and mortality. Early detection of high-risk patients could facilitate timely treatment and improve outcomes. Although a few studies have developed machine learning (ML) models to identify patients with postoperative AKI, these are primarily limited to structured data (eg, laboratory values) and ignore predictors from clinical notes. Further, models built from clinical notes are often not externally validated because doing so risks leaking protected health information.Given these limitations in the field, we developed and externally validated ML models to predict postoperative AKI using structured data and information from clinical notes. To preserve patient privacy, we used concept unique identifiers (CUIs), which are de-identified medical terms from clinical notes. We compared unimodal models with structured data to multimodal models with CUIs plus structured data, as well as different approaches to modeling the CUI data. We found that multimodal models significantly improved model performance compared to unimodal models. We also found that normalizing CUI data based on term frequency had the highest performance. In conclusion, using CUIs to account for information in clinical notes adds significant value for predicting postoperative AKI.</t>
  </si>
  <si>
    <t>Karway, George K.; Koyner, Jay L.; Caskey, John; Spicer, Alexandra B.; Carey, Kyle A.; Gilbert, Emily R.; Dligach, Dmitriy; Mayampurath, Anoop; Afshar, Majid; Churpek, Matthew M.</t>
  </si>
  <si>
    <t>Churpek, MM (corresponding author), Univ Wisconsin, Dept Med, 600 Highland Ave, Madison, WI 53792 USA.; Churpek, MM (corresponding author), Univ Wisconsin, Dept Biostat &amp; Med Informat, 600 Highland Ave, Madison, WI 53792 USA.</t>
  </si>
  <si>
    <t>mchurpek@medicine.wisc.edu</t>
  </si>
  <si>
    <t>NIH; NIH/NIDDK from the National Institute of Diabetes and Digestive and Kidney Diseases [R01- DK126933]</t>
  </si>
  <si>
    <t>NIH (United States Department of Health &amp; Human Services, National Institutes of Health (NIH) - USA); NIH/NIDDK from the National Institute of Diabetes and Digestive and Kidney Diseases</t>
  </si>
  <si>
    <t>This work was supported by grant NIH/NIDDK R01- DK126933 from the National Institute of Diabetes and Digestive and Kidney Diseases (PI: Koyner and Churpek).</t>
  </si>
  <si>
    <t>[Karway, George K.; Caskey, John; Spicer, Alexandra B.; Mayampurath, Anoop; Afshar, Majid; Churpek, Matthew M.] Univ Wisconsin, Dept Med, 600 Highland Ave, Madison, WI 53792 USA; [Koyner, Jay L.; Carey, Kyle A.] Univ Chicago, Dept Med, Sect Nephrol, Chicago, IL 60637 USA; [Gilbert, Emily R.] Loyola Univ Chicago, Dept Med, Chicago, IL 60153 USA; [Dligach, Dmitriy] Loyola Univ Chicago, Dept Comp Sci, Chicago, IL 60626 USA; [Mayampurath, Anoop; Afshar, Majid; Churpek, Matthew M.] Univ Wisconsin, Dept Biostat &amp; Med Informat, Madison, WI 53726 USA; [Churpek, Matthew M.] Univ Wisconsin, Dept Biostat &amp; Med Informat, 600 Highland Ave, Madison, WI 53792 USA</t>
  </si>
  <si>
    <t>University of Wisconsin Madison; University of Wisconsin System; University of Wisconsin Madison; University of Chicago; Loyola University Chicago; Loyola University Chicago; University of Wisconsin System; University of Wisconsin Madison; University of Wisconsin System; University of Wisconsin Madison</t>
  </si>
  <si>
    <t>Development and external validation of multimodal postoperative acute kidney injury risk machine learning models</t>
  </si>
  <si>
    <t>JAMIA OPEN</t>
  </si>
  <si>
    <t>multimodal models; artificial intelligence; intensive care unit; machine learning; acute kidney injury; natural language processing</t>
  </si>
  <si>
    <t>ELECTRONIC MEDICAL-RECORDS; DE-IDENTIFICATION; PREDICTION; MORTALITY; INFORMATION; TEXT; DISCRIMINATION; CALIBRATION; DIAGNOSIS; OUTCOMES</t>
  </si>
  <si>
    <t>Afshar, Majid/AAD-8365-2019; Karway, George/AAN-8742-2021</t>
  </si>
  <si>
    <t>Churpek, Matthew/0000-0002-4030-5250; Karway, George/0000-0003-4375-6126</t>
  </si>
  <si>
    <t>2574-2531</t>
  </si>
  <si>
    <t>JAMIA Open</t>
  </si>
  <si>
    <t>OCT 4 2023</t>
  </si>
  <si>
    <t>ooad109</t>
  </si>
  <si>
    <t>10.1093/jamiaopen/ooad109</t>
  </si>
  <si>
    <t>http://dx.doi.org/10.1093/jamiaopen/ooad109</t>
  </si>
  <si>
    <t>CZ5V4</t>
  </si>
  <si>
    <t>38144168</t>
  </si>
  <si>
    <t>WOS:001129074600001</t>
  </si>
  <si>
    <t>Valan, B; Prakash, A; Ratliff, W; Gao, MC; Muthya, S; Thomas, A; Eaton, JL; Gardner, M; Nichols, M; Revoir, M; Tart, D; O'Brien, C; Patel, M; Balu, S; Sendak, M</t>
  </si>
  <si>
    <t>Sepsis accounts for a substantial portion of global deaths and healthcare costs. The objective of this reproducibility study is to validate Duke Health's Sepsis Watch ML model, in a new community healthcare setting and assess its performance and clinical utility in early sepsis detection at Summa Health's emergency departments. The study analyzed the model's ability to predict sepsis using a combination of static and dynamic patient data using 205,005 encounters between 2020 and 2021 from 101,584 unique patients. 54.7% (n = 112,223) patients were female and the average age was 50 (IQR [38,71]). The AUROC ranged from 0.906 to 0.960, and the AUPRC ranged from 0.177 to 0.252 across the four sites. Ultimately, the reproducibility of the Sepsis Watch model in a community health system setting confirmed its strong and robust performance and portability across different geographical and demographic contexts with little variation.</t>
  </si>
  <si>
    <t>Valan, Bruno; Prakash, Anusha; Ratliff, William; Gao, Michael; Muthya, Srikanth; Thomas, Ajit; Eaton, Jennifer L.; Gardner, Matt; Nichols, Marshall; Revoir, Mike; Tart, Dustin; O'Brien, Cara; Patel, Manesh; Balu, Suresh; Sendak, Mark</t>
  </si>
  <si>
    <t>Sendak, M (corresponding author), Duke Inst Hlth Innovat, Durham, NC 27701 USA.</t>
  </si>
  <si>
    <t>mark.sendak@duke.edu</t>
  </si>
  <si>
    <t>National Institutes of Health [R42 GM144999-03]; NIH</t>
  </si>
  <si>
    <t>National Institutes of Health (United States Department of Health &amp; Human Services, National Institutes of Health (NIH) - USA); NIH (United States Department of Health &amp; Human Services, National Institutes of Health (NIH) - USA)</t>
  </si>
  <si>
    <t>All authors acknowledge funding from NIH grant #R42 GM144999-03. The funding organization played no role in study design, data collection, analysis, and interpretation of data, or the writing of this manuscript.</t>
  </si>
  <si>
    <t>[Valan, Bruno; Prakash, Anusha; Ratliff, William; Gao, Michael; Gardner, Matt; Nichols, Marshall; Revoir, Mike; Balu, Suresh; Sendak, Mark] Duke Inst Hlth Innovat, Durham, NC 27701 USA; [Muthya, Srikanth; Thomas, Ajit] Cohere Med Inc, 110 Corcoran St, 5th Floor, Durham, NC USA; [Eaton, Jennifer L.] Summa Inst Clin Res &amp; Innovat, Akron, OH USA; [Tart, Dustin; O'Brien, Cara] Duke Univ Hosp, Durham, NC USA; [O'Brien, Cara; Patel, Manesh] Duke Univ, Sch Med, Dept Med, Durham, NC USA</t>
  </si>
  <si>
    <t>Duke University; Duke University</t>
  </si>
  <si>
    <t>Evaluating sepsis watch generalizability through multisite external validation of a sepsis machine learning model</t>
  </si>
  <si>
    <t>EARLY WARNING SYSTEM; SEPTIC SHOCK; MORTALITY; DEFINITIONS</t>
  </si>
  <si>
    <t>Prakash, Anusha/0009-0007-1663-8921</t>
  </si>
  <si>
    <t>JUN 11 2025</t>
  </si>
  <si>
    <t>350</t>
  </si>
  <si>
    <t>10.1038/s41746-025-01664-5</t>
  </si>
  <si>
    <t>http://dx.doi.org/10.1038/s41746-025-01664-5</t>
  </si>
  <si>
    <t>3SK6S</t>
  </si>
  <si>
    <t>40500319</t>
  </si>
  <si>
    <t>WOS:001507899200004</t>
  </si>
  <si>
    <t>Mc Entee, PD; Boland, PA; Cahill, RA</t>
  </si>
  <si>
    <t>AimRecent randomized controlled trials and meta-analyses have demonstrated a reduction in the anastomotic leak rate when indocyanine green fluorescence angiography (ICGFA) is used versus when it is not in colorectal resections. We have previously demonstrated that an artificial intelligence (AI) model, AUGUR-AI, can digitally represent in real time where experienced ICGFA users would place their surgical stapler based on their interpretation of the fluorescence imagery. The aim of this study, called AUGUR-AIM, is to validate this method across multiple clinical sites with regard to generalizability, usability and accuracy while generating new algorithms for testing and determining the optimal mode of deployment for the software device.MethodThis is a prospective, observational, multicentre European study involving patients undergoing resectional colorectal surgery with ICGFA as part of their standard clinical care enrolled over a 1-year period. Video recordings of the ICGFA imagery will be computationally analysed both in real time and post hoc by AUGUR-AI, with the operating surgeon blinded to the results, testing developed algorithms iteratively versus the actual surgeon's ICGFA interpretation. AI-based interpretation of the fluorescence signal will be compared with the actual transection site selected by the operating surgeon and usability optimized.ConclusionAUGUR-AIM will validate the use of AUGUR-AI to interpret ICGFA imagery in real time to the level of an expert ICGFA user, building on our previous work to include a larger, more diverse patient and surgeon population. This could allow future progression to develop the AI model into a usable clinical tool that could provide decision support, including to new/infrequent ICGFA users, and documentary support of the decision made by experienced users.</t>
  </si>
  <si>
    <t>Mc Entee, Philip D.; Boland, Patrick A.; Cahill, Ronan A.</t>
  </si>
  <si>
    <t>Cahill, RA (corresponding author), 47 Eccles St, Dublin 7, Ireland.</t>
  </si>
  <si>
    <t>ronan.cahill@ucd.ie</t>
  </si>
  <si>
    <t>[Mc Entee, Philip D.; Boland, Patrick A.; Cahill, Ronan A.] UCD, UCD Ctr Precis Surg, Dublin, Ireland; [Mc Entee, Philip D.; Boland, Patrick A.; Cahill, Ronan A.] Mater Misericordiae Univ Hosp, Dept Surg, Dublin, Ireland</t>
  </si>
  <si>
    <t>University College Dublin; University College Dublin; Mater Misericordiae University Hospital</t>
  </si>
  <si>
    <t>AUGUR-AIM: Clinical validation of an artificial intelligence indocyanine green fluorescence angiography expert representer</t>
  </si>
  <si>
    <t>COLORECTAL DISEASE</t>
  </si>
  <si>
    <t>artificial intelligence; colorectal surgery; expert interpretation; fluorescence angiography; indocyanine green</t>
  </si>
  <si>
    <t>PERFUSION ASSESSMENT; ANASTOMOTIC LEAKAGE; RESECTION; SURGERY</t>
  </si>
  <si>
    <t>Cahill, Ronan/AAE-1025-2020</t>
  </si>
  <si>
    <t>Mc Entee, Philip/0000-0002-3907-5398; Cahill, Ronan/0000-0002-1270-4000</t>
  </si>
  <si>
    <t>1462-8910</t>
  </si>
  <si>
    <t>1463-1318</t>
  </si>
  <si>
    <t>COLORECTAL DIS</t>
  </si>
  <si>
    <t>Colorectal Dis.</t>
  </si>
  <si>
    <t>e70097</t>
  </si>
  <si>
    <t>10.1111/codi.70097</t>
  </si>
  <si>
    <t>http://dx.doi.org/10.1111/codi.70097</t>
  </si>
  <si>
    <t>1TP8C</t>
  </si>
  <si>
    <t>40230324</t>
  </si>
  <si>
    <t>WOS:001473363400001</t>
  </si>
  <si>
    <t>Jauk, S; Kramer, D; Sumerauer, S; Veeranki, SPK; Schrempf, M; Puchwein, P</t>
  </si>
  <si>
    <t>Objective Delirium is a syndrome that leads to severe complications in hospitalized patients, but is considered preventable in many cases. One of the biggest challenges is to identify patients at risk in a hectic clinical routine, as most screening tools cause additional workload. The aim of this study was to validate a machine learning (ML)-based delirium prediction tool on surgical in-patients undergoing a systematic assessment of delirium.Materials and Methods 738 in-patients of a vascular surgery, a trauma surgery and an orthopedic surgery department were screened for delirium using the DOS scale twice a day over their hospital stay. Concurrently, delirium risk was predicted by the ML algorithm in real-time for all patients at admission and evening of admission. The prediction was performed automatically based on existing EHR data and without any additional documentation needed.Results 103 patients (14.0%) were screened positive for delirium using the DOS scale. Out of them, 85 (82.5%) were correctly identified by the ML algorithm. Specificity was slightly lower, detecting 463 (72.9%) out of 635 patients without delirium. The AUROC of the algorithm was 0.883 (95% CI, 0.8523-0.9147).Discussion In this prospective validation study, the implemented machine-learning algorithm was able to detect patients with delirium in surgical departments with high discriminative performance.Conclusion In future, this tool or similar decision support systems may help to replace time-intensive screening tools and enable efficient prevention of delirium.Delirium is one of the major complications following surgery in hospitalized patients. Early detection of at-risk patients is a significant challenge in the hectic clinical routine, and screening is often inconsistent.Machine learning (ML)-based prediction models have become a popular alternative, allowing for automated and comprehensive screening. We prospectively validated an ML-based tool for predicting delirium at hospital admission using existing data only.A total of 738 in-patients from the vascular surgery, trauma surgery, and orthopedic surgery departments were screened with the Delirium Observation Screening (DOS) scale twice daily throughout their hospital stay. Delirium risk was predicted in real-time in the background using diagnoses, lab values, nursing assessments, procedures, and medication data.A total of 103 patients (14.0%) were screened positive for delirium; the algorithm successfully detected 85 (82.5%) of the delirium cases and correctly identified 72.9% of the nondelirium cases.Our study demonstrates the high sensitivity and specificity of an ML-based delirium prediction tool during a prospective validation across three surgical departments. The prediction was performed automatically, without any additional effort required from healthcare professionals. Therefore, in the future, this tool or similar decision support systems may replace time-intensive screening tools and enable more efficient delirium prevention.</t>
  </si>
  <si>
    <t>Jauk, Stefanie; Kramer, Diether; Sumerauer, Stefan; Veeranki, Sai Pavan Kumar; Schrempf, Michael; Puchwein, Paul</t>
  </si>
  <si>
    <t>Puchwein, P (corresponding author), Med Univ Graz, Dept Orthopaed &amp; Trauma, Auenbruggerpl 5-6, A-8036 Graz, Austria.</t>
  </si>
  <si>
    <t>paul.puchwein@medunigraz.at</t>
  </si>
  <si>
    <t>[Jauk, Stefanie; Kramer, Diether; Veeranki, Sai Pavan Kumar] Steiermark Krankenanstaltengesellschaft mbH KAGes, Div Technol &amp; IT, A-8010 Graz, Austria; [Jauk, Stefanie; Kramer, Diether; Veeranki, Sai Pavan Kumar; Schrempf, Michael] PH Predicting Hlth GmbH, A-8010 Graz, Austria; [Sumerauer, Stefan] Steiermark Krankenanstaltengesellschaft mbH KAGes, Dept Neurol, A-8036 Graz, Austria; [Puchwein, Paul] Med Univ Graz, Dept Orthopaed &amp; Trauma, Auenbruggerpl 5-6, A-8036 Graz, Austria</t>
  </si>
  <si>
    <t>Medical University of Graz</t>
  </si>
  <si>
    <t>Machine learning-based delirium prediction in surgical in-patients: a prospective validation study</t>
  </si>
  <si>
    <t>random forest; prediction algorithms; electronic health records; clinical decision support; delirium</t>
  </si>
  <si>
    <t>ARTIFICIAL-INTELLIGENCE; SURGERY; MODELS</t>
  </si>
  <si>
    <t>Jauk, Stefanie/0000-0003-1287-594X</t>
  </si>
  <si>
    <t>SEP 17 2024</t>
  </si>
  <si>
    <t>ooae091</t>
  </si>
  <si>
    <t>10.1093/jamiaopen/ooae091</t>
  </si>
  <si>
    <t>http://dx.doi.org/10.1093/jamiaopen/ooae091</t>
  </si>
  <si>
    <t>G2F4P</t>
  </si>
  <si>
    <t>39297150</t>
  </si>
  <si>
    <t>WOS:001314847000001</t>
  </si>
  <si>
    <t>Churpek, MM; Carey, KA; Edelson, DP; Singh, T; Astor, BC; Gilbert, ER; Winslow, C; Shah, N; Afshar, M; Koyner, JL</t>
  </si>
  <si>
    <t>IMPORTANCE Acute kidney injury (AKI) is associated with increased morbidity and mortality in hospitalized patients. Current methods to identify patients at high risk of AKI are limited, and few prediction models have been externally validated.OBJECTIVE To internally and externally validate a machine learning risk score to detect AKI in hospitalized patients.DESIGN, SETTING, AND PARTICIPANTS This diagnostic study included 495 971 adult hospital admissions at the University of Chicago (UC) from 2008 to 2016 (n = 48 463), at Loyola University Medical Center (LUMC) from 2007 to 2017 (n = 200 613), and at NorthShore University Health System (NUS) from 2006 to 2016 (n = 246 895) with serum creatinine (SCr) measurements. Patients with an SCr concentration at admission greater than 3.0mg/dL, with a prior diagnostic code for chronic kidney disease stage 4 or higher, or who received kidney replacement therapy within 48 hours of admission were excluded. A simplified version of a previously published gradient boosted machine AKI prediction algorithm was used; it was validated internally among patients at UC and externally among patients at NUS and LUMC.MAIN OUTCOMES AND MEASURES Prediction of Kidney Disease Improving Global Outcomes SCr-defined stage 2 AKI within a 48-hour interval was the primary outcome. Discrimination was assessed by the area under the receiver operating characteristic curve (AUC).RESULTS The study included 495 971 adult admissions (mean [SD] age, 63 [18] years; 87 689 [17.7%] African American; and 266 866 [53.8%] women) across 3 health systems. The development of stage 2 or higher AKI occurred in 15 664 of 48 463 patients (3.4%) in the UC cohort, 5711 of 200 613 (2.8%) in the LUMC cohort, and 3499 of 246 895 (1.4%) in the NUS cohort. In the UC cohort, 332 patients (0.7%) required kidney replacement therapy compared with 672 patients (0.3%) in the LUMC cohort and 440 patients (0.2%) in the NUS cohort. The AUCs for predicting at least stage 2 AKI in the next 48 hours were 0.86 (95% CI, 0.86-0.86) in the UC cohort, 0.85 (95% CI, 0.84-0.85) in the LUMC cohort, and 0.86 (95% CI, 0.86-0.86) in the NUS cohort. The AUCs for receipt of kidney replacement therapy within 48 hours were 0.96 (95% CI, 0.96-0.96) in the UC cohort, 0.95 (95% CI, 0.94-0.95) in the LUMC cohort, and 0.95 (95% CI, 0.94-0.95) in the NUS cohort. In time-to-event analysis, a probability cutoff of at least 0.057 predicted the onset of stage 2 AKI a median (IQR) of 27 (6.5-93) hours before the eventual doubling in SCr concentrations in the UC cohort, 34.5 (19-85) hours in the NUS cohort, and 39 (19-108) hours in the LUMC cohort.CONCLUSIONS AND RELEVANCE In this study, the machine learning algorithm demonstrated excellent discrimination in both internal and external validation, supporting its generalizability and potential as a clinical decision support tool to improve AKI detection and outcomes.</t>
  </si>
  <si>
    <t>Churpek, Matthew M.; Carey, Kyle A.; Edelson, Dana P.; Singh, Tripti; Astor, Brad C.; Gilbert, Emily R.; Winslow, Christopher; Shah, Nirav; Afshar, Majid; Koyner, Jay L.</t>
  </si>
  <si>
    <t>Koyner, JL (corresponding author), Univ Chicago, Dept Med, 5481S Maryland Ave,Ste S-506,MC5100, Chicago, IL 60637 USA.</t>
  </si>
  <si>
    <t>jkoyner@uchicago.edu</t>
  </si>
  <si>
    <t>National Institute of Diabetes and Digestive and Kidney Diseases [R21DK113420]; National Institute of General Medicine Sciences [R01 GM123193]; National Institute of General Medical Sciences [R01GM123193] Funding Source: NIH RePORTER</t>
  </si>
  <si>
    <t>National Institute of Diabetes and Digestive and Kidney Diseases (United States Department of Health &amp; Human Services, National Institutes of Health (NIH) - USA, NIH National Institute of Diabetes &amp; Digestive &amp; Kidney Diseases (NIDDK)); National Institute of General Medicine Sciences (United States Department of Health &amp; Human Services, National Institutes of Health (NIH) - USA, NIH National Institute of General Medical Sciences (NIGMS)); National Institute of General Medical Sciences (United States Department of Health &amp; Human Services, National Institutes of Health (NIH) - USA, NIH National Institute of General Medical Sciences (NIGMS))</t>
  </si>
  <si>
    <t>Drs Churpek, Edelson, and Koyner were supported by grant R21DK113420 from the National Institute of Diabetes and Digestive and Kidney Diseases. Drs Churpek, Edelson, Winslow, Shah, and Afshar and Mr Carey were supported by grant R01 GM123193 from the National Institute of General Medicine Sciences.</t>
  </si>
  <si>
    <t>[Churpek, Matthew M.; Singh, Tripti; Astor, Brad C.] Univ Wisconsin, Dept Med, Madison, WI USA; [Carey, Kyle A.; Edelson, Dana P.; Shah, Nirav; Koyner, Jay L.] Univ Chicago, Dept Med, 5481S Maryland Ave,Ste S-506,MC5100, Chicago, IL 60637 USA; [Astor, Brad C.] Univ Wisconsin, Dept Populat Hlth Sci, Madison, WI USA; [Gilbert, Emily R.; Afshar, Majid] Loyola Univ Med Ctr, Dept Med, Maywood, IL 60153 USA; [Winslow, Christopher; Shah, Nirav] NorthShore Univ Healthcare, Dept Med, Evanston, IL USA</t>
  </si>
  <si>
    <t>University of Wisconsin System; University of Wisconsin Madison; University of Chicago; University of Wisconsin System; University of Wisconsin Madison; Loyola University Chicago; NorthShore University Health System</t>
  </si>
  <si>
    <t>Internal and External Validation of a Machine Learning Risk Score for Acute Kidney Injury</t>
  </si>
  <si>
    <t>PREDICTION; MORTALITY</t>
  </si>
  <si>
    <t>Afshar, Majid/AAD-8365-2019</t>
  </si>
  <si>
    <t>Singh, Tripti/0000-0002-8855-3421; Churpek, Matthew/0000-0002-4030-5250</t>
  </si>
  <si>
    <t>113</t>
  </si>
  <si>
    <t>AUG 11 2020</t>
  </si>
  <si>
    <t>e2012892</t>
  </si>
  <si>
    <t>10.1001/jamanetworkopen.2020.12892</t>
  </si>
  <si>
    <t>http://dx.doi.org/10.1001/jamanetworkopen.2020.12892</t>
  </si>
  <si>
    <t>NE8GP</t>
  </si>
  <si>
    <t>32780123</t>
  </si>
  <si>
    <t>WOS:000562842500003</t>
  </si>
  <si>
    <t>Savage, CH; Tanwar, M; Abou Elkassem, A; Sturdivant, A; Hamki, O; Sotoudeh, H; Sirineni, G; Singhal, A; Milner, D; Jones, J; Rehder, D; Li, M; Li, YF; Junck, K; Tridandapani, S; Rothenberg, SA; Smith, AD</t>
  </si>
  <si>
    <t>BACKGROUND. Retrospective studies evaluating artificial intelligence (AI) algorithms for intracranial hemorrhage (ICH) detection on noncontrast CT (NCCT) have shown promising results but lack prospective validation. OBJECTIVE. The purpose of this article was to evaluate the impact on radiologists' real-world aggregate performance for ICH detection and report turnaround times for ICH-positive examinations of a radiology department's implementation of an AI triage and notification system for ICH detection on head NCCT examinations. METHODS. This prospective single-center study included adult patients who underwent head NCCT examinations from May 12, 2021, to June 30, 2021 (phase 1), or from September 30, 2021, to December 4, 2021 (phase 2). Before phase 1, the radiology department implemented a commercial AI triage system for ICH detection that processed head NCCT examinations and notified radiologists of positive results through a widget with a floating pop-up display. Examinations were interpreted by neuroradiologists or emergency radiologists, who evaluated examinations without and with AI assistance in phases 1 and 2, respectively. A panel of radiologists conducted a review process for all examinations with discordance between the radiology report and AI and a subset of remaining examinations to establish the reference standard. Diagnostic performance and report turnaround times were compared using the Pearson chi-square test and Wilcoxon rank sum test, respectively. Bonferroni correction was used to account for five diagnostic performance metrics (adjusted significance threshold, .01 [alpha= .05/5]). RESULTS. A total of 9954 examinations from 7371 patients (mean age, 54.8 +/- 19.8 [SD] years; 3773 women, 3598 men) were included. In phases 1 and 2, 19.8% (735/3716) and 21.9% (1368/6238) ofexaminations, respectively, were positive for ICH (p = .01). Radiologists without versus with AI showed no significant difference in accuracy (99.5% vs 99.2%), sensitivity (98.6% vs 98.9%), PPV (99.0% vs 97.5%), or NPV (99.7% vs 99.7%) (all p &gt; .01); specificity was higher for radiologists without than with AI (99.8% vs 99.3%, respectively, p = .004). Mean report turnaround time for ICH-positive examinations was 147.1 minutes without AI versus 149.9 minutes with AI (p = .11). CONCLUSION. An AI triage system for ICH detection did not improve radiologists' diagnostic performance or report turnaround times.</t>
  </si>
  <si>
    <t>Savage, Cody H.; Tanwar, Manoj; Abou Elkassem, Asser; Sturdivant, Adam; Hamki, Omar; Sotoudeh, Houman; Sirineni, Gopi; Singhal, Aparna; Milner, Desmin; Jones, Jesse; Rehder, Dirk; Li, Mei; Li, Yufeng; Junck, Kevin; Tridandapani, Srini; Rothenberg, Steven A.; Smith, Andrew D.</t>
  </si>
  <si>
    <t>Smith, AD (corresponding author), St Jude Childrens Res Hosp, Dept Radiol, 262 Danny Thomas Pl, Memphis, TN 38105 USA.</t>
  </si>
  <si>
    <t>andrew.smith@stjude.org</t>
  </si>
  <si>
    <t>[Savage, Cody H.] Univ Maryland, Univ Maryland Med Intelligent Imaging UM2ii Ctr, Sch Med, Dept Diagnost Radiol &amp; Nucl Med, Baltimore, MD USA; [Savage, Cody H.; Tanwar, Manoj; Abou Elkassem, Asser; Sturdivant, Adam; Hamki, Omar; Sotoudeh, Houman; Sirineni, Gopi; Singhal, Aparna; Milner, Desmin; Jones, Jesse; Rehder, Dirk; Li, Mei; Li, Yufeng; Junck, Kevin; Tridandapani, Srini] Univ Alabama Birmingham, Heersink Sch Med, Dept Radiol, Birmingham, AL USA; [Smith, Andrew D.] St Jude Childrens Res Hosp, Dept Radiol, 262 Danny Thomas Pl, Memphis, TN 38105 USA</t>
  </si>
  <si>
    <t>University System of Maryland; University of Maryland Baltimore; University of Alabama System; University of Alabama Birmingham; St Jude Children's Research Hospital</t>
  </si>
  <si>
    <t>Prospective Evaluation of Artificial Intelligence Triage of Intracranial Hemorrhage on Noncontrast Head CT Examinations</t>
  </si>
  <si>
    <t>AMERICAN JOURNAL OF ROENTGENOLOGY</t>
  </si>
  <si>
    <t>artificial intelligence; clinical validation; computer-aided detection; computeraided triage; intracranial hemorrhage</t>
  </si>
  <si>
    <t>Abou Elkassem, Asser/HTP-8335-2023; Savage, Cody/LBG-8586-2024; Tanwar, Manoj/GRR-9651-2022</t>
  </si>
  <si>
    <t>Smith, Andrew/0000-0002-8124-1038; Savage, Cody/0000-0001-6854-1397; Tanwar, Manoj/0000-0001-6859-0922</t>
  </si>
  <si>
    <t>AMER ROENTGEN RAY SOC</t>
  </si>
  <si>
    <t>LEESBURG</t>
  </si>
  <si>
    <t>44211 SLATESTONE CT, LEESBURG, VA USA</t>
  </si>
  <si>
    <t>0361-803X</t>
  </si>
  <si>
    <t>1546-3141</t>
  </si>
  <si>
    <t>AM J ROENTGENOL</t>
  </si>
  <si>
    <t>Am. J. Roentgenol.</t>
  </si>
  <si>
    <t>223</t>
  </si>
  <si>
    <t>e2431639</t>
  </si>
  <si>
    <t>10.2214/AJR.24.31639</t>
  </si>
  <si>
    <t>http://dx.doi.org/10.2214/AJR.24.31639</t>
  </si>
  <si>
    <t>T5B8W</t>
  </si>
  <si>
    <t>39230402</t>
  </si>
  <si>
    <t>WOS:001405166700018</t>
  </si>
  <si>
    <t>Ghayad, JP; Barakett-Hamadé, V; Sleilaty, G</t>
  </si>
  <si>
    <t>Objective We aim to prospectively validate a previously developed machine learning algorithm for low-density lipoprotein cholesterol (LDL-C) estimation. Methods We retrospectively and prospectively evaluated a machine learning algorithm based on k-nearest neighbors (KNN) according to age, sex, healthcare setting, and triglyceridemia against a direct LDL-C assay. The agreement of low-density lipoprotein-k-nearest neighbors (LDL-KNN) with the direct measurement was assessed using intraclass correlation coefficient (ICC). Results The analysis comprised 31,853 retrospective and 6599 prospective observations, with a mean age of 54.2 +/- 17.2 years. LDL-KNN exhibited an ICC greater than 0.9 independently of age, sex, and disease status. LDL-KNN was in satisfactory agreement with direct LDL-C in observations with normal triglyceridemia and mild hypertriglyceridemia but displayed an ICC slightly below 0.9 in severely hypertriglyceridemic patients and lower in very low LDL-C observations. Conclusion LDL-KNN performs robustly across ages, genders, healthcare settings, and triglyceridemia. Further algorithm development is needed for very low LDL-C observations.</t>
  </si>
  <si>
    <t>Ghayad, Jean Pierre; Barakett-Hamade, Vanda; Sleilaty, Ghassan</t>
  </si>
  <si>
    <t>Barakett-Hamadé, V (corresponding author), Hotel Dieu France Univ Hosp, Dept Lab Med, Beirut, Lebanon.; Barakett-Hamadé, V (corresponding author), Univ St Joseph, Fac Med, Beirut, Lebanon.</t>
  </si>
  <si>
    <t>vanda.barakett@hdf.usj.edu.lb</t>
  </si>
  <si>
    <t>[Ghayad, Jean Pierre; Barakett-Hamade, Vanda] Hotel Dieu France Univ Hosp, Dept Lab Med, Beirut, Lebanon; [Barakett-Hamade, Vanda; Sleilaty, Ghassan] Univ St Joseph, Fac Med, Beirut, Lebanon; [Sleilaty, Ghassan] Hotel Dieu France Univ Hosp, Clin Res Ctr, Beirut, Lebanon</t>
  </si>
  <si>
    <t>Saint Joseph University Beirut</t>
  </si>
  <si>
    <t>Prospective Validation of a Machine Learning Model for Low-Density Lipoprotein Cholesterol Estimation</t>
  </si>
  <si>
    <t>LABORATORY MEDICINE</t>
  </si>
  <si>
    <t>low-density lipoprotein cholesterol; machine learning; agreement study; method validation; triglycerides; clinical chemistry</t>
  </si>
  <si>
    <t>DIFFERENT EQUATIONS; LDL CHOLESTEROL; FORMULA; HDL</t>
  </si>
  <si>
    <t>0007-5027</t>
  </si>
  <si>
    <t>1943-7730</t>
  </si>
  <si>
    <t>LAB MED</t>
  </si>
  <si>
    <t>Lab. Med.</t>
  </si>
  <si>
    <t>NOV 3 2022</t>
  </si>
  <si>
    <t>629</t>
  </si>
  <si>
    <t>635</t>
  </si>
  <si>
    <t>10.1093/labmed/lmac049</t>
  </si>
  <si>
    <t>http://dx.doi.org/10.1093/labmed/lmac049</t>
  </si>
  <si>
    <t>JUN 2022</t>
  </si>
  <si>
    <t>Medical Laboratory Technology</t>
  </si>
  <si>
    <t>5X0JS</t>
  </si>
  <si>
    <t>35762775</t>
  </si>
  <si>
    <t>WOS:000817224200001</t>
  </si>
  <si>
    <t>Alukaev, D; Kiselev, S; Mustafaev, T; Ainur, A; Ibragimov, B; Vrtovec, T</t>
  </si>
  <si>
    <t>Purpose To propose a fully automated deep learning (DL) framework for the vertebral morphometry and Cobb angle measurement from three-dimensional (3D) computed tomography (CT) images of the spine, and validate the proposed framework on an external database. Methods The vertebrae were first localized and segmented in each 3D CT image using a DL architecture based on an ensemble of U-Nets, and then automated vertebral morphometry in the form of vertebral body (VB) and intervertebral disk (IVD) heights, and spinal curvature measurements in the form of coronal and sagittal Cobb angles (thoracic kyphosis and lumbar lordosis) were performed using dedicated machine learning techniques. The framework was trained on 1725 vertebrae from 160 CT images and validated on an external database of 157 vertebrae from 15 CT images. Results The resulting mean absolute errors (+/- standard deviation) between the obtained DL and corresponding manual measurements were 1.17 +/- 0.40 mm for VB heights, 0.54 +/- 0.21 mm for IVD heights, and 3.42 +/- 1.36 degrees for coronal and sagittal Cobb angles, with respective maximal absolute errors of 2.51 mm, 1.64 mm, and 5.52 degrees. Linear regression revealed excellent agreement, with Pearson's correlation coefficient of 0.943, 0.928, and 0.996, respectively. Conclusion The obtained results are within the range of values, obtained by existing DL approaches without external validation. The results therefore confirm the scalability of the proposed DL framework from the perspective of application to external data, and time and computational resource consumption required for framework training.</t>
  </si>
  <si>
    <t>Alukaev, Danis; Kiselev, Semen; Mustafaev, Tamerlan; Ainur, Ahatov; Ibragimov, Bulat; Vrtovec, Tomaz</t>
  </si>
  <si>
    <t>Vrtovec, T (corresponding author), Univ Ljubljana, Fac Elect Engn, Lab Imaging Technol, Trzaska Cesta 25, Ljubljana 1000, Slovenia.</t>
  </si>
  <si>
    <t>tomaz.vrtovec@fe.uni-lj.si</t>
  </si>
  <si>
    <t>Analytical Center for the Government of the Russian Federation [70-2021-00143 01.11.2021]</t>
  </si>
  <si>
    <t>Analytical Center for the Government of the Russian Federation</t>
  </si>
  <si>
    <t>This research was financially supported by the Analytical Center for the Government of the Russian Federation (Agreement No. 70-2021-00143 01.11.2021). The funding sources did not influence this investigation or affect the outcomes and results.</t>
  </si>
  <si>
    <t>[Alukaev, Danis; Kiselev, Semen; Mustafaev, Tamerlan] Innopolis Univ, AI Lab, Univ Skaya St 1, Innopolis 420500, Republic Of Tat, Russia; [Mustafaev, Tamerlan] Kazan Publ Hosp, Chekhova 1A, Kazan 42000, Republic Of Tat, Russia; [Ainur, Ahatov] Barsmed Diagnost Ctr, Daurskaya 12, Kazan 42000, Republic Of Tat, Russia; [Ibragimov, Bulat] Univ Copenhagen, Dept Comp Sci, Univ Pk 1, DK-2100 Copenhagen, Denmark; [Ibragimov, Bulat; Vrtovec, Tomaz] Univ Ljubljana, Fac Elect Engn, Lab Imaging Technol, Trzaska Cesta 25, Ljubljana 1000, Slovenia</t>
  </si>
  <si>
    <t>Innopolis University; University of Copenhagen; University of Ljubljana</t>
  </si>
  <si>
    <t>A deep learning framework for vertebral morphometry and Cobb angle measurement with external validation</t>
  </si>
  <si>
    <t>EUROPEAN SPINE JOURNAL</t>
  </si>
  <si>
    <t>Spine; Vertebral morphometry; Cobb angle; Computed tomography; Artificial intelligence; Deep learning</t>
  </si>
  <si>
    <t>SEGMENTATION</t>
  </si>
  <si>
    <t>Alukaev, Danis/NJR-4308-2025; Vrtovec, Tomaž/AAU-2952-2020; Mustafaev, Tamerlan/JSL-3554-2023; Ibragimov, Bulat/HKV-2569-2023</t>
  </si>
  <si>
    <t>Alukaev, Danis/0009-0004-8056-3790; Vrtovec, Tomaž/0000-0002-6625-0307; Ibragimov, Bulat/0000-0001-7739-7788</t>
  </si>
  <si>
    <t>SPRINGER</t>
  </si>
  <si>
    <t>ONE NEW YORK PLAZA, SUITE 4600, NEW YORK, NY, UNITED STATES</t>
  </si>
  <si>
    <t>0940-6719</t>
  </si>
  <si>
    <t>1432-0932</t>
  </si>
  <si>
    <t>EUR SPINE J</t>
  </si>
  <si>
    <t>Eur. Spine J.</t>
  </si>
  <si>
    <t>SI</t>
  </si>
  <si>
    <t>2115</t>
  </si>
  <si>
    <t>2124</t>
  </si>
  <si>
    <t>10.1007/s00586-022-07245-4</t>
  </si>
  <si>
    <t>http://dx.doi.org/10.1007/s00586-022-07245-4</t>
  </si>
  <si>
    <t>Clinical Neurology; Orthopedics</t>
  </si>
  <si>
    <t>Neurosciences &amp; Neurology; Orthopedics</t>
  </si>
  <si>
    <t>3L2YF</t>
  </si>
  <si>
    <t>35596800</t>
  </si>
  <si>
    <t>WOS:000800814300003</t>
  </si>
  <si>
    <t>Dupuis, M; Delbos, L; Veil, R; Adamsbaum, C</t>
  </si>
  <si>
    <t>Purpose: The purpose of this study was to conduct an external validation of a fracture assessment deep learning algorithm (Rayvolve (R)) using digital radiographs from a real-life cohort of children presenting routinely to the emergency room.Materials and methods: This retrospective study was conducted on 2634 radiography sets (5865 images) from 2549 children (1459 boys, 1090 girls; mean age, 8.5 +/- 4.5 [SD] years; age range: 0-17 years) referred by the pediatric emergency room for trauma. For each set was recorded whether one or more fractures were found, the number of fractures, and their location found by the senior radiologists and the algorithm. Using the senior radiologist diagnosis as the standard of reference, the diagnostic performance of deep learning algorithm (Rayvolve (R)) was calculated via three different approaches: a detection approach (presence/absence of a fracture as a binary variable), an enumeration approach (exact number of fractures detected) and a localization approach (focusing on whether the detected fractures were correctly localized). Subgroup analyses were performed according to the presence of a cast or not, age category (0-4 vs. 5-18 years) and anatomical region.Results: Regarding detection approach, the deep learning algorithm yielded 95.7% sensitivity (95% CI: 94.0-96.9), 91.2% specificity (95% CI: 89.8-92.5) and 92.6% accuracy (95% CI: 91.5-93.6). Regarding enumeration and localization approaches, the deep learning algorithm yielded 94.1% sensitivity (95% CI: 92.1-95.6), 88.8% specificity (95% CI: 87.3-90.2) and 90.4% accuracy (95% CI: 89.2-91.5) for both approaches. Regarding age-related subgroup analyses, the deep learning algorithm yielded greater sensitivity and negative predictive value in the 5-18-years age group than in the 0-4-years age group for the detection approach (P &lt; 0.001 and P = 0.002) and for the enumeration and localization approaches (P = 0.012 and P = 0.028). The high negative predictive value was robust, persisting in all of the subgroup analyses, except for patients with casts (P = 0.001 for the detection approach and P &lt; 0.001 for the enumeration and localization approaches).Conclusion: The Rayvolve (R) deep learning algorithm is very reliable for detecting fractures in children, especially in those older than 4 years and without cast. Published by Elsevier Masson SAS on behalf of Societe francaise de radiologie.</t>
  </si>
  <si>
    <t>Dupuis, Michel; Delbos, Leo; Veil, Raphael; Adamsbaum, Catherine</t>
  </si>
  <si>
    <t>Adamsbaum, C (corresponding author), Bicetre Hosp, AP HP, Pediat Imaging Dept, F-94270 Le Kremlin Bicetre, France.; Adamsbaum, C (corresponding author), Paris Saclay Univ, Fac Med, F-94270 Le Kremlin Bicetre, France.</t>
  </si>
  <si>
    <t>adamsbaum.catherine@gmail.com</t>
  </si>
  <si>
    <t>[Dupuis, Michel; Adamsbaum, Catherine] Bicetre Hosp, AP HP, Pediat Imaging Dept, F-94270 Le Kremlin Bicetre, France; [Delbos, Leo; Veil, Raphael] Bicetre Hosp, AP HP, Epidemiol &amp; Publ Hlth Dept, F-94270 Le Kremlin Bicetre, France; [Adamsbaum, Catherine] Paris Saclay Univ, Fac Med, F-94270 Le Kremlin Bicetre, France</t>
  </si>
  <si>
    <t>Assistance Publique Hopitaux Paris (APHP); Hopital Universitaire Bicetre - APHP; Assistance Publique Hopitaux Paris (APHP); Hopital Universitaire Bicetre - APHP; Universite Paris Saclay</t>
  </si>
  <si>
    <t>External validation of a commercially available deep learning algorithm for fracture detection in children</t>
  </si>
  <si>
    <t>DIAGNOSTIC AND INTERVENTIONAL IMAGING</t>
  </si>
  <si>
    <t>Radiographs; Deep learning algorithm; Artificial intelligence; Fractures; Pediatric</t>
  </si>
  <si>
    <t>ARTIFICIAL-INTELLIGENCE; CHALLENGES; RADIOLOGY</t>
  </si>
  <si>
    <t>Veil, Raphael/AAP-9074-2020</t>
  </si>
  <si>
    <t>Dupuis, Michel/0000-0003-0000-4178; Veil, Raphael/0000-0003-0557-5180</t>
  </si>
  <si>
    <t>79</t>
  </si>
  <si>
    <t>83</t>
  </si>
  <si>
    <t>ELSEVIER MASSON, CORP OFF</t>
  </si>
  <si>
    <t>PARIS</t>
  </si>
  <si>
    <t>65 CAMILLE DESMOULINS CS50083 ISSY-LES-MOULINEAUX, 92442 PARIS, FRANCE</t>
  </si>
  <si>
    <t>2211-5684</t>
  </si>
  <si>
    <t>DIAGN INTERV IMAG</t>
  </si>
  <si>
    <t>Diagn. Interv. Imaging</t>
  </si>
  <si>
    <t>151</t>
  </si>
  <si>
    <t>159</t>
  </si>
  <si>
    <t>10.1016/j.diii.2021.10.007</t>
  </si>
  <si>
    <t>http://dx.doi.org/10.1016/j.diii.2021.10.007</t>
  </si>
  <si>
    <t>ZH9FU</t>
  </si>
  <si>
    <t>34810137</t>
  </si>
  <si>
    <t>WOS:000761236000004</t>
  </si>
  <si>
    <t>Langius-Wiffen, E; Slotman, DJ; Groeneveld, J; van Osch, JA; Nijholt, IM; de Boer, E; Nijboer-Oosterveld, J; Veldhuis, WB; de Jong, PA; Boomsma, MF</t>
  </si>
  <si>
    <t>Purpose: To evaluate the diagnostic performance and generalizability of the winning DL algorithm of the RSNA 2020 PE detection challenge to a local population using CTPA data from two hospitals. Materials and Methods: Consecutive CTPA images from patients referred for suspected PE were retrospectively analysed. The winning RSNA 2020 DL algorithm was retrained on the RSNA-STR Pulmonary Embolism CT (RSPECT) dataset. The algorithm was tested in hospital A on multidetector CT (MDCT) images of 238 patients and in hospital B on spectral detector CT (SDCT) and virtual monochromatic images (VMI) of 114 patients. The output of the DL algorithm was compared with a reference standard, which included a consensus reading by at least two experienced cardiothoracic radiologists for both hospitals. Areas under the receiver operating characteristic curve (AUCs) were calculated. Sensitivity and specificity were determined using the maximum Youden index. Results: According to the reference standard, PE was present in 73 patients (30.7%) in hospital A and 33 patients (29.0%) in hospital B. For the DL algorithm the AUC was 0.96 (95% CI 0.92-0.98) in hospital A, 0.89 (95% CI 0.81-0.94) for conventional reconstruction in hospital B and 0.87 (95% CI 0.80-0.93) for VMI. Conclusion: The RSNA 2020 pulmonary embolism detection on CTPA challenge winning DL algorithm, retrained on the RSPECT dataset, showed high diagnostic accuracy on MDCT images. A somewhat lower performance was observed on SDCT images, which suggest additional training on novel CT technology may improve generalizability of this DL algorithm.</t>
  </si>
  <si>
    <t>Langius-Wiffen, Eline; Slotman, Derk J.; Groeneveld, Jorik; van Osch, Jochen A. C.; Nijholt, Ingrid M.; de Boer, Erwin; Nijboer-Oosterveld, Jacqueline; Veldhuis, Wouter B.; de Jong, Pim A.; Boomsma, Martijn F.</t>
  </si>
  <si>
    <t>Langius-Wiffen, E (corresponding author), Isala Hosp, Dr van Heesweg 2, NL-8025 AB Zwolle, Netherlands.</t>
  </si>
  <si>
    <t>e.langius@isala.nl</t>
  </si>
  <si>
    <t>[Langius-Wiffen, Eline; Slotman, Derk J.; Groeneveld, Jorik; Nijholt, Ingrid M.; de Boer, Erwin; Nijboer-Oosterveld, Jacqueline; Boomsma, Martijn F.] Isala Hosp, Dept Radiol, Zwolle, Netherlands; [Slotman, Derk J.; Nijholt, Ingrid M.; Veldhuis, Wouter B.; de Jong, Pim A.; Boomsma, Martijn F.] Univ Med Ctr Utrecht, Utrecht Univ, Dept Radiol, Utrecht, Netherlands; [van Osch, Jochen A. C.] Isala Hosp, Dept Med Phys, Zwolle, Netherlands; [Langius-Wiffen, Eline] Isala Hosp, Dr van Heesweg 2, NL-8025 AB Zwolle, Netherlands</t>
  </si>
  <si>
    <t>Utrecht University; Utrecht University Medical Center</t>
  </si>
  <si>
    <t>External validation of the RSNA 2020 pulmonary embolism detection challenge winning deep learning algorithm</t>
  </si>
  <si>
    <t>CT-Angiography; Artificial Intelligence; Embolism/Thrombosis; Pulmonary Arteries; Thorax</t>
  </si>
  <si>
    <t>Nijholt, Ingrid/AAB-8740-2021</t>
  </si>
  <si>
    <t>111361</t>
  </si>
  <si>
    <t>10.1016/j.ejrad.2024.111361</t>
  </si>
  <si>
    <t>http://dx.doi.org/10.1016/j.ejrad.2024.111361</t>
  </si>
  <si>
    <t>FEB 2024</t>
  </si>
  <si>
    <t>NH4I4</t>
  </si>
  <si>
    <t>38401407</t>
  </si>
  <si>
    <t>WOS:001199542900001</t>
  </si>
  <si>
    <t>Sunseri, J; Ragoza, M; Collins, J; Koes, DR</t>
  </si>
  <si>
    <t>We assess the performance of several machine learning-based scoring methods at protein-ligand pose prediction, virtual screening, and binding affinity prediction. The methods and the manner in which they were trained make them sufficiently diverse to evaluate the utility of various strategies for training set curation and binding pose generation, but they share a novel approach to classification in the context of protein-ligand scoring. Rather than explicitly using structural data such as affinity values or information extracted from crystal binding poses for training, we instead exploit the abundance of data available from high-throughput screening to approach the problem as one of discriminating binders from non-binders. We evaluate the performance of our various scoring methods in the 2015 D3R Grand Challenge and find that although the merits of some features of our approach remain inconclusive, our scoring methods performed comparably to a state-of-the-art scoring function that was fit to binding affinity data.</t>
  </si>
  <si>
    <t>Sunseri, Jocelyn; Ragoza, Matthew; Collins, Jasmine; Koes, David Ryan</t>
  </si>
  <si>
    <t>Koes, DR (corresponding author), Univ Pittsburgh, Sch Med, Dept Computat &amp; Syst Biol, Suite 3064,Biomed Sci Tower 3 BST3,3501 Fifth Ave, Pittsburgh, PA 15260 USA.</t>
  </si>
  <si>
    <t>dkoes@pitt.edu</t>
  </si>
  <si>
    <t>National Institute of General Medical Sciences [R01GM108340]</t>
  </si>
  <si>
    <t>National Institute of General Medical Sciences (United States Department of Health &amp; Human Services, National Institutes of Health (NIH) - USA, NIH National Institute of General Medical Sciences (NIGMS))</t>
  </si>
  <si>
    <t>National Institute of General Medical Sciences [R01GM108340].</t>
  </si>
  <si>
    <t>[Sunseri, Jocelyn; Ragoza, Matthew; Collins, Jasmine; Koes, David Ryan] Univ Pittsburgh, Sch Med, Dept Computat &amp; Syst Biol, Suite 3064,Biomed Sci Tower 3 BST3,3501 Fifth Ave, Pittsburgh, PA 15260 USA</t>
  </si>
  <si>
    <t>University of Pittsburgh; Pennsylvania Commonwealth System of Higher Education (PCSHE); University of Pittsburgh</t>
  </si>
  <si>
    <t>A D3R prospective evaluation of machine learning for protein-ligand scoring</t>
  </si>
  <si>
    <t>JOURNAL OF COMPUTER-AIDED MOLECULAR DESIGN</t>
  </si>
  <si>
    <t>Protein-ligand scoring; Machine learning; Virtual screening; D3R</t>
  </si>
  <si>
    <t>BINDING-AFFINITY; FORCE-FIELD; MOLECULAR DOCKING; DRUG DISCOVERY; VALIDATION; PREDICTION; SIMULATION; STRATEGIES; DATABASES; NNSCORE</t>
  </si>
  <si>
    <t>Koes, David/M-4523-2018</t>
  </si>
  <si>
    <t>Sunseri, Jocelyn/0000-0002-9043-6267; Koes, David/0000-0002-6892-6614</t>
  </si>
  <si>
    <t>DORDRECHT</t>
  </si>
  <si>
    <t>VAN GODEWIJCKSTRAAT 30, 3311 GZ DORDRECHT, NETHERLANDS</t>
  </si>
  <si>
    <t>0920-654X</t>
  </si>
  <si>
    <t>1573-4951</t>
  </si>
  <si>
    <t>J COMPUT AID MOL DES</t>
  </si>
  <si>
    <t>J. Comput.-Aided Mol. Des.</t>
  </si>
  <si>
    <t>SEP 2016</t>
  </si>
  <si>
    <t>2016</t>
  </si>
  <si>
    <t>761</t>
  </si>
  <si>
    <t>771</t>
  </si>
  <si>
    <t>10.1007/s10822-016-9960-x</t>
  </si>
  <si>
    <t>http://dx.doi.org/10.1007/s10822-016-9960-x</t>
  </si>
  <si>
    <t>Biochemistry &amp; Molecular Biology; Biophysics; Computer Science, Interdisciplinary Applications</t>
  </si>
  <si>
    <t>Biochemistry &amp; Molecular Biology; Biophysics; Computer Science</t>
  </si>
  <si>
    <t>EB1DW</t>
  </si>
  <si>
    <t>27592011</t>
  </si>
  <si>
    <t>WOS:000387088900009</t>
  </si>
  <si>
    <t>Brunenberg, EJL; Steinseifer, IK; van den Bosch, S; Kaanders, JHAM; Brouwer, CL; Gooding, MJ; van Elmpt, W; Monshouwer, R</t>
  </si>
  <si>
    <t>Background and purpose: Head and neck (HN) radiotherapy can benefit from automatic delineation of tumor and surrounding organs because of the complex anatomy and the regular need for adaptation. The aim of this study was to assess the performance of a commercially available deep learning contouring (DLC) model on an external validation set.Materials and methods: The CT-based DLC model, trained at the University Medical Center Groningen (UMCG), was applied to an independent set of 58 patients from the Radboud University Medical Center (RUMC). DLC results were compared to the RUMC manual reference using the Dice similarity coefficient (DSC) and 95th percentile of Hausdorff distance (HD95). Craniocaudal spatial information was added by calculating binned measures. In addition, a qualitative evaluation compared the acceptance of manual and DLC contours in both groups of observers.Results: Good correspondence was shown for the mandible (DSC 0.90; HD95 3.6 mm). Performance was reasonable for the glandular OARs, brainstem and oral cavity (DSC 0.78-0.85, HD95 3.7-7.3 mm). The other aerodigestive tract OARs showed only moderate agreement (DSC 0.53-0.65, HD95 around 9 mm). The binned measures displayed the largest deviations caudally and/or cranially.Conclusions: This study demonstrates that the DLC model can provide a reasonable starting point for delineation when applied to an independent patient cohort. The qualitative evaluation did not reveal large differences in the interpretation of contouring guidelines between RUMC and UMCG observers.</t>
  </si>
  <si>
    <t>Brunenberg, Ellen J. L.; Steinseifer, Isabell K.; van den Bosch, Sven; Kaanders, Johannes H. A. M.; Brouwer, Charlotte L.; Gooding, Mark J.; van Elmpt, Wouter; Monshouwer, Rene</t>
  </si>
  <si>
    <t>Brunenberg, EJL (corresponding author), Radboud Univ Nijmegen, Dept Radiat Oncol, Med Ctr, Nijmegen, Netherlands.</t>
  </si>
  <si>
    <t>ellen.brunenberg@radboudumc.nl</t>
  </si>
  <si>
    <t>[Brunenberg, Ellen J. L.; Steinseifer, Isabell K.; van den Bosch, Sven; Kaanders, Johannes H. A. M.; Monshouwer, Rene] Radboud Univ Nijmegen, Dept Radiat Oncol, Med Ctr, Nijmegen, Netherlands; [Brouwer, Charlotte L.] Univ Groningen, Univ Med Ctr Groningen, Dept Radiat Oncol, Groningen, Netherlands; [Gooding, Mark J.] Mirada Med Ltd, Oxford, England; [van Elmpt, Wouter] Maastricht Univ, GROW Sch Oncol &amp; Dev Biol, Dept Radiat Oncol MAASTRO, Med Ctr, Maastricht, Netherlands</t>
  </si>
  <si>
    <t>Radboud University Nijmegen; University of Groningen; Maastricht University; Maastricht University Medical Centre (MUMC)</t>
  </si>
  <si>
    <t>External validation of deep learning-based contouring of head and neck organs at risk</t>
  </si>
  <si>
    <t>PHYSICS &amp; IMAGING IN RADIATION ONCOLOGY</t>
  </si>
  <si>
    <t>Deep learning; Auto-contouring; Contour comparison; Head &amp; neck cancer</t>
  </si>
  <si>
    <t>SEGMENTATION; DELINEATION; CT; RADIOTHERAPY; VOLUME; ATLAS</t>
  </si>
  <si>
    <t>Kaanders, Hans/A-7432-2014; Monshouwer, R./L-4527-2015; /N-4160-2015; /M-6651-2015; Gooding, Mark/PKG-3479-2026; van den Bosch, Sven/D-4786-2013</t>
  </si>
  <si>
    <t>van Elmpt, Wouter/0000-0001-8820-0784; van den Bosch, Sven/0000-0002-0675-1847; Brouwer, Charlotte/0000-0002-2349-7369</t>
  </si>
  <si>
    <t>2405-6316</t>
  </si>
  <si>
    <t>PHYS IMAG RADIAT ONC</t>
  </si>
  <si>
    <t>Phys. Imag. Radiat. Oncol.</t>
  </si>
  <si>
    <t>JUL 2020</t>
  </si>
  <si>
    <t>10.1016/j.phro.2020.06.006</t>
  </si>
  <si>
    <t>http://dx.doi.org/10.1016/j.phro.2020.06.006</t>
  </si>
  <si>
    <t>Oncology; Radiology, Nuclear Medicine &amp; Medical Imaging</t>
  </si>
  <si>
    <t>RU4SU</t>
  </si>
  <si>
    <t>33458320</t>
  </si>
  <si>
    <t>WOS:000645140700002</t>
  </si>
  <si>
    <t>Cho, IJ; Sung, JM; Kim, HC; Lee, SE; Chae, MH; Kavousi, M; Rueda-Ochoa, OL; Ikram, MA; Franco, OH; Min, JK; Chang, HJ</t>
  </si>
  <si>
    <t>Background and Objectives: We aim to explore the additional discriminative accuracy of a deep learning (DL) algorithm using repeated-measures data for identifying people at high risk for cardiovascular disease (CVD), compared to Cox hazard regression.Methods: Two CVD prediction models were developed from National Health Insurance Service-Health Screening Cohort (NHIS-HEALS): a Cox regression model and a DL model. Performance of each model was assessed in the internal and 2 external validation cohorts in Koreans (National Health Insurance Service-National Sample Cohort; NHIS-NSC) and in Europeans (Rotterdam Study). A total of 412,030 adults in the NHIS-HEALS; 178,875 adults in the NHIS-NSC; and the 4,296 adults in Rotterdam Study were included.Results: Mean ages was 52 years (46% women) and there were 25,777 events (6.3%) in NHIS-HEALS during the follow-up. In internal validation, the DL approach demonstrated a C-statistic of 0.896 (95% confidence interval, 0.886-0.907) in men and 0.921 (0.908-0.934) in women and improved reclassification compared with Cox regression (net reclassification index [NM], 24.8% in men, 29.0% in women). In external validation with NHIS-NSC, DL demonstrated a C-statistic of 0.868 (0.860-0.876) in men and 0.889 (0.876-0.898) in women, and improved reclassification compared with Cox regression (NRI, 24.9% in men, 26.2% in women). In external validation applied to the Rotterdam Study, DL demonstrated a C-statistic of 0.860 (0.824-0.897) in men and 0.867 (0.830-0.903) in women, and improved reclassification compared with Cox regression (NRI, 36.9% in men, 31.8% in women).Conclusions: A DL algorithm exhibited greater discriminative accuracy than Cox model approaches.</t>
  </si>
  <si>
    <t>Cho, In-Jeong; Sung, Ji Min; Kim, Hyeon Chang; Lee, Sang-Eun; Chae, Myeong-Hun; Kavousi, Maryam; Rueda-Ochoa, Oscar L.; Ikram, M. Arfan; Franco, Oscar H.; Min, James K.; Chang, Hyuk-Jae</t>
  </si>
  <si>
    <t>Chang, HJ (corresponding author), Yonsei Univ, Coll Med, Severance Cardiovasc Hosp, Div Cardiol, 50 Yonsei Ro, Seoul 03722, South Korea.</t>
  </si>
  <si>
    <t>hjchang@yuhs.ac</t>
  </si>
  <si>
    <t>Institute for Information &amp; communications Technology Promotion (IITP) - Korean government (MSIT) [2017-0-00255, 2018-0-00861]; Erasmus MC, Rotterdam, The Netherlands; Erasmus University, Rotterdam, The Netherlands; Netherlands Organisation for Scientific Research (NWO); Netherlands Organisation for the Health Research and Development (ZonMw); Research Institute for Diseases in the Elderly (RIDE); Ministry of Education, Culture and Science; Ministry for Health, Welfare and Sports; European Commission (DG XII); Municipality of Rotterdam; NWO VENI grant (VENI) [91616079]; COLCIENCIAS from Colombia; Universidad Industrial de Santander from Colombia; Nestle Nutrition (Nestec Ltd.); Metagenics Inc.; AXA</t>
  </si>
  <si>
    <t>Institute for Information &amp; communications Technology Promotion (IITP) - Korean government (MSIT) (Institute for Information &amp; Communication Technology Planning &amp; Evaluation (IITP), Republic of Korea); Erasmus MC, Rotterdam, The Netherlands (Netherlands Government); Erasmus University, Rotterdam, The Netherlands (Netherlands Government); Netherlands Organisation for Scientific Research (NWO) (Netherlands Organization for Scientific Research (NWO)); Netherlands Organisation for the Health Research and Development (ZonMw) (Netherlands Organization for Health Research and Development); Research Institute for Diseases in the Elderly (RIDE); Ministry of Education, Culture and Science (Ministry of Education, Culture, Sports, Science and Technology, Japan (MEXT)); Ministry for Health, Welfare and Sports; European Commission (DG XII) (European Union (EU), European Commission Joint Research Centre); Municipality of Rotterdam; NWO VENI grant (VENI); COLCIENCIAS from Colombia; Universidad Industrial de Santander from Colombia; Nestle Nutrition (Nestec Ltd.) (Nestle SA); Metagenics Inc.; AXA</t>
  </si>
  <si>
    <t>This research was supported by Institute for Information &amp; communications Technology Promotion (IITP) grant funded by the Korean government (MSIT) (No. 2017-0-00255, Autonomous Digital Companion Development and No.2018-0-00861, Intelligent SW Technology Development for Medical Data Analysis).The Rotterdam Study is funded by Erasmus MC and Erasmus University, Rotterdam, The Netherlands; The Netherlands Organisation for Scientific Research (NWO); The Netherlands Organisation for the Health Research and Development (ZonMw); The Research Institute for Diseases in the Elderly (RIDE); The Ministry of Education, Culture and Science; the Ministry for Health, Welfare and Sports; The European Commission (DG XII); and The Municipality of Rotterdam. M. Kavousi is supported by the NWO VENI grant (VENI, 91616079). Oscar L. Rueda is supported by a scholarship by COLCIENCIAS and Universidad Industrial de Santander from Colombia. O.H. Franco works in ErasmusAGE, a center for aging research across the life course funded by Nestle Nutrition (Nestec Ltd.); Metagenics Inc.; and AXA. The funding sources had no role in design and conduct of the study; collection, management, analysis, and interpretation of the data; preparation, review or approval of the manuscript; and decision to submit the manuscript for publication.</t>
  </si>
  <si>
    <t>[Cho, In-Jeong] Ewha Womans Univ, Coll Med, Seoul Hosp, Div Cardiol,Dept Internal Med, Seoul, South Korea; [Cho, In-Jeong] Ewha Womans Univ, Grad Sch, Seoul, South Korea; [Cho, In-Jeong; Sung, Ji Min; Kim, Hyeon Chang; Lee, Sang-Eun; Chang, Hyuk-Jae] Yonsei Univ, Coll Med, Severance Cardiovasc Hosp, Div Cardiol, 50 Yonsei Ro, Seoul 03722, South Korea; [Kim, Hyeon Chang] Yonsei Univ, Coll Med, Dept Prevent Med, Seoul, South Korea; [Chae, Myeong-Hun] Selvas AI Inc, AI R&amp;D Lab, Seoul, South Korea; [Kavousi, Maryam; Rueda-Ochoa, Oscar L.; Ikram, M. Arfan; Franco, Oscar H.] Erasmus MC, Dept Epidemiol, Rotterdam, Netherlands; [Rueda-Ochoa, Oscar L.] UIS, Fac Hlth, Sch Med, Bucaramanga, Colombia; [Ikram, M. Arfan] Erasmus MC, Dept Radiol, Rotterdam, Netherlands; [Min, James K.] New York Presbyterian Hosp, Dalio Inst Cardiovasc Imaging, Weill Cornell Med Coll, Dept Radiol &amp; Med, New York, NY USA; [Chang, Hyuk-Jae] Yonsei Univ, Coll Med, Severance Biomed Sci Inst, Seoul, South Korea</t>
  </si>
  <si>
    <t>Ewha Womans University; Ewha Womans University; Yonsei University; Severance Hospital; Yonsei University Health System; Yonsei University; Yonsei University Health System; Erasmus University Rotterdam; Erasmus MC; Erasmus University Rotterdam; Erasmus MC; Erasmus MC Cancer Institute; Cornell University; Weill Cornell Medicine; NewYork-Presbyterian Hospital; Yonsei University; Severance Hospital; Yonsei University Health System</t>
  </si>
  <si>
    <t>Development and External Validation of a Deep Learning Algorithm for Prognostication of Cardiovascular Outcomes</t>
  </si>
  <si>
    <t>KOREAN CIRCULATION JOURNAL</t>
  </si>
  <si>
    <t>Cardiovascular diseases; Artificial intelligence</t>
  </si>
  <si>
    <t>HEART-DISEASE RISK; PREDICTION; FRAMINGHAM; SCORE; CLASSIFICATION; REGRESSION; MEDICINE</t>
  </si>
  <si>
    <t>Kim, Hyeon Chang/F-8796-2019; Kavousi, Maryam/F-1174-2018; Franco, Oscar/ABE-2305-2020; Chang, Hyuk-Jae/NOE-3279-2025; Ikram, Mohammad Arfan/AAM-5225-2021; Rueda, Oscar/PCT-4206-2025</t>
  </si>
  <si>
    <t>Kim, Hyeon Chang/0000-0001-7867-1240; Kavousi, Maryam/0000-0001-5976-6519; Franco, Oscar/0000-0002-4606-4929; Cho, In-Jeong/0000-0002-1209-5129; Rueda-Ochoa, Oscar L/0000-0003-2684-9005; Chae, Myeonghun/0000-0001-6525-4827; Chang, Hyuk-Jae/0000-0002-6139-7545; Ikram, Mohammad Arfan/0000-0003-0372-8585</t>
  </si>
  <si>
    <t>KOREAN SOC CARDIOLOGY</t>
  </si>
  <si>
    <t>101-1704, LOTTE CASTLE PRESIDENT, 109, MAPO-DAERO, MAPO-GU, SEOUL, 04146, SOUTH KOREA</t>
  </si>
  <si>
    <t>1738-5520</t>
  </si>
  <si>
    <t>1738-5555</t>
  </si>
  <si>
    <t>KOREAN CIRC J</t>
  </si>
  <si>
    <t>Korean Circ. J.</t>
  </si>
  <si>
    <t>JAN 2020</t>
  </si>
  <si>
    <t>50</t>
  </si>
  <si>
    <t>72</t>
  </si>
  <si>
    <t>10.4070/kcj.2019.0105</t>
  </si>
  <si>
    <t>http://dx.doi.org/10.4070/kcj.2019.0105</t>
  </si>
  <si>
    <t>JX0BP</t>
  </si>
  <si>
    <t>31456363</t>
  </si>
  <si>
    <t>WOS:000503409700009</t>
  </si>
  <si>
    <t>hybrid; Green Accepted; Green Submitted</t>
  </si>
  <si>
    <t>Kim, MN; Lee, YS; Park, Y; Jung, AY; So, HJ; Park, J; Park, JJ; Choi, DJ; Kim, SR; Park, SM</t>
  </si>
  <si>
    <t>AimsAssessing the risk for HF rehospitalization is important for managing and treating patients with HF. To address this need, various risk prediction models have been developed. However, none of them used deep learning methods with real-world data. This study aimed to develop a deep learning-based prediction model for HF rehospitalization within 30, 90, and 365 days after acute HF (AHF) discharge.Methods and resultsWe analysed the data of patients admitted due to AHF between January 2014 and January 2019 in a tertiary hospital. In performing deep learning-based predictive algorithms for HF rehospitalization, we use hyperbolic tangent activation layers followed by recurrent layers with gated recurrent units. To assess the readmission prediction, we used the AUC, precision, recall, specificity, and F1 measure. We applied the Shapley value to identify which features contributed to HF readmission. Twenty-two prognostic features exhibiting statistically significant associations with HF rehospitalization were identified, consisting of 6 time-independent and 16 time-dependent features. The AUC value shows moderate discrimination for predicting readmission within 30, 90, and 365 days of follow-up (FU) (AUC:0.63, 0.74, and 0.76, respectively). The features during the FU have a relatively higher contribution to HF rehospitalization than features from other time points.ConclusionsOur deep learning-based model using real-world data could provide valid predictions of HF rehospitalization in 1 year follow-up. It can be easily utilized to guide appropriate interventions or care strategies for patients with HF. The closed monitoring and blood test in daily clinics are important for assessing the risk of HF rehospitalization.</t>
  </si>
  <si>
    <t>Kim, Mi-Na; Lee, Yong Seok; Park, Youngmin; Jung, Ayoung; So, Hanjee; Park, Joonwoong; Park, Jin-Joo; Choi, Dong-Joo; Kim, So-Ree; Park, Seong-Mi</t>
  </si>
  <si>
    <t>Park, SM (corresponding author), Korea Univ Med, Anam Hosp, Div Cardiol, Goryoedae Ro 73, Seoul 02841, South Korea.</t>
  </si>
  <si>
    <t>smparkmd@korea.ac.kr</t>
  </si>
  <si>
    <t>Novartis Korea</t>
  </si>
  <si>
    <t>Novartis Korea (Novartis)</t>
  </si>
  <si>
    <t>Novartis Korea funded this research.</t>
  </si>
  <si>
    <t>[Kim, Mi-Na; Kim, So-Ree; Park, Seong-Mi] Korea Univ Med, Anam Hosp, Dept Internal Med, Div Cardiol, Seoul, South Korea; [Lee, Yong Seok; Park, Youngmin; Jung, Ayoung; So, Hanjee; Park, Joonwoong] Samsung SDS, Data Analyt Grp, Seoul, South Korea; [Park, Jin-Joo; Choi, Dong-Joo] Seoul Natl Univ, Bundang Hosp, Dept Internal Med, Div Cardiol, Seongnam, South Korea</t>
  </si>
  <si>
    <t>Korea University; Korea University Medicine (KU Medicine); Samsung; Seoul National University (SNU); Seoul National University Hospital</t>
  </si>
  <si>
    <t>Deep learning for predicting rehospitalization in acute heart failure: Model foundation and external validation</t>
  </si>
  <si>
    <t>ESC HEART FAILURE</t>
  </si>
  <si>
    <t>Deep learning; Heart failure; Rehospitalization; Risk assessment</t>
  </si>
  <si>
    <t>RISK SCORE; HOSPITALIZATIONS; CLASSIFICATION; EPLERENONE; DIAGNOSIS; MORTALITY; SURVIVAL</t>
  </si>
  <si>
    <t>Kim, So Ree/0000-0002-3164-3258; Park, Seong-Mi/0000-0002-6710-685X; Kim, Mi-Na/0000-0001-6589-5122; Park, Jin Joo/0000-0001-9611-1490</t>
  </si>
  <si>
    <t>2055-5822</t>
  </si>
  <si>
    <t>ESC HEART FAIL</t>
  </si>
  <si>
    <t>ESC Heart Fail.</t>
  </si>
  <si>
    <t>DEC 2024</t>
  </si>
  <si>
    <t>3702</t>
  </si>
  <si>
    <t>3712</t>
  </si>
  <si>
    <t>10.1002/ehf2.14918</t>
  </si>
  <si>
    <t>http://dx.doi.org/10.1002/ehf2.14918</t>
  </si>
  <si>
    <t>P1V0D</t>
  </si>
  <si>
    <t>38981003</t>
  </si>
  <si>
    <t>WOS:001268037400001</t>
  </si>
  <si>
    <t>Thian, YL; Ng, D; Hallinan, JTPD; Jagmohan, P; Sia, SY; Tan, CH; Ting, YH; Kei, PL; Pulickal, GG; Tiong, VTY; Quek, ST; Feng, ML</t>
  </si>
  <si>
    <t>Purpose: To assess the generalizability of a deep learning pneumothorax detection model on datasets from multiple external institutions and examine patient and acquisition factors that might influence performance.Materials and Methods: In this retrospective study, a deep learning model was trained for pneumothorax detection by merging two large open-source chest radiograph datasets: ChestX-ray14 and CheXpert. It was then tested on six external datasets from multiple independent institutions (labeled A-F) in a retrospective case-control design (data acquired between 2016 and 2019 from institutions A-E; institution F consisted of data from the MIMIC-CXR dataset). Performance on each dataset was evaluated by using area under the receiver operating characteristic curve (AUC) analysis, sensitivity, specificity, and positive and negative predictive values, with two radiologists in consensus being used as the reference standard. Patient and acquisition factors that influenced performance were analyzed.Results: The AUCs for pneumothorax detection for external institutions A-F were 0.91 (95% CI: 0.88, 0.94), 0.97 (95% CI: 0.94, 0.99), 0.91 (95% CI: 0.85, 0.97), 0.98 (95% CI: 0.96, 1.0), 0.97 (95% CI: 0.95, 0.99), and 0.92 (95% CI: 0.90, 0.95), respectively, compared with the internal test AUC of 0.93 (95% CI: 0.92, 0.93). The model had lower performance for small compared with large pneumothoraces (AUC, 0.88 [95% CI: 0.85, 0.91] vs AUC, 0.96 [95% CI: 0.95, 0.97]; P =.005). Model performance was not different when a chest tube was present or absent on the radiographs (AUC, 0.95 [95% CI: 0.92, 0.97] vs AUC, 0.94 [95% CI: 0.92, 0.05]; P &gt; .99).Conclusion: A deep learning model trained with a large volume of data on the task of pneumothorax detection was able to generalize well to multiple external datasets with patient demographics and technical parameters independent of the training data.</t>
  </si>
  <si>
    <t>Thian, Yee Liang; Ng, Dianwen; Hallinan, James Thomas Patrick Decourcy; Jagmohan, Pooja; Sia, Soon Yiew; Tan, Cher Heng; Ting, Yong Han; Kei, Pin Lin; Pulickal, Geoiphy George; Tiong, Vincent Tze Yang; Quek, Swee Tian; Feng, Mengling</t>
  </si>
  <si>
    <t>Thian, YL (corresponding author), Natl Univ Singapore Hosp, Dept Diagnost Imaging, S Lower Kent Ridge Rd, Singapore 119074, Singapore.</t>
  </si>
  <si>
    <t>yee_liang_thian@nuhs.edu.sg</t>
  </si>
  <si>
    <t>National University Health System (NUHS) [NUHSRO/2018/097/R0515/Seed-Nov/07, NUHSRO/2018/019/RO515/NUHS]; National Medical Research Council Health Services Research Grant [HSRG-OC17nov004]</t>
  </si>
  <si>
    <t>National University Health System (NUHS); National Medical Research Council Health Services Research Grant</t>
  </si>
  <si>
    <t>Supported by National University Health System (NUHS) internal grant funding under the NUHS Seed Fund (NUHSRO/2018/097/R0515/Seed-Nov/07 and NUHSRO/2018/019/RO515/NUHS) and a National Medical Research Council Health Services Research Grant (HSRG-OC17nov004).</t>
  </si>
  <si>
    <t>[Thian, Yee Liang; Ng, Dianwen; Hallinan, James Thomas Patrick Decourcy; Jagmohan, Pooja; Sia, Soon Yiew; Tiong, Vincent Tze Yang; Quek, Swee Tian] Natl Univ Singapore Hosp, Dept Diagnost Imaging, S Lower Kent Ridge Rd, Singapore 119074, Singapore; [Ng, Dianwen; Feng, Mengling] Natl Univ Singapore, Saw Swee Hock Sch Publ Hlth, Sch Comp Sci, Singapore, Singapore; [Ng, Dianwen; Feng, Mengling] Natl Univ Singapore, Yong Loo Lin Sch Med, Singapore, Singapore; [Hallinan, James Thomas Patrick Decourcy] Alexandra Hosp, Dept Diagnost Radiol, Singapore, Singapore; [Tan, Cher Heng; Ting, Yong Han] Tan Tock Seng Hosp, Dept Diagnost Radiol, Singapore, Singapore; [Tan, Cher Heng] Nanyang Technol Univ, Lee Kong Chian Sch Med, Singapore, Singapore; [Kei, Pin Lin] Ng Teng Fong Gen Hosp, Dept Diagnost Radiol, Singapore, Singapore; [Pulickal, Geoiphy George] Khoo Teck Puat Hosp, Dept Diagnost Radiol, Singapore, Singapore</t>
  </si>
  <si>
    <t>National University of Singapore; National University of Singapore; National University of Singapore; Tan Tock Seng Hospital; Nanyang Technological University</t>
  </si>
  <si>
    <t>Deep Learning Systems for Pneumothorax Detection on Chest Radiographs: A Multicenter External Validation Study</t>
  </si>
  <si>
    <t>RADIOLOGY-ARTIFICIAL INTELLIGENCE</t>
  </si>
  <si>
    <t>Thorax; Computer Applications-Detection/Diagnosis</t>
  </si>
  <si>
    <t>ARTIFICIAL-INTELLIGENCE; PERFORMANCE; ALGORITHM</t>
  </si>
  <si>
    <t>Hallinan, James/AAB-9348-2022</t>
  </si>
  <si>
    <t>, Cher Heng/0000-0003-3341-3111; KEI, Pin Lin/0000-0003-1349-8058; Jagmohan, Pooja/0000-0001-8491-0375; Ting, Yonghan/0000-0002-8682-9914; Thian, Yee Liang/0000-0001-9899-205X; Tiong, Tze Yang Vincent/0000-0002-6433-8815; Sia, David/0000-0002-8609-9587; Hallinan, James/0000-0002-0082-9033</t>
  </si>
  <si>
    <t>RADIOLOGICAL SOC NORTH AMERICA (RSNA)</t>
  </si>
  <si>
    <t>OAK BROOK</t>
  </si>
  <si>
    <t>820 JORIE BLVD, SUITE 200, OAK BROOK, ILLINOIS, UNITED STATES</t>
  </si>
  <si>
    <t>2638-6100</t>
  </si>
  <si>
    <t>RADIOL-ARTIF INTELL</t>
  </si>
  <si>
    <t>Radiology-Artificial Intelligence</t>
  </si>
  <si>
    <t>JUL 2021</t>
  </si>
  <si>
    <t>e200190</t>
  </si>
  <si>
    <t>10.1148/ryai.2021200190</t>
  </si>
  <si>
    <t>http://dx.doi.org/10.1148/ryai.2021200190</t>
  </si>
  <si>
    <t>Computer Science, Artificial Intelligence; Radiology, Nuclear Medicine &amp; Medical Imaging</t>
  </si>
  <si>
    <t>Computer Science; Radiology, Nuclear Medicine &amp; Medical Imaging</t>
  </si>
  <si>
    <t>2Z9SU</t>
  </si>
  <si>
    <t>34350409</t>
  </si>
  <si>
    <t>WOS:000826909000007</t>
  </si>
  <si>
    <t>Hogg, HDJ; Talks, SJ; Engelmann, J; Teare, MD; Pogose, M; Patel, PJ; Balaskas, K; Maniatopoulos, G; Keane, PA</t>
  </si>
  <si>
    <t>Background: Monitoring neovascular age-related macular degeneration (nAMD) is a significant contributor to ophthalmology demands in the NHS, with clinical capacity struggling to meet the demand. This task depends upon interpreting retinal optical coherence tomography (OCT) imaging, where artificial intelligence (AI) could rebalance clinical demand and capacity. However, evidence of safety and effectiveness in nAMD monitoring is lacking. Methods: Using a published non-inferiority design protocol, 521 pairs of ipsilateral retinal OCTs from consecutive visits for nAMD treatment were collected from two NHS ophthalmology services. Real-world binary assessments of nAMD disease activity or stability were compared to an independent ophthalmic reading centre reference standard. An AI system capable of retinal OCT segmentation analysed the OCTs, applying thresholds for intraretinal and subretinal fluid to generate binary assessments. The relative negative predictive value (rNPV) of AI versus real-world assessments was calculated. Results: Real-world assessments of nAMD activity showed a NPV of 81.6% (57.3-81.6%) and a positive predictive value (PPV) of 41.5% (17.8-62.3%). Optimised thresholds for intraretinal fluid increase (&gt;1,000,000 mu m(3)) and subretinal fluid increase (&gt;2,000,000 mu m(3)) for the AI system assessments produced an NPV of 95.3% (85.5-97.9%) and PPV of 57.8% (29.4-76.0%). The rNPV of 1.17 (1.11-1.23) met predefined criteria for clinical and statistical superiority and accompanied an rPPV of 1.39 (1.10-1.76). Conclusions: This study suggests that the same thresholds for interpreting OCT-based AI analysis could reduce undertreatment and overtreatment in nAMD monitoring at different centres. Interventional research is needed to test the potential of supportive or autonomous AI assessments of nAMD disease activity to improve the quality and efficiency of services.</t>
  </si>
  <si>
    <t>Hogg, Henry David Jeffry; Talks, S. James; Engelmann, Justin; Teare, Marion Dawn; Pogose, Michael; Patel, Praveen J.; Balaskas, K.; Maniatopoulos, G.; Keane, P. A.</t>
  </si>
  <si>
    <t>Hogg, HDJ (corresponding author), Univ Hosp Birmingham NHS Fdn Trust, Birmingham, England.; Hogg, HDJ (corresponding author), Univ Birmingham, Inst Inflammat &amp; Ageing, Birmingham, England.; Hogg, HDJ (corresponding author), Moorfields Eye Hosp NHS Fdn Trust, London, England.</t>
  </si>
  <si>
    <t>J.Hogg.1@bham.ac.uk</t>
  </si>
  <si>
    <t>DH | National Institute for Health Research (NIHR)</t>
  </si>
  <si>
    <t>Funding application, study design and interpretation was supported by six members of the Technology Enhanced Macular Services study reference group; Trevor Lunn, Janet Lunn, Rashmi Kumar, Christine Sinnet, Angela Quilley and Rosemary Nicholls. They have varied professional backgrounds within and outside of healthcare, contributing their perspectives as members of the public and in some cases lived experience of living with nAMD.</t>
  </si>
  <si>
    <t>[Hogg, Henry David Jeffry] Univ Hosp Birmingham NHS Fdn Trust, Birmingham, England; [Hogg, Henry David Jeffry] Univ Birmingham, Inst Inflammat &amp; Ageing, Birmingham, England; [Hogg, Henry David Jeffry; Keane, P. A.] Moorfields Eye Hosp NHS Fdn Trust, London, England; [Talks, S. James] Newcastle Upon Tyne Hosp NHS Fdn Trust, Newcastle Eye Ctr, Newcastle Upon Tyne, England; [Engelmann, Justin; Keane, P. A.] UCL, Inst Ophthalmol, London, England; [Teare, Marion Dawn] Newcastle Univ, Populat Hlth Sci Inst, Newcastle Upon Tyne, England; [Pogose, Michael] Hardian Hlth, Haywards Heath, England; [Patel, Praveen J.; Balaskas, K.; Keane, P. A.] Moorfields Eye Hosp, NIHR Biomed Res Ctr, London, England; [Patel, Praveen J.; Balaskas, K.; Keane, P. A.] UCL Inst Ophthalmol, London, England; [Maniatopoulos, G.] Univ Leicester, Sch Business, Leicester, England</t>
  </si>
  <si>
    <t>University of Birmingham; University of Birmingham; University of London; University College London; Moorfields Eye Hospital NHS Foundation Trust; Newcastle Upon Tyne Hospitals NHS Foundation Trust; University of London; University College London; Newcastle University - UK; University of London; University College London; Moorfields Eye Hospital NHS Foundation Trust; University of London; University College London; University of Leicester</t>
  </si>
  <si>
    <t>Dual site external validation of artificial intelligence-enabled treatment monitoring for neovascular age-related macular degeneration in England</t>
  </si>
  <si>
    <t>EYE</t>
  </si>
  <si>
    <t>Hogg, Jeffry/AAP-6307-2020; Keane, Pearse/AAE-5709-2019; Patel, Praveen/QTU-7824-2026</t>
  </si>
  <si>
    <t>Hogg, Jeffry/0000-0001-8044-7790; Keane, Pearse/0000-0002-9239-745X; Maniatopoulos, Gregory/0000-0002-9602-3885; Pogose, Michael/0000-0002-6095-1639</t>
  </si>
  <si>
    <t>SPRINGERNATURE</t>
  </si>
  <si>
    <t>CAMPUS, 4 CRINAN ST, LONDON, N1 9XW, ENGLAND</t>
  </si>
  <si>
    <t>0950-222X</t>
  </si>
  <si>
    <t>1476-5454</t>
  </si>
  <si>
    <t>Eye</t>
  </si>
  <si>
    <t>2973</t>
  </si>
  <si>
    <t>2979</t>
  </si>
  <si>
    <t>10.1038/s41433-025-04025-4</t>
  </si>
  <si>
    <t>http://dx.doi.org/10.1038/s41433-025-04025-4</t>
  </si>
  <si>
    <t>Ophthalmology</t>
  </si>
  <si>
    <t>9HW2E</t>
  </si>
  <si>
    <t>40973777</t>
  </si>
  <si>
    <t>WOS:001575992100001</t>
  </si>
  <si>
    <t>hybrid; Green Published; Green Submitted</t>
  </si>
  <si>
    <t>Pauling, C; Laidlow-Singh, H; Evans, E; Garbera, D; Williamson, R; Fernando, R; Thomas, K; Martin, H; Arthurs, OJ; Shelmerdine, SC</t>
  </si>
  <si>
    <t>ObjectiveTo determine the performance of a commercially available AI tool for fracture detection when used in children with osteogenesis imperfecta (OI).Materials and methodsAll appendicular and pelvic radiographs from an OI clinic at a single centre from 48 patients were included. Seven radiologists evaluated anonymised images in two rounds, first without, then with AI assistance. Differences in diagnostic accuracy between the rounds were analysed.Results48 patients (mean 12 years) provided 336 images, containing 206 fractures established by consensus opinion of two radiologists. AI produced a per-examination accuracy of 74.8% [95% CI: 65.4%, 82.7%], compared to average radiologist performance at 83.4% [95% CI: 75.2%, 89.8%]. Radiologists using AI assistance improved average radiologist accuracy per examination to 90.7% [95% CI: 83.5%, 95.4%]. AI gave more false negatives than radiologists, with 80 missed fractures versus 41, respectively. Radiologists were more likely (74.6%) to alter their original decision to agree with AI at the per-image level, 82.8% of which led to a correct result, 64.0% of which were changing from a false positive to a true negative.ConclusionDespite inferior standalone performance, AI assistance can still improve radiologist fracture detection in a rare disease paediatric population. Radiologists using AI typically led to more accurate diagnostic outcomes through reduced false positives. Future studies focusing on the real-world application of AI tools in a larger population of children with bone fragility disorders will help better evaluate whether these improvements in accuracy translate into improved patient outcomes.Key PointsQuestionHow well does a commercially available artificial intelligence (AI) tool identify fractures, on appendicular radiographs of children with osteogenesis imperfecta (OI), and can it also improve radiologists' identification of fractures in this population?FindingsSpecialist human radiologists outperformed the AI fracture detection tool when acting alone; however, their diagnostic performance overall improved with AI assistance.Clinical relevanceAI assistance improves specialist radiologist fracture detection in children with osteogenesis imperfecta, even with AI performance alone inferior to the radiologists acting alone. The reason for this was due to the AI moderating the number of false positives generated by the radiologists.Key PointsQuestionHow well does a commercially available artificial intelligence (AI) tool identify fractures, on appendicular radiographs of children with osteogenesis imperfecta (OI), and can it also improve radiologists' identification of fractures in this population?FindingsSpecialist human radiologists outperformed the AI fracture detection tool when acting alone; however, their diagnostic performance overall improved with AI assistance.Clinical relevanceAI assistance improves specialist radiologist fracture detection in children with osteogenesis imperfecta, even with AI performance alone inferior to the radiologists acting alone. The reason for this was due to the AI moderating the number of false positives generated by the radiologists.Key PointsQuestionHow well does a commercially available artificial intelligence (AI) tool identify fractures, on appendicular radiographs of children with osteogenesis imperfecta (OI), and can it also improve radiologists' identification of fractures in this population?FindingsSpecialist human radiologists outperformed the AI fracture detection tool when acting alone; however, their diagnostic performance overall improved with AI assistance.Clinical relevanceAI assistance improves specialist radiologist fracture detection in children with osteogenesis imperfecta, even with AI performance alone inferior to the radiologists acting alone. The reason for this was due to the AI moderating the number of false positives generated by the radiologists.</t>
  </si>
  <si>
    <t>Pauling, Cato; Laidlow-Singh, Harsimran; Evans, Emily; Garbera, David; Williamson, Rosalind; Fernando, Ranil; Thomas, Kate; Martin, Helena; Arthurs, Owen J.; Shelmerdine, Susan C.</t>
  </si>
  <si>
    <t>Pauling, C (corresponding author), UCL, Gower St, London, England.</t>
  </si>
  <si>
    <t>cato.pauling.22@ucl.ac.uk</t>
  </si>
  <si>
    <t>Great Ormond Street Hospital Charity; Brittle Bone Society (BBS)</t>
  </si>
  <si>
    <t>We would like to acknowledge and thank the Brittle Bone Society (BBS) for their support and advocacy through their patient members in highlighting this work as an important research subject to investigate.</t>
  </si>
  <si>
    <t>[Pauling, Cato] UCL, Gower St, London, England; [Laidlow-Singh, Harsimran] Guys &amp; St Thomas NHS Fdn Trust, Evelina London Childrens Hosp, Dept Paediat Radiol, London, England; [Evans, Emily] Univ Hosp Coventry &amp; Warwickshire, Dept Clin Radiol, Coventry, England; [Garbera, David; Williamson, Rosalind; Fernando, Ranil] Alder Hey Childrens NHS Fdn Trust Hosp, Dept Paediat Radiol, Liverpool, England; [Thomas, Kate] Victoria Hosp, NHS Fife, Kirkcaldy, Fife, Scotland; [Martin, Helena] Guys &amp; St Thomas NHS Fdn Trust, London, England; [Arthurs, Owen J.; Shelmerdine, Susan C.] Great Ormond St Hosp Sick Children, London, England; [Arthurs, Owen J.; Shelmerdine, Susan C.] Great Ormond St Hosp Sick Children, London, England; [Arthurs, Owen J.; Shelmerdine, Susan C.] Great Ormond St Hosp NIHR Biomed Res Ctr, London, England</t>
  </si>
  <si>
    <t>University of London; University College London; Guy's &amp; St Thomas' NHS Foundation Trust; University of Warwick; Alder Hey Children's NHS Foundation Trust; University of Dundee; Guy's &amp; St Thomas' NHS Foundation Trust; University of London; University College London; Great Ormond Street Hospital for Children NHS Foundation Trust; University of London; University College London; Great Ormond Street Hospital for Children NHS Foundation Trust</t>
  </si>
  <si>
    <t>External validation of an artificial intelligence tool for fracture detection in children with osteogenesis imperfecta: a multireader study</t>
  </si>
  <si>
    <t>EUROPEAN RADIOLOGY</t>
  </si>
  <si>
    <t>Artificial intelligence; Children; Fracture; Osteogenesis imperfecta; Radiography</t>
  </si>
  <si>
    <t>CONFIDENCE</t>
  </si>
  <si>
    <t>Arthurs, Owen/H-8572-2019; Shelmerdine, Susan/AHA-9109-2022</t>
  </si>
  <si>
    <t>Pauling, Cato/0009-0003-7420-4241; Arthurs, Owen/0000-0003-1213-3516</t>
  </si>
  <si>
    <t>0938-7994</t>
  </si>
  <si>
    <t>1432-1084</t>
  </si>
  <si>
    <t>EUR RADIOL</t>
  </si>
  <si>
    <t>Eur. Radiol.</t>
  </si>
  <si>
    <t>JAN 2026</t>
  </si>
  <si>
    <t>515</t>
  </si>
  <si>
    <t>525</t>
  </si>
  <si>
    <t>10.1007/s00330-025-11790-z</t>
  </si>
  <si>
    <t>http://dx.doi.org/10.1007/s00330-025-11790-z</t>
  </si>
  <si>
    <t>Y5804</t>
  </si>
  <si>
    <t>40624375</t>
  </si>
  <si>
    <t>WOS:001523888800001</t>
  </si>
  <si>
    <t>Abbasi, N; Lacson, R; Kapoor, N; Licaros, A; Guenette, JP; Burk, KS; Hammer, M; Desai, S; Eappen, S; Saini, S; Khorasani, R</t>
  </si>
  <si>
    <t>BACKGROUND. Reported rates of recommendations for additional imaging (RAIs) in radiology reports are low. Bidirectional encoder representations from transformers (BERT), a deep learning model pretrained to understand language context and ambiguity, has potential for identifying RAIs and thereby assisting large-scale quality improvement efforts.OBJECTIVE. The purpose of this study was to develop and externally validate an artificial intelligence (AI)-based model for identifying radiology reports containing RAIs.METHODS. This retrospective study was performed at a multisite health center. A total of 6300 radiology reports generated at one site from January 1, 2015, to June 30, 2021, were randomly selected and split by 4:1 ratio to create training (n = 5040) and test (n = 1260) sets. A total of 1260 reports generated at the center's other sites (including academic and community hospitals) from April 1 to April 30, 2022, were randomly selected as an external validation group. Referring practitioners and radiologists of varying sub-specialties manually reviewed report impressions for presence of RAIs. A BERT-based technique for identifying RAIs was developed by use of the training set. Performance of the BERT-based model and a previously developed traditional machine learning (TML) model was assessed in the test set. Finally, performance was assessed in the external validation set. The code for the BERT-based RAI model is publicly available.RESULTS. Among a total of 7419 unique patients (4133 women, 3286 men; mean age, 58.8 years), 10.0% of 7560 reports contained RAI. In the test set, the BERT-based model had 94.4% precision, 98.5% recall, and an F1 score of 96.4%. In the test set, the TML model had 69.0% precision, 65.4% recall, and an F1 score of 67.2%. In the test set, accuracy was greater for the BERT-based than for the TML model (99.2% vs 93.1%, p &lt; .001). In the external validation set, the BERT-based model had 99.2% precision, 91.6% recall, an F1 score of 95.2%, and 99.0% accuracy.CONCLUSION. The BERT-based AI model accurately identified reports with RAIs, outperforming the TML model. High performance in the external validation set suggests the potential for other health systems to adapt the model without requiring institution-specific training.</t>
  </si>
  <si>
    <t>Abbasi, Nooshin; Lacson, Ronilda; Kapoor, Neena; Licaros, Andro; Guenette, Jeffrey P.; Burk, Kristine Specht; Hammer, Mark; Desai, Sonali; Eappen, Sunil; Saini, Sanjay; Khorasani, Ramin</t>
  </si>
  <si>
    <t>Khorasani, R (corresponding author), Harvard Med Sch, Brigham &amp; Womens Hosp, Dept Radiol, 75 Francis St, Boston, MA 02115 USA.</t>
  </si>
  <si>
    <t>rkhorasani@bwh.harvard.edu</t>
  </si>
  <si>
    <t>Agency for Healthcare Research and Quality [R18HS029348-01]; Agency for Healthcare Research and Quality [R18HS029348] Funding Source: NIH RePORTER</t>
  </si>
  <si>
    <t>Agency for Healthcare Research and Quality (United States Department of Health &amp; Human Services, Agency for Healthcare Research &amp; Quality); Agency for Healthcare Research and Quality (United States Department of Health &amp; Human Services, Agency for Healthcare Research &amp; Quality)</t>
  </si>
  <si>
    <t>Supported in part by Agency for Healthcare Research and Quality grant R18HS029348-01 (N. Abbasi, R. Lacson, N. Kapoor, K. S. Burk, R. Khorasani).</t>
  </si>
  <si>
    <t>[Abbasi, Nooshin; Lacson, Ronilda; Kapoor, Neena; Licaros, Andro; Guenette, Jeffrey P.; Burk, Kristine Specht; Hammer, Mark; Saini, Sanjay; Khorasani, Ramin] Harvard Med Sch, Brigham &amp; Womens Hosp, Dept Radiol, Ctr Evidence Based Imaging, Boston, MA USA; [Kapoor, Neena; Guenette, Jeffrey P.; Burk, Kristine Specht; Hammer, Mark; Khorasani, Ramin] Harvard Med Sch, Brigham &amp; Womens Hosp, Dept Radiol, 75 Francis St, Boston, MA 02115 USA; [Desai, Sonali] Harvard Med Sch, Brigham &amp; Womens Hosp, Dept Med, Boston, MA USA; [Eappen, Sunil] Harvard Med Sch, Brigham &amp; Womens Hosp, Dept Anesthesiol, Boston, MA USA; [Saini, Sanjay] Harvard Med Sch, Massachusetts Gen Hosp, Dept Radiol, Boston, MA USA</t>
  </si>
  <si>
    <t>Harvard University; Harvard Medical School; Harvard University Medical Affiliates; Brigham &amp; Women's Hospital; Harvard University; Harvard Medical School; Harvard University Medical Affiliates; Brigham &amp; Women's Hospital; Harvard University; Harvard Medical School; Harvard University Medical Affiliates; Brigham &amp; Women's Hospital; Harvard University; Harvard Medical School; Harvard University Medical Affiliates; Brigham &amp; Women's Hospital; Harvard University; Harvard Medical School; Harvard University Medical Affiliates; Massachusetts General Hospital</t>
  </si>
  <si>
    <t>Development and External Validation of an Artificial Intelligence Model for Identifying Radiology Reports Containing Recommendations for Additional Imaging</t>
  </si>
  <si>
    <t>artificial intelligence; external validation; natural language processing; quality and safety improvement; recommendations for additional imaging</t>
  </si>
  <si>
    <t>FOLLOW-UP; ADHERENCE</t>
  </si>
  <si>
    <t>Hammer, Mark/AAR-9625-2020; Khorasani, Ramin/AAM-8526-2021; Kapoor, Neena/KHZ-3362-2024</t>
  </si>
  <si>
    <t>Lacson, Ronilda/0000-0003-3300-1176; Hammer, Mark/0000-0002-1700-7984</t>
  </si>
  <si>
    <t>221</t>
  </si>
  <si>
    <t>377</t>
  </si>
  <si>
    <t>385</t>
  </si>
  <si>
    <t>10.2214/AJR.23.29120</t>
  </si>
  <si>
    <t>http://dx.doi.org/10.2214/AJR.23.29120</t>
  </si>
  <si>
    <t>T1SK4</t>
  </si>
  <si>
    <t>37073901</t>
  </si>
  <si>
    <t>WOS:001075850600020</t>
  </si>
  <si>
    <t>Bronze; Green Submitted</t>
  </si>
  <si>
    <t>Kuzan, BN; Ardakani, AA; Aykan, ME; Demir, M; Yasar, S; Çakir, MS; Mohammadi, A; Kuzan, TY</t>
  </si>
  <si>
    <t>Background: Acute ischemic stroke is a time-sensitive medical emergency requiring rapid and accurate diagnosis to improve patient outcomes. While Diffusion-Weighted Imaging (DWI) on magnetic resonance imaging (MRI) is highly sensitive, artificial intelligence (AI) offers a potential solution to enhance diagnostic speed and accuracy. In this study we aimed to evaluate and externally validate a DWI-MRI-based deep learning model for automated stroke detection and compare its multicenter diagnostic performance with expert radiologists to determine generalizability and clinical utility.Methods: This retrospective study involved 732 patient cases (acute ischemic stroke and non-stroke controls) from three different centers. A deep convolutional neural network (CNN) model was developed, trained, and internally validated using data from center 1 (n = 452 for training, n = 80 for validation). The model's generalizability was then tested using independent external validation datasets from center 2 (n = 100) and center 3 (n = 100). The model's diagnostic performance (sensitivity, specificity, accuracy, and area under the receiver operating characteristic (ROC) curve (AUC)) was systematically compared with that of three expert radiologists.Results: The deep learning model demonstrated excellent diagnostic performance. In the internal validation, the model achieved 100% sensitivity, 100% specificity, and 100% accuracy (AUC = 1.000). Crucially, it maintained high performance on the external validation cohorts, achieving 100% sensitivity, 98% specificity, and 99% accuracy for both center 2 (AUC = 0.987) and center 3 (AUC = 0.986). This performance was comparable with the expert radiologists, who also achieved high accuracy across all datasets. Visualization techniques (gradient-weighted class activation map (Grad-CAM)) confirmed that the AI model focused on the correct pathological regions when making its classifications.Conclusions: The DWI-MRI-based deep learning model provides high and reliable diagnostic accuracy for acute ischemic stroke, with performance comparable with that of expert radiologists. Its robust performance across multicenter data highlights its potential as a dependable decision-support tool in emergency departments, especially in settings with limited specialist availability, to facilitate faster and more consistent stroke diagnoses.</t>
  </si>
  <si>
    <t>Kuzan, Beyza Nur; Ardakani, Ali Abbasian; Aykan, Mahmut Esat; Demir, Mustafa; Yasar, Servan; Cakir, Mehmet Semih; Mohammadi, Afshin; Kuzan, Taha Yusuf</t>
  </si>
  <si>
    <t>Kuzan, TY (corresponding author), Univ Hlth Sci, Sancaktepe Sehit Prof Dr Ilhan Varank Training &amp; R, Dept Radiol, TR-34785 Istanbul, Turkiye.</t>
  </si>
  <si>
    <t>tykuzan@gmail.com</t>
  </si>
  <si>
    <t>[Kuzan, Beyza Nur] Kartal Dr Lutfi Kirdar City Hosp, Dept Radiol, TR-34865 Istanbul, Turkiye; [Ardakani, Ali Abbasian] Shahid Beheshti Univ Med Sci, Sch Allied Med Sci, Dept Radiol Technol, Tehran 1971653313, Iran; [Aykan, Mahmut Esat; Yasar, Servan; Kuzan, Taha Yusuf] Univ Hlth Sci, Sancaktepe Sehit Prof Dr Ilhan Varank Training &amp; R, Dept Radiol, TR-34785 Istanbul, Turkiye; [Demir, Mustafa] Umraniye Training &amp; Res Hosp, Dept Radiol, TR-34764 Istanbul, Turkiye; [Cakir, Mehmet Semih] Istanbul Univ, Fac Med, Dept Radiol, TR-34093 Istanbul, Turkiye; [Mohammadi, Afshin] Urmia Univ Med Sci, Fac Med, Dept Radiol, Orumiyeh 5714783734, Iran</t>
  </si>
  <si>
    <t>Shahid Beheshti University Medical Sciences; Istanbul Umraniye Training &amp; Research Hospital; Istanbul University; Urmia University of Medical Sciences</t>
  </si>
  <si>
    <t>The Role of Artificial Intelligence in Diagnosing Acute Ischemic Stroke Using Diffusion MRI: A Multicenter External Validation Study</t>
  </si>
  <si>
    <t>JOURNAL OF INTEGRATIVE NEUROSCIENCE</t>
  </si>
  <si>
    <t>brain ischemia; artificial intelligence; deep learning; diffusion magnetic resonance imaging; diagnosis; computer-assisted</t>
  </si>
  <si>
    <t>THERAPY</t>
  </si>
  <si>
    <t>Yaşar, Servan/AAL-3213-2021; Kuzan, Taha/AAT-6746-2021; Ardakani, Ali/A-2228-2015; Çakır, Mehmet/LXU-5010-2024</t>
  </si>
  <si>
    <t>IMR PRESS</t>
  </si>
  <si>
    <t>SINGAPORE</t>
  </si>
  <si>
    <t>#07-07, 151 CHIN SWEE ROAD, MANHATTAN HOUSE, SINGAPORE, SINGAPORE</t>
  </si>
  <si>
    <t>0219-6352</t>
  </si>
  <si>
    <t>1757-448X</t>
  </si>
  <si>
    <t>J INTEGR NEUROSCI</t>
  </si>
  <si>
    <t>J. Integr. Neurosci.</t>
  </si>
  <si>
    <t>APR 21 2026</t>
  </si>
  <si>
    <t>48811</t>
  </si>
  <si>
    <t>10.31083/JIN48811</t>
  </si>
  <si>
    <t>http://dx.doi.org/10.31083/JIN48811</t>
  </si>
  <si>
    <t>HF4GQ</t>
  </si>
  <si>
    <t>42052764</t>
  </si>
  <si>
    <t>WOS:001752760200003</t>
  </si>
  <si>
    <t>Dupuis, M; Delbos, L; Rouquette, A; Adamsbaum, C; Veil, R</t>
  </si>
  <si>
    <t>Purpose: The purpose of this study was to conduct an external validation of an artificial intelligence (AI) solution for the detection of elbow fractures and joint effusions using radiographs from a real-life cohort of children. Materials and methods: This single-center retrospective study was conducted on 758 radiographic sets (1637 images) obtained from consecutive emergency room visits of 712 children (mean age, 7.27 +/- 3.97 [standard deviation] years; age range, 7 months and 10 days to 15 years and 10 months), referred for a trauma of the elbow. For each set, fracture and/or effusion detection by eleven senior radiologists (reference standard) and AI solution was recorded. Diagnostic performance of the AI solution was measured via four different approaches: fracture detection (presence/absence of fracture as binary variable), fracture enumeration, fracture localization and lesion detection (fracture and/or a joint effusion used as constructed binary variable). Results: The sensitivity of the AI solution for each of the four approaches was &gt;89%. Greatest sensitivity of the AI solution was obtained for lesion detection (95.0%; 95% confidence interval: 92.1-96.9). The specificity of the AI solution ranged between 63% (for lesion detection) and 77% (for fracture detection). For all four approaches, the negative predictive values were &gt;92% and the positive predictive values ranged between 54% (for fracture enumeration and localization) and 73% (for lesion detection). Specificity was lower for plastered children for all approaches (P &lt; 0.001). Conclusion: The AI solution demonstrates high performances for detecting elbow's fracture and/or joint effusion in children. However, in our context of use, 8% of the radiographic sets ruled-out by the algorithm concerned children with a genuine traumatic elbow lesion.</t>
  </si>
  <si>
    <t>Dupuis, Michel; Delbos, Leo; Rouquette, Alexandra; Adamsbaum, Catherine; Veil, Raphael</t>
  </si>
  <si>
    <t>catherine.adamsbaum@aphp.fr</t>
  </si>
  <si>
    <t>[Dupuis, Michel; Adamsbaum, Catherine] Bicetre Hosp, AP HP, Pediat Imaging Dept, F-94270 Le Kremlin Bicetre, France; [Delbos, Leo; Rouquette, Alexandra; Veil, Raphael] Bicetre Hosp, AP HP, Epidemiol &amp; Publ Hlth Dept, F-94270 Le Kremlin Bicetre, France; [Adamsbaum, Catherine] Paris Saclay Univ, Fac Med, F-94270 Le Kremlin Bicetre, France</t>
  </si>
  <si>
    <t>External validation of an artificial intelligence solution for the detection of elbow fractures and joint effusions in children</t>
  </si>
  <si>
    <t>Artificial intelligence; Elbow; Emergency; Pediatric fracture; Radiography</t>
  </si>
  <si>
    <t>AI</t>
  </si>
  <si>
    <t>Rouquette, Alexandra/AGY-2116-2022; Veil, Raphael/AAP-9074-2020</t>
  </si>
  <si>
    <t>Rouquette, Alexandra/0000-0002-2473-1719; Veil, Raphael/0000-0003-0557-5180; Dupuis, Michel/0000-0003-0000-4178</t>
  </si>
  <si>
    <t>MAR 2024</t>
  </si>
  <si>
    <t>105</t>
  </si>
  <si>
    <t>104</t>
  </si>
  <si>
    <t>109</t>
  </si>
  <si>
    <t>10.1016/j.diii.2023.09.008</t>
  </si>
  <si>
    <t>http://dx.doi.org/10.1016/j.diii.2023.09.008</t>
  </si>
  <si>
    <t>OH3P5</t>
  </si>
  <si>
    <t>37813759</t>
  </si>
  <si>
    <t>WOS:001206344400001</t>
  </si>
  <si>
    <t>van de Sande, D; van Genderen, ME; Verhoef, C; Huiskens, J; Gommers, D; van Unen, E; Schasfoort, RA; Schepers, J; van Bommel, J; Grünhagen, DJ</t>
  </si>
  <si>
    <t>Background: In the DESIRE study (Discharge aftEr Surgery using aRtificial intElligence), we have previously developed and validated a machine learning concept in 1,677 gastrointestinal and oncology surgery patients that can predict safe hospital discharge after the second postoperative day. Despite strong model performance (area under the receiver operating characteristics curve of 0.88) in an academic surgical population, it remains unknown whether these findings can be translated to other hospitals and surgical populations. We therefore aimed to determine the generalizability of the previously developed machine learning concept.Methods: We externally validated the machine learning concept in gastrointestinal and oncology surgery patients admitted to 3 nonacademic hospitals in The Netherlands between January 2017 and June 2021, who remained admitted 2 days after surgery. Primary outcome was the ability to predict hospital interventions after the second postoperative day, which were defined as unplanned reoperations, radiological interventions, and/or intravenous antibiotics administration. Four forest models were locally trained and evaluated with respect to area under the receiver operating characteristics curve, sensitivity, specificity, positive predictive value, and negative predictive value.Results: All models were trained on 1,693 epsiodes, of which 731 (29.9%) required a hospital intervention and demonstrated strong performance (area under the receiver operating characteristics curve only varied 4%). The best model achieved an area under the receiver operating characteristics curve of 0.83 (95% confidence interval [0.81-0.851), sensitivity of 77.9% (0.67-0.87), specificity of 79.2% (0.72-0.85), positive predictive value of 61.6% (0.54-0.69), and negative predictive value of 89.3% (0.85-0.93).Conclusion: This study showed that a previously developed machine learning concept can predict safe discharge in different surgical populations and hospital settings (academic versus nonacademic) by training a model on local patient data. Given its high accuracy, integration of the machine learning concept into the clinical workflow could expedite surgical discharge and aid hospitals in addressing capacity challenges by reducing avoidable bed-days. (C) 2022 The Author(s). Published by Elsevier Inc.</t>
  </si>
  <si>
    <t>van de Sande, Davy; van Genderen, Michel E.; Verhoef, Cornelis; Huiskens, Joost; Gommers, Diederik; van Unen, Edwin; Schasfoort, Renske A.; Schepers, Judith; van Bommel, Jasper; Grunhagen, Dirk J.</t>
  </si>
  <si>
    <t>van Genderen, ME (corresponding author), Erasmus MC, Dept Adult Intens Care, Room Ne 403,Doctor Molewaterpl 40, NL-3015 GD Rotterdam, Netherlands.</t>
  </si>
  <si>
    <t>m.vangenderen@erasmusmc.nl</t>
  </si>
  <si>
    <t>[van de Sande, Davy; van Genderen, Michel E.; Gommers, Diederik; van Bommel, Jasper] Erasmus MC, Dept Adult Intens Care, Rotterdam, Netherlands; [Verhoef, Cornelis; Grunhagen, Dirk J.] Erasmus MC Canc Inst Univ, Med Ctr, Dept Surg Oncol, Rotterdam, Netherlands; [Huiskens, Joost; van Unen, Edwin] SAS Inst, Hlth, Huizen, Netherlands; [Schasfoort, Renske A.] Treant Care Grp, Dept Surg, Emmen, Netherlands; [Schepers, Judith] Treant Care Grp, Dept Business Intelligence, Emmen, Netherlands</t>
  </si>
  <si>
    <t>Erasmus University Rotterdam; Erasmus MC</t>
  </si>
  <si>
    <t>Optimizing discharge after major surgery using an artificial intelligence-based decision support tool (DESIRE): An external validation study</t>
  </si>
  <si>
    <t>SURGERY</t>
  </si>
  <si>
    <t>ASSESSMENT SYSTEM SURPAS; COLORECTAL SURGERY; DELAYED DISCHARGE; ENHANCED-RECOVERY; PREDICTION; MODELS; COMPLICATIONS; PERFORMANCE; DIAGNOSIS; CARE</t>
  </si>
  <si>
    <t>van Genderen, Michel E/AEM-7473-2022; Van de Sande, Davy/GQQ-2650-2022; Van Bommel, Jasper/AAC-4399-2021; Grünhagen, Dirk/ABE-5102-2020</t>
  </si>
  <si>
    <t>van Genderen, Michel E/0000-0001-5668-3435; Van de Sande, Davy/0000-0003-4484-0995; van Unen, Edwin/0000-0002-3716-3466; Van Bommel, Jasper/0000-0001-8408-0500; Grünhagen, Dirk/0000-0001-8293-6002</t>
  </si>
  <si>
    <t>MOSBY-ELSEVIER</t>
  </si>
  <si>
    <t>360 PARK AVENUE SOUTH, NEW YORK, NY 10010-1710 USA</t>
  </si>
  <si>
    <t>0039-6060</t>
  </si>
  <si>
    <t>1532-7361</t>
  </si>
  <si>
    <t>172</t>
  </si>
  <si>
    <t>663</t>
  </si>
  <si>
    <t>669</t>
  </si>
  <si>
    <t>10.1016/j.surg.2022.03.031</t>
  </si>
  <si>
    <t>http://dx.doi.org/10.1016/j.surg.2022.03.031</t>
  </si>
  <si>
    <t>5B4HF</t>
  </si>
  <si>
    <t>35525621</t>
  </si>
  <si>
    <t>WOS:000863530900027</t>
  </si>
  <si>
    <t>Lee, H; Kim, Y; Sykora, D; Ryu, AJ; Cho, Y; Kim, J; Song, J</t>
  </si>
  <si>
    <t>An ECG-based artificial intelligence (AI) model was previously developed to generate ten digital biomarkers for emergency and cardiac assessment and is currently deployed in clinical practice in Korea (ECG Buddy, ARPI Inc.). Its external validity within U.S. healthcare settings has not been established. This study evaluated model performance using a large-scale, multi-center U.S. dataset via the Mayo Clinic Platform (MCP) Discover. Two validation cohorts were assessed: an emergency-diagnosis cohort (mortality, AMI, STEMI and equivalents, hyperkalemia, pulmonary edema) using initial ED ECGs, and a cardiac-function cohort (left and right ventricular systolic dysfunction, pulmonary hypertension, hemodynamically significant pericardial effusion) anchored to echocardiography or right-heart catheterization. The primary objective was non-inferiority of the Area Under the Receiver Operating Characteristic Curve (AUC) relative to prespecified benchmarks. Across ten target conditions, AUCs ranged from 0.883 to 0.949; all met non-inferiority criteria. Performance was consistent across sex and age strata. In a paired subset (N = 1368), ECG-AI outperformed initial troponin T for AMI (AUC 0.920 vs. 0.878) and STEMI equivalents (AUC 0.932 vs. 0.736; all P &lt; 0.001). These findings support the model's potential for ECG-based screening and triage, and provide a foundation for prospective evaluation of calibration, clinical integration, and impact across diverse populations.</t>
  </si>
  <si>
    <t>Lee, Haemin; Kim, Yerin; Sykora, Daniel; Ryu, Alexander J.; Cho, Youngjin; Kim, Joonghee; Song, Joanne</t>
  </si>
  <si>
    <t>Song, J (corresponding author), Mayo Clin, Dept Med, Div Gen Internal Med, Rochester, MN 55905 USA.</t>
  </si>
  <si>
    <t>Song.Joanne@mayo.edu</t>
  </si>
  <si>
    <t>[Lee, Haemin; Kim, Joonghee] Seoul Natl Univ, Bundang Hosp, Dept Emergency Med, Seongnam, South Korea; [Lee, Haemin; Cho, Youngjin; Kim, Joonghee] ARPI Inc, Seongnam, South Korea; [Kim, Yerin; Cho, Youngjin] Seoul Natl Univ, Bundang Hosp, Cardiovasc Ctr, Dept Internal Med, Seongnam, South Korea; [Sykora, Daniel] Mayo Clin, Dept Cardiovasc Med, Rochester, MN USA; [Ryu, Alexander J.] Mayo Clin, Div Hosp Internal Med, Dept Med, Rochester, MN USA; [Song, Joanne] Mayo Clin, Dept Med, Div Gen Internal Med, Rochester, MN 55905 USA</t>
  </si>
  <si>
    <t>Seoul National University (SNU); Seoul National University Hospital; Seoul National University (SNU); Seoul National University Hospital; Mayo Clinic; Mayo Clinic; Mayo Clinic</t>
  </si>
  <si>
    <t>External validation of ECG artificial intelligence for emergency and cardiac assessment across a large-scale US healthcare system</t>
  </si>
  <si>
    <t>Sykora, Daniel/KMA-2888-2024</t>
  </si>
  <si>
    <t>509</t>
  </si>
  <si>
    <t>10.1038/s41746-026-02682-7</t>
  </si>
  <si>
    <t>http://dx.doi.org/10.1038/s41746-026-02682-7</t>
  </si>
  <si>
    <t>42049841</t>
  </si>
  <si>
    <t>WOS:001812075400002</t>
  </si>
  <si>
    <t>Derks, LA; Tekin, YS; Loudon, SE; Vingerling, JR; Coyner, AS; Campbell, JP; Tjiam, AM</t>
  </si>
  <si>
    <t>PURPOSE To assess the performance of a RetCam-trained artificial intelligence (AI) algorithm for the autonomous detection of severe retinopathy of prematurity (ROP) using retinal images acquired with the smaller field-of-view Phoenix ICON retinal camera. METHODS Retrospective external validation was performed using Phoenix ICON retinal images captured during ROP screening examinations in a Dutch cohort of infants born in 2021. Images of insufficient quality were excluded via automated quality assessment. Model performances for more-than-mild ROP (MTM-ROP)-type 1 or 2 ROP, or any ROP with pre-plus disease-and for type 1 ROP alone, were expressed as area under the precision-recall curve (AUPRC), sensitivity and specificity. RESULTS A total of 4,411 images from 66 infants were captured during 419 individual eye examinations, averaging 67 +/- 65 images per infant and 10 +/- 6 images per eye examination. Sixty examinations (14.3%) had all images excluded in automated quality assessment. When using the best performance between both eyes to assess infant-level performance, AUPRC was 0.911 (95% CI, 0.638-1.000), sensitivitywas 82.0% (95% CI, 73.0-89.0) and specificity was 77.0% (95% CI, 68.1-84.4) forMTM-ROP. For type 1 ROP alone, AUPRC was 0.983 (95% CI, 0.964-1.000), sensitivity was 100.0% (95% CI, 94.7-100.0), and specificity was 72.4% (95% CI, 64.4-79.5). CONCLUSIONS The algorithm's performance with Phoenix ICON is similar to its performance with RetCam. All infants with treatment-requiring type 1 ROP were detected by the algorithm. The presence of eye examinations without images of sufficient quality underlines the need for imaging protocols, especially when using this algorithm, with a smaller field-of-view camera. ( J AAPOS 2025;29:104696)</t>
  </si>
  <si>
    <t>Derks, Lizanne A.; Tekin, Y. Selim; Loudon, Sjoukje E.; Vingerling, Johannes R.; Coyner, Aaron S.; Campbell, J. Peter; Tjiam, Angela M.</t>
  </si>
  <si>
    <t>Derks, LA (corresponding author), Erasmus MC, Dept Ophthalmol, Room Ee-1663,POB 2040, NL-3000 CA Rotterdam, Netherlands.</t>
  </si>
  <si>
    <t>L.derks@erasmusmc.nl</t>
  </si>
  <si>
    <t>National Institutes of Health (Bethesda, MD) [R01 EY019474, R01 EY031331, R21 EY031883, P30 EY010572]; Research to Prevent Blindness (New York, NY); Malcolm Marquis Innovation Fund</t>
  </si>
  <si>
    <t>National Institutes of Health (Bethesda, MD) (United States Department of Health &amp; Human Services, National Institutes of Health (NIH) - USA); Research to Prevent Blindness (New York, NY) (Research to Prevent Blindness (RPB)); Malcolm Marquis Innovation Fund</t>
  </si>
  <si>
    <t>This work was supported by grants R01 EY019474, R01 EY031331, R21 EY031883, and P30 EY010572 from the National Institutes of Health (Bethesda, MD) ; by unrestricted departmental funding; by a Career Development Award (JPC) from Research to Prevent Blindness (New York, NY) ; and the Malcolm Marquis Innovation Fund. Funders had no role in study design, data collection, data analysis, data interpretation, or writing of the manuscript.</t>
  </si>
  <si>
    <t>[Derks, Lizanne A.; Tekin, Y. Selim; Loudon, Sjoukje E.; Vingerling, Johannes R.; Tjiam, Angela M.] Erasmus MC, Dept Ophthalmol, Room Ee-1663,POB 2040, NL-3000 CA Rotterdam, Netherlands; [Coyner, Aaron S.; Campbell, J. Peter] Oregon Hlth &amp; Sci Univ, Casey Eye Inst, Portland, OR USA</t>
  </si>
  <si>
    <t>Erasmus University Rotterdam; Erasmus MC; Oregon Health &amp; Science University</t>
  </si>
  <si>
    <t>External validation of an artificial intelligence- based model for retinopathy of prematurity screening using Phoenix ICON retinal images</t>
  </si>
  <si>
    <t>JOURNAL OF AAPOS</t>
  </si>
  <si>
    <t>CARE; PATTERNS; DISEASE; ROP</t>
  </si>
  <si>
    <t>Coyner, Aaron/W-5592-2019</t>
  </si>
  <si>
    <t>1091-8531</t>
  </si>
  <si>
    <t>1528-3933</t>
  </si>
  <si>
    <t>J AAPOS</t>
  </si>
  <si>
    <t>J. AAPOS</t>
  </si>
  <si>
    <t>104696</t>
  </si>
  <si>
    <t>10.1016/j.jaapos.2025.104696</t>
  </si>
  <si>
    <t>http://dx.doi.org/10.1016/j.jaapos.2025.104696</t>
  </si>
  <si>
    <t>Ophthalmology; Pediatrics</t>
  </si>
  <si>
    <t>W1140</t>
  </si>
  <si>
    <t>41276153</t>
  </si>
  <si>
    <t>WOS:001639276400001</t>
  </si>
  <si>
    <t>hybrid; Green Submitted; Green Published</t>
  </si>
  <si>
    <t>Bou-Nassif, R; Reiner, AS; Pease, M; Bale, T; Cohen, MA; Rosenblum, M; Tabar, V</t>
  </si>
  <si>
    <t>BackgroundIntraoperative pathology consultation plays a crucial role in tumor surgery. The ability to accurately and rapidly distinguish tumor from normal tissue can greatly impact intraoperative surgical oncology management. However, this is dependent on the availability of a specialized pathologist for a reliable diagnosis. We developed and prospectively validated an artificial intelligence-based smartphone app capable of differentiating between pituitary adenoma and normal pituitary gland using stimulated Raman histology, almost instantly.MethodsThe study consisted of three parts. After data collection (part 1) and development of a deep learning-based smartphone app (part 2), we conducted a prospective study that included 40 consecutive patients with 194 samples to evaluate the app in real-time in a surgical setting (part 3). The smartphone app's sensitivity, specificity, positive predictive value, and negative predictive value were evaluated by comparing the diagnosis rendered by the app to the ground-truth diagnosis set by a neuropathologist.ResultsThe app exhibits a sensitivity of 96.1% (95% CI: 89.9-99.0%), specificity of 92.7% (95% CI: 74-99.3%), positive predictive value of 98% (95% CI: 92.2-99.8%), and negative predictive value of 86.4% (95% CI: 66.2-96.8%). An external validation of the smartphone app on 40 different adenoma tumors and a total of 191 scanned SRH specimens from a public database shows a sensitivity of 93.7% (95% CI: 89.3-96.7%).ConclusionsThe app can be readily expanded and repurposed to work on different types of tumors and optical images. Rapid recognition of normal versus tumor tissue during surgery may contribute to improved intraoperative surgical management and oncologic outcomes. In addition to the accelerated pathological assessments during surgery, this platform can be of great benefit in community hospitals and developing countries, where immediate access to a specialized pathologist during surgery is limited.In tumor surgery, precise identification of abnormal tissue during surgical removal of the tumor is paramount. Traditional methods rely on the availability of specialized pathologists for a reliable diagnosis, which could be a limitation in many hospitals. Our study introduces a user-friendly smartphone app that quickly and precisely diagnoses pituitary tumors, powered by artificial intelligence (AI), which is the simulation of human intelligence in machines for tasks like learning, reasoning, problem-solving, and decision-making. Through data collection, app development, and validation, our findings demonstrate that the app can rapidly and accurately identify tumors in real-time. External validation further confirmed its effectiveness in detecting tumor tissue collected from a different source. This AI-driven app could contribute to elevating surgical precision, particularly in settings lacking immediate access to specialized pathologists.Bou-Nassif et al. develop a smartphone app using AI and stimulated Raman histology to differentiate pituitary adenomas from normal tissue in real-time during surgery. Prospective validation on 40 patients shows high sensitivity and specificity, with an external validation on 40 additional adenoma tumors.</t>
  </si>
  <si>
    <t>Bou-Nassif, Rabih; Reiner, Anne S.; Pease, Matthew; Bale, Tejus; Cohen, Marc A.; Rosenblum, Marc; Tabar, Viviane</t>
  </si>
  <si>
    <t>Tabar, V (corresponding author), Mem Sloan Kettering Canc Ctr, Dept Neurosurg, New York, NY 10021 USA.; Tabar, V (corresponding author), Mem Sloan Kettering Canc Ctr, Multidisciplinary Pituitary &amp; Skull Base Tumor Ctr, New York, NY 10021 USA.</t>
  </si>
  <si>
    <t>tabarv@mskcc.org</t>
  </si>
  <si>
    <t>Memorial Sloan-Kettering Cancer Center (MSKCC) [P30-CA08748]; Memorial Sloan Kettering Cancer Center Core Grant</t>
  </si>
  <si>
    <t>Memorial Sloan-Kettering Cancer Center (MSKCC); Memorial Sloan Kettering Cancer Center Core Grant</t>
  </si>
  <si>
    <t>This work was funded in part by the Memorial Sloan Kettering Cancer Center Core Grant P30-CA08748. The funder had no role in the study design, data collection, data analysis, data interpretation, writing of the report or in the decision to submit the paper for publication.</t>
  </si>
  <si>
    <t>[Bou-Nassif, Rabih; Pease, Matthew; Cohen, Marc A.; Tabar, Viviane] Mem Sloan Kettering Canc Ctr, Dept Neurosurg, New York, NY 10021 USA; [Bou-Nassif, Rabih; Pease, Matthew; Cohen, Marc A.; Tabar, Viviane] Mem Sloan Kettering Canc Ctr, Multidisciplinary Pituitary &amp; Skull Base Tumor Ctr, New York, NY 10021 USA; [Reiner, Anne S.] Mem Sloan Kettering Canc Ctr, Dept Epidemiol &amp; Biostat, New York, NY USA; [Bale, Tejus; Rosenblum, Marc] Mem Sloan Kettering Canc Ctr, Dept Pathol, New York, NY USA; [Cohen, Marc A.] Mem Sloan Kettering Canc Ctr, Dept Surg, Head &amp; Neck Serv, New York, NY USA</t>
  </si>
  <si>
    <t>Memorial Sloan Kettering Cancer Center; Memorial Sloan Kettering Cancer Center; Memorial Sloan Kettering Cancer Center; Memorial Sloan Kettering Cancer Center; Memorial Sloan Kettering Cancer Center</t>
  </si>
  <si>
    <t>Development and prospective validation of an artificial intelligence-based smartphone app for rapid intraoperative pituitary adenoma identification</t>
  </si>
  <si>
    <t>COMMUNICATIONS MEDICINE</t>
  </si>
  <si>
    <t>HISTOLOGY; MODEL</t>
  </si>
  <si>
    <t>Bou-Nassif, Rabih/LBD-9194-2024</t>
  </si>
  <si>
    <t>Bou-Nassif, Rabih/0000-0002-8789-8428; Reiner, Anne/0000-0002-1258-6112</t>
  </si>
  <si>
    <t>2730-664X</t>
  </si>
  <si>
    <t>COMMUN MED-LONDON</t>
  </si>
  <si>
    <t>Communications Med.</t>
  </si>
  <si>
    <t>MAR 13 2024</t>
  </si>
  <si>
    <t>10.1038/s43856-024-00469-z</t>
  </si>
  <si>
    <t>http://dx.doi.org/10.1038/s43856-024-00469-z</t>
  </si>
  <si>
    <t>Medicine, Research &amp; Experimental</t>
  </si>
  <si>
    <t>Research &amp; Experimental Medicine</t>
  </si>
  <si>
    <t>LE8R8</t>
  </si>
  <si>
    <t>38480833</t>
  </si>
  <si>
    <t>WOS:001185201600001</t>
  </si>
  <si>
    <t>Wang, S; Huang, Q; Luo, YX; Luo, YY; Wu, HH; Lian, ZH; Ji, LN; Zou, XT</t>
  </si>
  <si>
    <t>Introduction: This study externally validated a machine learning-based model for type 2 diabetes progression (ML-PR) and evaluated its clinical utility in individuals with prediabetes. Methods: We included 3,081 participants from the Diabetes Prevention Program (DPP) and the DPP Outcome Study (DPPOS). The ML-PR model was assessed using dicrimination, calibration curves, and decision curve analysis, and its performance was compared with existing diabetes prediction models. Based on ML-PR scores, patients were stratified into high- or low-risk categories. Cox proportional hazards and logistic regression models were used to evaluate the incidence of type 2 diabetes, microvascular complications, and cardiovascular events across risk and intervention groups. Results: The ML-PR model achieved an area under the ROC curve of 0.74 (95% confidence interval: 0.71-0.78) for predicting 3-year progression to type 2 diabetes. Calibration and decision curve analyses indicated good agreement and net clinical benefit. High-risk individuals exhibited a significantly higher risk of developing type 2 diabetes in both the DPP and DPPOS cohorts (P &lt; 0.001), as well as a 67% increased risk of microvascular complications in DPPOS (P &lt; 0.001), though no significant difference in cardiovascular risk was observed. Significant interactions between treatment and risk group were identified, indicating that high-risk participants benefited more from lifestyle modification and metformin interventions (P for interaction = 0.03 in DPP; P = 0.014 in DPPOS). Discussion: Externally validated in U.S. cohorts, the ML-PR model effectively identifies individuals with prediabetes at elevated risk of diabetes progressing and microvascular complications. These findings suggest that intensive lifestyle interventions and metformin therapy may be particularly beneficial for individuals at higher risk, highlighting the potential for more precise treatment strategies in type 2 diabetes.</t>
  </si>
  <si>
    <t>Wang, Song; Huang, Qi; Luo, Yuxuan; Luo, Yingying; Wu, Honghan; Lian, Zhouhui; Ji, Linong; Zou, Xiantong</t>
  </si>
  <si>
    <t>Ji, LN; Zou, XT (corresponding author), Peking Univ Peoples Hosp, Dept Endocrinol &amp; Metab, Beijing Key Lab Innovat Drug &amp; Device Translat End, Beijing, Peoples R China.; Ji, LN (corresponding author), Peking Univ, Diabet Ctr, Beijing, Peoples R China.</t>
  </si>
  <si>
    <t>Evazou@bjmu.edu.cn; jiln@bjmu.edu.cn</t>
  </si>
  <si>
    <t>Special Funds of the National Natural Science Foundation of China [T2341011]; Beijing Nova Cross Program of Science and Technology [20250484806]; The 2024 National Clinical Key Specialty Construction Program of China (Department of Endocrinology, Peking University People's Hospital)</t>
  </si>
  <si>
    <t>Special Funds of the National Natural Science Foundation of China (National Natural Science Foundation of China (NSFC)); Beijing Nova Cross Program of Science and Technology; The 2024 National Clinical Key Specialty Construction Program of China (Department of Endocrinology, Peking University People's Hospital)</t>
  </si>
  <si>
    <t>The author(s) declared that financial support was received for this work and/or its publication. This work was supported by the Special Funds of the National Natural Science Foundation of China (T2341011 to Xiantong Zou) and Beijing Nova Cross Program of Science and Technology (20250484806 to Xiantong Zou) and the 2024 National Clinical Key Specialty Construction Program of China (Department of Endocrinology, Peking University People's Hospital) with support from the central government budget.</t>
  </si>
  <si>
    <t>[Wang, Song; Huang, Qi; Luo, Yingying; Ji, Linong; Zou, Xiantong] Peking Univ Peoples Hosp, Dept Endocrinol &amp; Metab, Beijing Key Lab Innovat Drug &amp; Device Translat End, Beijing, Peoples R China; [Luo, Yuxuan; Lian, Zhouhui] Peking Univ, Wangxuan Inst Comp Technol, Beijing, Peoples R China; [Luo, Yingying; Ji, Linong] Peking Univ, Diabet Ctr, Beijing, Peoples R China; [Wu, Honghan] Univ Glasgow, Sch Hlth &amp; Wellbeing, Glasgow, Scotland</t>
  </si>
  <si>
    <t>Peking University; Peking University; Peking University; University of Glasgow</t>
  </si>
  <si>
    <t>External validation and application of a machine learning-based model for diabetes progression in prediabetes</t>
  </si>
  <si>
    <t>FRONTIERS IN ENDOCRINOLOGY</t>
  </si>
  <si>
    <t>intervention; machine learning; prediabetes; prediction models; risk stratification</t>
  </si>
  <si>
    <t>LIFE-STYLE INTERVENTION; FOLLOW-UP; RISK; PREVENTION; MANAGEMENT; DIAGNOSIS; METFORMIN; MELLITUS; PEOPLE</t>
  </si>
  <si>
    <t>Linong, Ji/AAB-6543-2020; Zou, Xiantong/B-4701-2014</t>
  </si>
  <si>
    <t>FRONTIERS MEDIA SA</t>
  </si>
  <si>
    <t>LAUSANNE</t>
  </si>
  <si>
    <t>AVENUE DU TRIBUNAL FEDERAL 34, LAUSANNE, CH-1015, SWITZERLAND</t>
  </si>
  <si>
    <t>1664-2392</t>
  </si>
  <si>
    <t>FRONT ENDOCRINOL</t>
  </si>
  <si>
    <t>Front. Endocrinol.</t>
  </si>
  <si>
    <t>MAR 23 2026</t>
  </si>
  <si>
    <t>1746570</t>
  </si>
  <si>
    <t>10.3389/fendo.2026.1746570</t>
  </si>
  <si>
    <t>http://dx.doi.org/10.3389/fendo.2026.1746570</t>
  </si>
  <si>
    <t>GC7UM</t>
  </si>
  <si>
    <t>41948552</t>
  </si>
  <si>
    <t>WOS:001733305900001</t>
  </si>
  <si>
    <t>Hu, HX; Wang, YX; Li, HF; Zang, QL; Huang, J; Zhang, Y; Wu, JJ; Liu, L; Xing, Z; Yu, YH</t>
  </si>
  <si>
    <t>Background: Delirium is a frequent postoperative complication among patients who have undergone cardiac surgery and is associated with prolonged hospitalization, cognitive decline, and increased mortality. Early prediction of delirium is therefore Objective: This study proposes the development and validation of a machine learning-based model to predict postoperative delirium in patients undergoing cardiac surgery during intensive care unit (ICU) care, facilitating the early detection of individuals at high risk of delirium and supporting clinicians in the deployment of targeted preventive strategies. Methods: This study extracted data on postoperative cardiac surgery patients who remained in the ICU for more than 24 hours from the Medical Information Mart for Intensive Care IV version 2.0 (MIMIC-IV 2.0) database and the eICU Collaborative Research Database (eICU-CRD). The MIMIC-IV 2.0 cohort was randomly divided into a training set and an internal validation set in a 7:3 ratio, whereas the eICU-CRD functioned as an independent validation cohort. We used data from the first 24 hours of ICU monitoring to model the likelihood of delirium over the entire ICU admission period. Delirium was identified by a positive Confusion Assessment Method for the Intensive Care Unit evaluation (ie, score &gt;= 4). We built predictive models by using logistic regression, support vector classifier, extreme gradient boosting (XGB), and random forest classifiers. Their performance was assessed via the area under the receiver operating characteristic curve, accuracy, sensitivity, positive predictive value, negative Results: The analysis involved 2124 patients from the MIMIC-IV 2.0 database and 2406 from the eICU-CRD. A set of 57variables was selected to construct the predictive models. Among the various machine learning models tested, the XGB model demonstrated the best performance for delirium prediction during internal validation. As for external validation, the model achieved an area features identified by the model included hospital length of stay, minimum Glasgow Coma Scale score, mean blood pressure, Conclusions: The XGB model with strong predictive capability for ICU delirium after cardiac surgery was developed and externally validated. This model offers essential technical support for building real-time delirium alert systems and enables ongoing risk stratification and evidence-based decision-making within the ICU environment.</t>
  </si>
  <si>
    <t>Hu, Huixiu; Wang, Yuxiang; Li, Houfeng; Zang, Qinglai; Huang, Jing; Zhang, Ying; Wu, Jinjing; Liu, Long; Xing, Zhen; Yu, Yaohua</t>
  </si>
  <si>
    <t>Yu, YH (corresponding author), Fujian Med Univ, Grad Sch, 1 Xuefu North Rd, Fuzhou 351022, Fujian, Peoples R China.</t>
  </si>
  <si>
    <t>yyh.8@163.com</t>
  </si>
  <si>
    <t>[Hu, Huixiu; Yu, Yaohua] Fujian Med Univ, Grad Sch, 1 Xuefu North Rd, Fuzhou 351022, Fujian, Peoples R China; [Hu, Huixiu; Yu, Yaohua] First Hosp Putian City, Dept Anesthesiol, Putian, Peoples R China; [Hu, Huixiu; Zhang, Ying; Xing, Zhen] Hebei North Univ, Dept Anesthesiol, Affiliated Hosp 1, Zhangjiakou, Hebei, Peoples R China; [Wang, Yuxiang; Wu, Jinjing; Liu, Long] Univ Shanghai Sci &amp; Technol, Sch Hlth Sci &amp; Engn, Shanghai, Peoples R China; [Li, Houfeng] Second Mil Med Univ, Changhai Hosp, Dept Anesthesiol, Shanghai, Peoples R China; [Zang, Qinglai] Second Mil Med Univ, Sch Anesthesiol, Shanghai, Peoples R China; [Zang, Qinglai] Naval Med Univ, Informat Ctr, Affiliated Hosp 2, Shanghai, Peoples R China; [Huang, Jing] Wannan Med Coll, Grad Sch, Wuhu, Anhui, Peoples R China</t>
  </si>
  <si>
    <t>Fujian Medical University; Hebei North University; University of Shanghai for Science &amp; Technology; Naval Medical University; Naval Medical University; Naval Medical University; Wannan Medical University</t>
  </si>
  <si>
    <t>Early Prediction of Delirium in Postcardiac Surgery Patients: Machine Learning Model Development and External Validation</t>
  </si>
  <si>
    <t>Sequential Organ Failure Assessment score; weight; urine output; heart rate; and age.</t>
  </si>
  <si>
    <t>Wang, Yu-Xiang/AFP-0276-2022</t>
  </si>
  <si>
    <t>Hu, Huixiu/0009-0000-4039-3329; zang, qinglai/0009-0008-9861-9827</t>
  </si>
  <si>
    <t>e73283</t>
  </si>
  <si>
    <t>10.2196/73283</t>
  </si>
  <si>
    <t>http://dx.doi.org/10.2196/73283</t>
  </si>
  <si>
    <t>DT5SP</t>
  </si>
  <si>
    <t>41672478</t>
  </si>
  <si>
    <t>WOS:001691737900001</t>
  </si>
  <si>
    <t>Stirnemann, JJ; Besson, R; Spaggiari, E; Rojo, S; Loge, F; Peyro-Saint-Paul, H; Allassonniere, S; Le Pennec, E; Hutchinson, C; Sebire, N; Ville, Y</t>
  </si>
  <si>
    <t>ObjectivePrenatal diagnosis of a rare disease on ultrasound relies on a physician's ability to remember an intractable amount of knowledge. We developed a real-time decision support system (DSS) that suggests, at each step of the examination, the next phenotypic feature to assess, optimizing the diagnostic pathway to the smallest number of possible diagnoses. The objective of this study was to evaluate the performance of this real-time DSS using clinical data.MethodsThis validation study was conducted on a database of 549 perinatal phenotypes collected from two referral centers (one in France and one in the UK). Inclusion criteria were: at least one anomaly was visible on fetal ultrasound after 11 weeks' gestation; the anomaly was confirmed postnatally; an associated rare disease was confirmed or ruled out based on postnatal/postmortem investigation, including physical examination, genetic testing and imaging; and, when confirmed, the syndrome was known by the DSS software. The cases were assessed retrospectively by the software, using either the full phenotype as a single input, or a stepwise input of phenotypic features, as prompted by the software, mimicking its use in a real-life clinical setting. Adjudication of discordant cases, in which there was disagreement between the DSS output and the postnatally confirmed ('ascertained') diagnosis, was performed by a panel of external experts. The proportion of ascertained diagnoses within the software's top-10 differential diagnoses output was evaluated, as well as the sensitivity and specificity of the software to select correctly as its best guess a syndromic or isolated condition.ResultsThe dataset covered 110/408 (27%) diagnoses within the software's database, yielding a cumulative prevalence of 83%. For syndromic cases, the ascertained diagnosis was within the top-10 list in 93% and 83% of cases using the full-phenotype and stepwise input, respectively, after adjudication. The full-phenotype and stepwise approaches were associated, respectively, with a specificity of 94% and 96% and a sensitivity of 99% and 84%. The stepwise approach required an average of 13 queries to reach the final set of diagnoses.ConclusionsThe DSS showed high performance when applied to real-world data. This validation study suggests that such software can improve perinatal care, efficiently providing complex and otherwise overlooked knowledge to care-providers involved in ultrasound-based prenatal diagnosis. &amp; COPY; 2023 The Authors. Ultrasound in Obstetrics &amp; Gynecology published by John Wiley &amp; Sons Ltd on behalf of International Society of Ultrasound in Obstetrics and Gynecology.</t>
  </si>
  <si>
    <t>Stirnemann, J. J.; Besson, R.; Spaggiari, E.; Rojo, S.; Loge, F.; Peyro-Saint-Paul, H.; Allassonniere, S.; Le Pennec, E.; Hutchinson, C.; Sebire, N.; Ville, Y.</t>
  </si>
  <si>
    <t>Stirnemann, JJ (corresponding author), Hop Necker Enfants Malad, Matern, 149 Rue Sevres, F-75015 Paris, France.</t>
  </si>
  <si>
    <t>julien.stirnemann@aphp.fr</t>
  </si>
  <si>
    <t>[Stirnemann, J. J.; Spaggiari, E.; Ville, Y.] Necker Enfants Malad Hosp, AP HP, Dept Obstet &amp; Maternal Fetal Med, Paris, France; [Stirnemann, J. J.; Spaggiari, E.; Ville, Y.] Univ Paris, Inst Imagine, EA7328, Paris, France; [Besson, R.; Loge, F.; Peyro-Saint-Paul, H.] SONIO SAS, Paris, France; [Spaggiari, E.] Necker Enfants Malad Hosp, AP HP, Dept Histol Embryol &amp; Cytogenet, Unit Embryo &amp; Fetal Pathol, Paris, France; [Allassonniere, S.] Sorbonne Univ, Sch Med, CRC UMR 1138, INSERM,Univ Paris Cite, F-75006 Paris, France; [Allassonniere, S.; Le Pennec, E.] Inst Polytech Paris, Ecole Polytech, Ctr Math Appl, Paris, France; [Le Pennec, E.] INRIA Saclay Ctr, Xpop, INRIA, Paris, France; [Hutchinson, C.; Sebire, N.] NIHR Great Ormond St Hosp, Biomed Res Ctr, London, England; [Stirnemann, J. J.] Hop Necker Enfants Malad, Matern, 149 Rue Sevres, F-75015 Paris, France</t>
  </si>
  <si>
    <t>Universite Paris Cite; Assistance Publique Hopitaux Paris (APHP); Hopital Universitaire Necker-Enfants Malades - APHP; Institut National de la Sante et de la Recherche Medicale (Inserm); Universite Paris Cite; Universite Paris Cite; Assistance Publique Hopitaux Paris (APHP); Hopital Universitaire Necker-Enfants Malades - APHP; Sorbonne Universite; Universite Paris Cite; Institut National de la Sante et de la Recherche Medicale (Inserm); Universite Paris Cite; Institut Polytechnique de Paris; Ecole Polytechnique; ENSTA Paris; Inria; University of London; University College London; Great Ormond Street Hospital for Children NHS Foundation Trust; Universite Paris Cite; Assistance Publique Hopitaux Paris (APHP); Hopital Universitaire Necker-Enfants Malades - APHP</t>
  </si>
  <si>
    <t>Development and clinical validation of real-time artificial intelligence diagnostic companion for fetal ultrasound examination</t>
  </si>
  <si>
    <t>ULTRASOUND IN OBSTETRICS &amp; GYNECOLOGY</t>
  </si>
  <si>
    <t>artificial intelligence; decision support system; diagnostic test; malformation; prenatal diagnosis; rare disease; syndrome; ultrasound</t>
  </si>
  <si>
    <t>Hutchinson, J./MIK-6919-2025; Sebire, Neil/C-4960-2008</t>
  </si>
  <si>
    <t>Sebire, Neil/0000-0001-5348-9063</t>
  </si>
  <si>
    <t>0960-7692</t>
  </si>
  <si>
    <t>1469-0705</t>
  </si>
  <si>
    <t>ULTRASOUND OBST GYN</t>
  </si>
  <si>
    <t>Ultrasound Obstet. Gynecol.</t>
  </si>
  <si>
    <t>353</t>
  </si>
  <si>
    <t>360</t>
  </si>
  <si>
    <t>10.1002/uog.26242</t>
  </si>
  <si>
    <t>http://dx.doi.org/10.1002/uog.26242</t>
  </si>
  <si>
    <t>Acoustics; Obstetrics &amp; Gynecology; Radiology, Nuclear Medicine &amp; Medical Imaging</t>
  </si>
  <si>
    <t>Q7ZJ6</t>
  </si>
  <si>
    <t>37161503</t>
  </si>
  <si>
    <t>WOS:001059666400006</t>
  </si>
  <si>
    <t>Hwang, EJ; Lee, JH; Lim, WH; Jeong, WG; Hong, WJ; Park, J; Yoo, SJ; Kim, H</t>
  </si>
  <si>
    <t>Background Artificial intelligence (AI)-generated radiology reports have become available and require rigorous evaluation. Purpose To evaluate the clinical acceptability of chest radiograph reports generated by an AI algorithm and their accuracy in identifying referable abnormalities. Materials and Methods Chest radiographs from an intensive care unit (ICU), an emergency department, and health checkups were retrospectively collected between January 2020 and December 2022, and outpatient chest radiographs were sourced from a public dataset. An automated report-generating AI algorithm was then applied. A panel of seven thoracic radiologists evaluated the acceptability of generated reports, and acceptability was analyzed using a standard criterion (acceptable without revision or with minor revision) and a stringent criterion (acceptable without revision). Using chest radiographs from three of the contexts (excluding the ICU), AI-generated and radiologist-written reports were compared regarding the acceptability of the reports (generalized linear mixed model) and their sensitivity and specificity for identifying referable abnormalities (McNemar test). The radiologist panel was surveyed to evaluate their perspectives on the potential of AI-generated reports to replace radiologist-written reports. Results The chest radiographs of 1539 individuals (median age, 55 years; 656 male patients, 483 female patients, 400 patients of unknown sex) were included. There was no evidence of a difference in acceptability between AI-generated and radiologist-written reports under the standard criterion (88.4% vs 89.2%; P = .36), but AI-generated reports were less acceptable than radiologist-written reports under the stringent criterion (66.8% vs 75.7%; P &lt; .001). Compared with radiologist-written reports, AI-generated reports identified radiographs with referable abnormalities with greater sensitivity (81.2% vs 59.4%; P &lt; .001) and lower specificity (81.0% vs 93.6%; P &lt; .001). In the survey, most radiologists indicated that AI-generated reports were not yet reliable enough to replace radiologist-written reports. Conclusion AI-generated chest radiograph reports had similar acceptability to radiologist-written reports, although a substantial proportion of AI-generated reports required minor revision. (c) RSNA, 2025</t>
  </si>
  <si>
    <t>Hwang, Eui Jin; Lee, Jong Hyuk; Lim, Woo Hyeon; Jeong, Won Gi; Hong, Wonju; Park, Jongsoo; Yoo, Seung-Jin; Kim, Hyungjin</t>
  </si>
  <si>
    <t>Kim, H (corresponding author), Seoul Natl Univ Hosp, Dept Radiol, 101 Daehak Ro, Seoul 03080, South Korea.; Kim, H (corresponding author), Seoul Natl Univ, Coll Med, 101 Daehak Ro, Seoul 03080, South Korea.; Kim, H (corresponding author), Soombit Ai, Seongnam, South Korea.</t>
  </si>
  <si>
    <t>khj.snuh@gmail.com</t>
  </si>
  <si>
    <t>Soombit.ai [06-2024-0790]</t>
  </si>
  <si>
    <t>Soombit.ai</t>
  </si>
  <si>
    <t>This study was financially supported by Soombit.ai (formerly Kakao Brain; grant no. 06-2024-0790). However, the funder had no role in the study design; in the collection, analysis, and interpretation of the data; in the writing of the report; or in the decision to submit the article for publication.</t>
  </si>
  <si>
    <t>[Hwang, Eui Jin; Lee, Jong Hyuk; Lim, Woo Hyeon; Kim, Hyungjin] Seoul Natl Univ Hosp, Dept Radiol, 101 Daehak Ro, Seoul 03080, South Korea; [Hwang, Eui Jin; Lee, Jong Hyuk; Lim, Woo Hyeon; Kim, Hyungjin] Seoul Natl Univ, Coll Med, 101 Daehak Ro, Seoul 03080, South Korea; [Jeong, Won Gi] Chonnam Natl Univ, Dept Radiol, Hwasun Hosp, Hwasun, South Korea; [Jeong, Won Gi] Chonnam Natl Univ, Med Sch, Hwasun, South Korea; [Hong, Wonju] Hallym Univ, Sacred Heart Hosp, Dept Radiol, Anyang, South Korea; [Park, Jongsoo] Yeungnam Univ, Dept Radiol, Med Ctr, Daegu, South Korea; [Park, Jongsoo] Yeungnam Univ, Coll Med, Daegu, South Korea; [Yoo, Seung-Jin] Hanyang Univ, Med Ctr, Dept Radiol, Seoul, South Korea; [Yoo, Seung-Jin] Hanyang Univ, Coll Med, Seoul, South Korea; [Kim, Hyungjin] Soombit Ai, Seongnam, South Korea</t>
  </si>
  <si>
    <t>Seoul National University (SNU); Seoul National University Hospital; Seoul National University (SNU); Chonnam National University; Chonnam National University Hospital; Chonnam National University; Hallym University; Yeungnam University; Hanyang University; Hanyang University</t>
  </si>
  <si>
    <t>Clinical Validation of a Generative Artificial Intelligence Model for Chest Radiograph Reporting: A Multicohort Study</t>
  </si>
  <si>
    <t>RADIOLOGY</t>
  </si>
  <si>
    <t>RADIOLOGY REPORTS; PREFERENCES</t>
  </si>
  <si>
    <t>Hwang, Eui Jin/X-4415-2018; Yoo, Seung-Jin/QPB-3184-2026; Yoo, Seung-Jin/B-2779-2019; Lee, Jong-Hyuk/HTQ-9685-2023</t>
  </si>
  <si>
    <t>Hwang, Eui Jin/0000-0002-3697-5542; Kim, Hyungjin/0000-0003-0722-0033; Yoo, Seung-Jin/0000-0002-0779-3889; Jeong, Won Gi/0000-0003-2821-2788; PARK, JONGSOO/0000-0001-7204-6700</t>
  </si>
  <si>
    <t>0033-8419</t>
  </si>
  <si>
    <t>1527-1315</t>
  </si>
  <si>
    <t>Radiology</t>
  </si>
  <si>
    <t>316</t>
  </si>
  <si>
    <t>e250568</t>
  </si>
  <si>
    <t>10.1148/radiol.250568</t>
  </si>
  <si>
    <t>http://dx.doi.org/10.1148/radiol.250568</t>
  </si>
  <si>
    <t>7ZK9R</t>
  </si>
  <si>
    <t>40985833</t>
  </si>
  <si>
    <t>WOS:001583307900001</t>
  </si>
  <si>
    <t>Shen, JR; Chetty, SC; Shokouhi, S; Maharjan, J; Chuba, Y; Calvert, J; Mao, QQ</t>
  </si>
  <si>
    <t>Background: Pulmonary embolism (PE) is a life-threatening condition associated with ~10% of deaths of hospitalized patients. Machine learning algorithms (MLAs) which predict the onset of pulmonary embolism (PE) could enable earlier treatment and improve patient outcomes. However, the extent to which they generalize to broader patient populations impacts their clinical utility. Objective: To conduct the first large-scale external validation of a machine learning-based PE prediction model which uses EHR data from the first three hours of a patient's hospital stay to predict the occurrence of PE within the next 10 days of the inpatient stay. Methods: This retrospective study included approximately two million adult hospital admissions across 44 medical institutions in the US from 2011 to 2017. Demographics, vital signs, and lab tests from adult inpatients at 12 institutions (n = 331,268; 3.3% PE positive) were used for training an XGBoost model. External validation of the model was conducted on patient populations from each of 32 medical institutions (total n = 1,660,715; 3.7% PE positive) without retraining. Model performance was assessed using the area under the receiver operating characteristic curve (AUROC). Backward elimination regression was used to identify correlations between characteristics of the external validation sets and AUROC. Results: The model performed well (AUROC = 0.87) on the 20% hold-out subset of the training set. Despite demographic differences between the 32 external validation populations (percent PE positive: min = 1.54%, max = 6.47%), without retraining, the model had excellent discrimination, with a mean AUROC of 0.88 (min = 0.79, max = 0.93). Fixing sensitivity at 0.80, the model had a mean specificity of 0.85 (min = 0.64, max = 0.93). Backward elimination regression identified a negative association (beta = -0.015, p &lt; 0.001) between the percentage of PE positive encounters and AUROC. Conclusions: A PE prediction model performed remarkably well across 32 different external patient populations without retraining and despite significant differences in demographic characteristics, demonstrating its generalizability and potential as a clinical decision support tool to aid PE detection and improve patient outcomes in a clinical setting.</t>
  </si>
  <si>
    <t>Shen, Jieru; Chetty, Satish Casie; Shokouhi, Sepideh; Maharjan, Jenish; Chuba, Yevheniy; Calvert, Jacob; Mao, Qingqing</t>
  </si>
  <si>
    <t>Chetty, SC (corresponding author), Dascena Inc, 8515 Fannin St,Suite 110, Houston, TX 77054 USA.</t>
  </si>
  <si>
    <t>dchetty@dascena.com</t>
  </si>
  <si>
    <t>[Shen, Jieru; Chetty, Satish Casie; Shokouhi, Sepideh; Maharjan, Jenish; Chuba, Yevheniy; Calvert, Jacob; Mao, Qingqing] Dascena Inc, 8515 Fannin St,Suite 110, Houston, TX 77054 USA</t>
  </si>
  <si>
    <t>Massive external validation of a machine learning algorithm to predict pulmonary embolism in hospitalized patients</t>
  </si>
  <si>
    <t>THROMBOSIS RESEARCH</t>
  </si>
  <si>
    <t>Pulmonary embolism; Thrombosis; Machine learning; Prophylaxis; External validation</t>
  </si>
  <si>
    <t>VENOUS THROMBOEMBOLISM; MEDICAL PATIENTS; EMERGENCY-DEPARTMENT; PROGNOSTIC MODEL; RISK-ASSESSMENT; CLINICAL-MODEL; SEVERITY INDEX; PREVENTION; MANAGEMENT; THROMBOSIS</t>
  </si>
  <si>
    <t>Mao, Qingqing/E-2043-2016; Maharjan, Jenish/CAH-3911-2022; Calvert, Jacob/ABB-4298-2021</t>
  </si>
  <si>
    <t>Maharjan, Jenish/0000-0001-9156-2970</t>
  </si>
  <si>
    <t>66</t>
  </si>
  <si>
    <t>0049-3848</t>
  </si>
  <si>
    <t>1879-2472</t>
  </si>
  <si>
    <t>THROMB RES</t>
  </si>
  <si>
    <t>Thromb. Res.</t>
  </si>
  <si>
    <t>216</t>
  </si>
  <si>
    <t>10.1016/j.thromres.2022.05.016</t>
  </si>
  <si>
    <t>http://dx.doi.org/10.1016/j.thromres.2022.05.016</t>
  </si>
  <si>
    <t>Hematology; Peripheral Vascular Disease</t>
  </si>
  <si>
    <t>Hematology; Cardiovascular System &amp; Cardiology</t>
  </si>
  <si>
    <t>2F6ER</t>
  </si>
  <si>
    <t>35679633</t>
  </si>
  <si>
    <t>WOS:000813001200002</t>
  </si>
  <si>
    <t>Fu, A; Guo, DH; Zhu, M; Cai, L; Gao, A; Cui, LQ</t>
  </si>
  <si>
    <t>Background and purposeThere is a paucity of available clinical tools with which to accurately predict the risk of tigecycline-associated hypofibrinogenemia, an adverse reaction with a high incidence and serious consequences. This study aimed to developed an optimal machine-learning model for predicting tigecycline-associated hypofibrinogenemia and to facilitate its clinical application.MethodsA total of 896 inpatients who received tigecycline treatment in a large tertiary teaching hospital between 2016 and 2022 were included in the model development cohort. Subsequent temporal external validation of the models was performed on 313 patients admitted in 2023. Three robust machine-learning algorithms, including LASSO, Boruta, and VSURF were integrated to identify predictors. These features were then utilized to construct nine machine-learning models. The optimal one was identified through model evaluation and validation and was interpreted based on the SHAP method.ResultsThe three algorithms identified five predictors, including age, treatment duration, pre-dose fibrinogen level, D-dimer level, and activated partial thromboplastin time. The XGboost model was identified as the most suitable due to its stability and excellent discrimination, calibration, and clinical utility. The area under the receiver operating characteristic curve for the model were 0.823 (0.794-0.853), 0.810 (0.746-0.873), and 0.773 (0.721-0.825) in the training, internal validation, and temporal external validation cohorts, respectively.ConclusionsMachine-learning models are promising in solving the classification prediction problem of tigecycline-associated hypofibrinogenemia. Model interpretation based on SHAP enables clinicians to visualize individualized risk and tailor prophylactic strategies, potentially improving patient safety and treatment outcomes.</t>
  </si>
  <si>
    <t>Fu, An; Guo, Daihong; Zhu, Man; Cai, Le; Gao, Ao; Cui, Liqiang</t>
  </si>
  <si>
    <t>Guo, DH; Zhu, M (corresponding author), Peoples Liberat Army Gen Hosp, Dept Pharm, Med Supplies Ctr, Beijing 100853, Peoples R China.</t>
  </si>
  <si>
    <t>guodh301@163.com; zhucindy301@189.cn</t>
  </si>
  <si>
    <t>the Project of Monitoring and Evaluation of the Use of Key Clinical Drugs commissioned by the Chinese Association of Research Hospitals [Y2023FH-YWPJ03]; Capital's Funds for Health Improvement and Research [CFH2024-2-5012]</t>
  </si>
  <si>
    <t>the Project of Monitoring and Evaluation of the Use of Key Clinical Drugs commissioned by the Chinese Association of Research Hospitals; Capital's Funds for Health Improvement and Research</t>
  </si>
  <si>
    <t>This research was co-funded by the Capital's Funds for Health Improvement and Research (grant number CFH2024-2-5012), the Project of Monitoring and Evaluation of the Use of Key Clinical Drugs commissioned by the Chinese Association of Research Hospitals (grant number Y2023FH-YWPJ03).</t>
  </si>
  <si>
    <t>[Fu, An; Guo, Daihong; Zhu, Man; Cai, Le; Gao, Ao; Cui, Liqiang] Peoples Liberat Army Gen Hosp, Dept Pharm, Med Supplies Ctr, Beijing 100853, Peoples R China; [Fu, An; Cui, Liqiang] Chinese PLA, Med Sch, Beijing 100853, Peoples R China</t>
  </si>
  <si>
    <t>Chinese People's Liberation Army General Hospital</t>
  </si>
  <si>
    <t>Construction and temporal external validation of interpretable machine-learning models for predicting tigecycline-associated hypofibrinogenemia</t>
  </si>
  <si>
    <t>EUROPEAN JOURNAL OF CLINICAL PHARMACOLOGY</t>
  </si>
  <si>
    <t>Tigecycline; Hypofibrinogenemia; Machine-learning; Feature selection; Prediction model; Antibacterial management</t>
  </si>
  <si>
    <t>DOSE TIGECYCLINE; SELECTION; RISK; INFECTIONS; MANAGEMENT; DISEASE</t>
  </si>
  <si>
    <t>SPRINGER HEIDELBERG</t>
  </si>
  <si>
    <t>HEIDELBERG</t>
  </si>
  <si>
    <t>TIERGARTENSTRASSE 17, D-69121 HEIDELBERG, GERMANY</t>
  </si>
  <si>
    <t>0031-6970</t>
  </si>
  <si>
    <t>1432-1041</t>
  </si>
  <si>
    <t>EUR J CLIN PHARMACOL</t>
  </si>
  <si>
    <t>Eur. J. Clin. Pharmacol.</t>
  </si>
  <si>
    <t>JAN 3 2026</t>
  </si>
  <si>
    <t>82</t>
  </si>
  <si>
    <t>10.1007/s00228-025-03941-4</t>
  </si>
  <si>
    <t>http://dx.doi.org/10.1007/s00228-025-03941-4</t>
  </si>
  <si>
    <t>AN8AE</t>
  </si>
  <si>
    <t>41483207</t>
  </si>
  <si>
    <t>WOS:001652510700001</t>
  </si>
  <si>
    <t>Bradley, J; Huang, JP; Kalra, A; Reicher, J</t>
  </si>
  <si>
    <t>Background: Previous work has shown the ability of Fibresolve, a machine learning system, to non -invasively classify idiopathic pulmonary fibrosis (IPF) with a pre -invasive sensitivity of 53% and specificity of 86% versus other types of interstitial lung disease. Further external validation for the use of Fibresolve to classify IPF in patients with non -definite usual interstitial pneumonia (UIP) is needed. The aim of this study is to assess the sensitivity for Fibresolve to positively classify IPF in an external cohort of patients with a non -definite UIP radiographic pattern. Methods: This is a retrospective analysis of patients (n = 193) enrolled in two prospective phase two clinical trials that enrolled patients with IPF. We retrospectively identified patients with non -definite UIP on HRCT (n = 51), 47 of whom required surgical lung biopsy for diagnosis. Fibresolve was used to analyze the HRCT chest imaging which was obtained prior to invasive biopsy and sensitivity for final diagnosis of IPF was calculated. Results: The sensitivity of Fibresolve for the non-invasive classification of IPF in patients with a non -definite UIP radiographic pattern by HRCT was 76.5% (95% CI 66.5-83.7). For the subgroup of 47 patients who required surgical biopsy to aid in final diagnosis of IPF, Fibresolve had a sensitivity of 74.5% (95% CI 60.5-84.7). Conclusion: In patients with suspected IPF with non -definite UIP on HRCT, Fibresolve can positively identify cases of IPF with high sensitivity. These results suggest that in combination with standard clinical assessment, Fibresolve has the potential to serve as an adjunct in the non-invasive diagnosis of IPF.</t>
  </si>
  <si>
    <t>Bradley, James; Huang, Jiapeng; Kalra, Angad; Reicher, Joshua</t>
  </si>
  <si>
    <t>Reicher, J (corresponding author), Imvaria Inc, 2930 DomingoAve 1496, Berkeley, CA 94705 USA.</t>
  </si>
  <si>
    <t>jreicher@imvaria.com</t>
  </si>
  <si>
    <t>[Bradley, James] Univ Louisville, Dept Med, Div Pulm Crit Care &amp; Sleep Disorders Med, Louisville, KY USA; [Huang, Jiapeng] Univ Louisville, Dept Anesthesiol &amp; Perioperat Med, Louisville, KY USA; [Kalra, Angad; Reicher, Joshua] imvaria inc, Berkeley, CA USA; [Reicher, Joshua] Imvaria Inc, 2930 DomingoAve 1496, Berkeley, CA 94705 USA</t>
  </si>
  <si>
    <t>University of Louisville; University of Louisville</t>
  </si>
  <si>
    <t>External validation of Fibresolve, a machine-learning algorithm, to non-invasively diagnose idiopathic pulmonary fibrosis</t>
  </si>
  <si>
    <t>AMERICAN JOURNAL OF THE MEDICAL SCIENCES</t>
  </si>
  <si>
    <t>Artificial intelligence; Machine learning; Pulmonary fibrosis</t>
  </si>
  <si>
    <t>INTERSTITIAL PNEUMONIA; COMPUTED-TOMOGRAPHY; ADULTS</t>
  </si>
  <si>
    <t>Huang, Jiapeng/0000-0002-4794-8400</t>
  </si>
  <si>
    <t>0002-9629</t>
  </si>
  <si>
    <t>1538-2990</t>
  </si>
  <si>
    <t>AM J MED SCI</t>
  </si>
  <si>
    <t>Am. J. Med. Sci.</t>
  </si>
  <si>
    <t>367</t>
  </si>
  <si>
    <t>195</t>
  </si>
  <si>
    <t>10.1016/j.amjms.2023.12.009</t>
  </si>
  <si>
    <t>http://dx.doi.org/10.1016/j.amjms.2023.12.009</t>
  </si>
  <si>
    <t>KI1W3</t>
  </si>
  <si>
    <t>38147938</t>
  </si>
  <si>
    <t>WOS:001179249300001</t>
  </si>
  <si>
    <t>Lin, YQ; Sharma, B; Thompson, HM; Boley, R; Perticone, K; Chhabra, N; Afshar, M; Karnik, NS</t>
  </si>
  <si>
    <t>Background and Aims Unhealthy alcohol use (UAU) is one of the leading causes of global morbidity. A machine learning approach to alcohol screening could accelerate best practices when integrated into electronic health record (EHR) systems. This study aimed to validate externally a natural language processing (NLP) classifier developed at an independent medical center. Design Retrospective cohort study. Setting The site for validation was a midwestern United States tertiary-care, urban medical center that has an inpatient structured universal screening model for unhealthy substance use and an active addiction consult service. Participants/Cases Unplanned admissions of adult patients between October 23, 2017 and December 31, 2019, with EHR documentation of manual alcohol screening were included in the cohort (n = 57 605). Measurements The Alcohol Use Disorders Identification Test (AUDIT) served as the reference standard. AUDIT scores &gt;= 5 for females and &gt;= 8 for males served as cases for UAU. To examine error in manual screening or under-reporting, a post hoc error analysis was conducted, reviewing discordance between the NLP classifier and AUDIT-derived reference. All clinical notes excluding the manual screening and AUDIT documentation from the EHR were included in the NLP analysis. Findings Using clinical notes from the first 24 hours of each encounter, the NLP classifier demonstrated an area under the receiver operating characteristic curve (AUCROC) and precision-recall area under the curve (PRAUC) of 0.91 (95% CI = 0.89-0.92) and 0.56 (95% CI = 0.53-0.60), respectively. At the optimal cut point of 0.5, sensitivity, specificity, positive predictive value (PPV), and negative predictive value (NPV) were 0.66 (95% CI = 0.62-0.69), 0.98 (95% CI = 0.98-0.98), 0.35 (95% CI = 0.33-0.38), and 1.0 (95% CI = 1.0-1.0), respectively. Conclusions External validation of a publicly available alcohol misuse classifier demonstrates adequate sensitivity and specificity for routine clinical use as an automated screening tool for identifying at-risk patients.</t>
  </si>
  <si>
    <t>Lin, Yiqi; Sharma, Brihat; Thompson, Hale M.; Boley, Randy; Perticone, Kathryn; Chhabra, Neeraj; Afshar, Majid; Karnik, Niranjan S.</t>
  </si>
  <si>
    <t>Karnik, NS (corresponding author), Rush Univ, Rush Med Coll, Dept Psychiat &amp; Behav Sci, 1645 West Jackson Blvd,Suite 600, Chicago, IL 60612 USA.</t>
  </si>
  <si>
    <t>niranjan_karnik@rush.edu</t>
  </si>
  <si>
    <t>Agency for Healthcare Research and Quality [K12-HS026385]; National Center for Advancing Translational Sciences [KL2TR002387, UL1-TR002389]; National Institute on Alcohol Abuse and Alcoholism [K23-AA024503]; National Institute on Drug Abuse [R01-DA041071, R01-DA051464, UG1-DA049467]; Agency for Healthcare Research and Quality [K12HS026385] Funding Source: NIH RePORTER; National Center for Advancing Translational Sciences [KL2TR002387, UL1TR002389] Funding Source: NIH RePORTER; National Institute on Drug Abuse [UG1DA049467, R01DA051464] Funding Source: NIH RePORTER</t>
  </si>
  <si>
    <t>Agency for Healthcare Research and Quality (United States Department of Health &amp; Human Services, Agency for Healthcare Research &amp; Quality); National Center for Advancing Translational Sciences; National Institute on Alcohol Abuse and Alcoholism; National Institute on Drug Abuse; Agency for Healthcare Research and Quality (United States Department of Health &amp; Human Services, Agency for Healthcare Research &amp; Quality); National Center for Advancing Translational Sciences (United States Department of Health &amp; Human Services, National Institutes of Health (NIH) - USA, NIH National Center for Advancing Translational Sciences (NCATS)); National Institute on Drug Abuse (United States Department of Health &amp; Human Services, National Institutes of Health (NIH) - USA, NIH National Institute on Drug Abuse (NIDA))</t>
  </si>
  <si>
    <t>Agency for Healthcare Research and Quality, Grant/Award Number: K12-HS026385; National Center for Advancing Translational Sciences, Grant/Award Numbers: KL2TR002387, UL1-TR002389; National Institute on Alcohol Abuse and Alcoholism, Grant/Award Number: K23-AA024503; National Institute on Drug Abuse, Grant/Award Numbers: R01-DA041071, R01-DA051464, UG1-DA049467</t>
  </si>
  <si>
    <t>[Lin, Yiqi; Karnik, Niranjan S.] Rush Univ, Rush Med Coll, Chicago, IL 60612 USA; [Sharma, Brihat; Thompson, Hale M.; Boley, Randy; Karnik, Niranjan S.] Rush Univ, Rush Med Coll, Dept Psychiat &amp; Behav Sci, 1645 West Jackson Blvd,Suite 600, Chicago, IL 60612 USA; [Perticone, Kathryn] Cooper Univ Hlth Care, Addict Med, Camden, NJ USA; [Chhabra, Neeraj] Rush Univ, Rush Med Coll, Dept Emergency Med, Chicago, IL 60612 USA; [Chhabra, Neeraj] John H Stroger Jr Hosp Cook Cty, Dept Emergency Med, Chicago, IL USA; [Afshar, Majid] Univ Wisconsin, Div Allergy Pulm &amp; Crit Care Med, Dept Med, Sch Med &amp; Publ Hlth, Madison, WI USA</t>
  </si>
  <si>
    <t>Rush University; Rush University; Rush University; John H Stroger Junior Hospital Cook County; University of Illinois System; University of Illinois Chicago; University of Illinois Chicago Hospital; University of Wisconsin System; University of Wisconsin Madison</t>
  </si>
  <si>
    <t>External validation of a machine learning classifier to identify unhealthy alcohol use in hospitalized patients</t>
  </si>
  <si>
    <t>ADDICTION</t>
  </si>
  <si>
    <t>Addiction consultation service; data science; inpatient screening; machine learning; natural language processing; unhealthy alcohol use</t>
  </si>
  <si>
    <t>PRIMARY-CARE; FACILITATORS; DEPENDENCE; BARRIERS; AUDIT</t>
  </si>
  <si>
    <t>Afshar, Majid/AAD-8365-2019; Chhabra, Neeraj/AAI-1603-2021; Karnik, Niranjan/A-1074-2011</t>
  </si>
  <si>
    <t>Afshar, Majid/0000-0002-6368-4652; Boley, Randy/0000-0002-9365-8412; Chhabra, Neeraj/0000-0002-0945-1233; Thompson, Hale M/0000-0002-9704-934X; Karnik, Niranjan/0000-0001-7650-3008; Sharma, Brihat/0000-0003-0417-4553</t>
  </si>
  <si>
    <t>0965-2140</t>
  </si>
  <si>
    <t>1360-0443</t>
  </si>
  <si>
    <t>Addiction</t>
  </si>
  <si>
    <t>APR 2022</t>
  </si>
  <si>
    <t>117</t>
  </si>
  <si>
    <t>925</t>
  </si>
  <si>
    <t>933</t>
  </si>
  <si>
    <t>10.1111/add.15730</t>
  </si>
  <si>
    <t>http://dx.doi.org/10.1111/add.15730</t>
  </si>
  <si>
    <t>NOV 2021</t>
  </si>
  <si>
    <t>Substance Abuse; Psychiatry</t>
  </si>
  <si>
    <t>ZO6FH</t>
  </si>
  <si>
    <t>34729829</t>
  </si>
  <si>
    <t>WOS:000722272100001</t>
  </si>
  <si>
    <t>Chan, KS; Chan, YM; Tan, AHM; Liang, SY; Cho, YT; Hong, QT; Yong, EM; Chong, LRC; Zhang, L; Tan, GWL; Chandrasekar, S; Lo, ZJ</t>
  </si>
  <si>
    <t>There is a lifetime risk of 15% to 25% of development of diabetic foot ulcers (DFUs) in patients with diabetes mellitus. DFUs need to be followed up on and assessed for development of complications and/or resolution, which was traditionally performed using manual measurement. Our study aims to compare the intra- and inter-rater reliability of an artificial intelligence-enabled wound imaging mobile application (CARES4WOUNDS [C4W] system, Tetsuyu, Singapore) with traditional measurement. This is a prospective cross-sectional study on 28 patients with DFUs from June 2020 to January 2021. The main wound parameters assessed were length and width. For traditional manual measurement, area was calculated by overlaying traced wound on graphical paper. Intra- and inter-rater reliability was analysed using intra-class correlation statistics. A value of &lt;0.5, 0.5-0.75, 0.75-0.9, and &gt;0.9 indicates poor, moderate, good, and excellent reliability, respectively. Seventy-five wound episodes from 28 patients were collected and a total of 547 wound images were analysed in this study. The median wound area during the first clinic consultation and all wound episodes was 3.75 cm(2) (interquartile range [IQR] 1.40-16.50) and 3.10 cm(2) (IQR 0.60-14.84), respectively. There is excellent intra-rater reliability of C4W on three different image captures of the same wound (intra-rater reliability ranging 0.933-0.994). There is also excellent inter-rater reliability between three C4W devices for length (0.947), width (0.923), and area (0.965). Good inter-rater reliability for length, width, and area (range 0.825-0.934) was obtained between wound nurse measurement and each of the C4W devices. In conclusion, we obtained good inter-rater and intra-rater reliability of C4W measurements against traditional wound measurement. The C4W is a useful adjunct in monitoring DFU wound progress.</t>
  </si>
  <si>
    <t>Chan, Kai Siang; Chan, Yam Meng; Tan, Audrey Hui Min; Liang, Shanying; Cho, Yuan Teng; Hong, Qiantai; Yong, Enming; Chong, Lester Rhan Chaen; Zhang, Li; Tan, Glenn Wei Leong; Chandrasekar, Sadhana; Lo, Zhiwen Joseph</t>
  </si>
  <si>
    <t>Lo, ZJ (corresponding author), Tan Tock Seng Hosp, Dept Gen Surg, Vasc Surg Serv, 11 Jalan Tan Tock Seng, Singapore 308433, Singapore.</t>
  </si>
  <si>
    <t>zhiwen@gmail.com</t>
  </si>
  <si>
    <t>Agency for Science, Technology and Research (A*STAR): Industry Alignment Fund -Pre-Positioning Programme (IAFPP) [H19/01/a0/PP9]; Tetsuyu</t>
  </si>
  <si>
    <t>Agency for Science, Technology and Research (A*STAR): Industry Alignment Fund -Pre-Positioning Programme (IAFPP); Tetsuyu</t>
  </si>
  <si>
    <t>Agency for Science, Technology and Research (A*STAR): Industry Alignment Fund -Pre-Positioning Programme (IAFPP), Grant/Award Number: H19/01/a0/PP9; Tetsuyu</t>
  </si>
  <si>
    <t>[Chan, Kai Siang; Chan, Yam Meng; Tan, Audrey Hui Min; Liang, Shanying; Cho, Yuan Teng; Hong, Qiantai; Yong, Enming; Chong, Lester Rhan Chaen; Zhang, Li; Tan, Glenn Wei Leong; Chandrasekar, Sadhana; Lo, Zhiwen Joseph] Vasc Surg Serv, Dept Gen Surg, 11 Jalan Tan Tock Seng, Singapore, Singapore</t>
  </si>
  <si>
    <t>Tan Tock Seng Hospital</t>
  </si>
  <si>
    <t>Clinical validation of an artificial intelligence-enabled wound imaging mobile application in diabetic foot ulcers</t>
  </si>
  <si>
    <t>INTERNATIONAL WOUND JOURNAL</t>
  </si>
  <si>
    <t>artificial intelligence; diabetic foot; foot ulcer; mobile applications; wound healing</t>
  </si>
  <si>
    <t>RELIABILITY; AMPUTATION; DISEASE; RISK; SKIN</t>
  </si>
  <si>
    <t>Yong, Enming/LXB-4566-2024</t>
  </si>
  <si>
    <t>Chan, Yam Meng/0000-0001-7029-1358; Yong, Enming/0000-0002-9461-0066; Chanasekar, Sadhana/0000-0002-3650-8020; Chan, Kai Siang/0000-0001-9533-801X</t>
  </si>
  <si>
    <t>1742-4801</t>
  </si>
  <si>
    <t>1742-481X</t>
  </si>
  <si>
    <t>INT WOUND J</t>
  </si>
  <si>
    <t>Int. Wound J.</t>
  </si>
  <si>
    <t>124</t>
  </si>
  <si>
    <t>10.1111/iwj.13603</t>
  </si>
  <si>
    <t>http://dx.doi.org/10.1111/iwj.13603</t>
  </si>
  <si>
    <t>Dermatology; Surgery</t>
  </si>
  <si>
    <t>0J4RC</t>
  </si>
  <si>
    <t>33942998</t>
  </si>
  <si>
    <t>WOS:000646659000001</t>
  </si>
  <si>
    <t>Campagner, A; Carobene, A; Cabitza, F</t>
  </si>
  <si>
    <t>Purpose The rRT-PCR for COVID-19 diagnosis is affected by long turnaround time, potential shortage of reagents, high false-negative rates and high costs. Routine hematochemical tests are a faster and less expensive alternative for diagnosis. Thus, Machine Learning (ML) has been applied to hematological parameters to develop diagnostic tools and help clinicians in promptly managing positive patients. However, few ML models have been externally validated, making their real-world applicability unclear. Methods We externally validate 6 state-of-the-art diagnostic ML models, based on Complete Blood Count (CBC) and trained on a dataset encompassing 816 COVID-19 positive cases. The external validation was performed based on two datasets, collected at two different hospitals in northern Italy and encompassing 163 and 104 COVID-19 positive cases, in terms of both error rate and calibration. Results and Conclusion We report an average AUC of 95% and average Brier score of 0.11, out-performing existing ML methods, and showing good cross-site transportability. The best performing model (SVM) reported an average AUC of 97.5% (Sensitivity: 87.5%, Specificity: 94%), comparable with the performance of RT-PCR, and was also the best calibrated. The validated models can be useful in the early identification of potential COVID-19 patients, due to the rapid availability of CBC exams, and in multiple test settings.</t>
  </si>
  <si>
    <t>Campagner, Andrea; Carobene, Anna; Cabitza, Federico</t>
  </si>
  <si>
    <t>Campagner, A (corresponding author), Univ Milano Bicocca, DISCo, Milan, Italy.</t>
  </si>
  <si>
    <t>a.campagner@campus.unimib.it</t>
  </si>
  <si>
    <t>Universita degli Studi di Milano - Bicocca within the CRUI-CARE Agreement</t>
  </si>
  <si>
    <t>Open access funding provided by Universita degli Studi di Milano - Bicocca within the CRUI-CARE Agreement. Funding sources had no role in study design, data collection, data analysis, data interpretation, or writing of the report. The corresponding authors had full access to all data in the study and had final responsibility for the decision to submit for publication.</t>
  </si>
  <si>
    <t>[Campagner, Andrea; Cabitza, Federico] Univ Milano Bicocca, DISCo, Milan, Italy; [Carobene, Anna] IRCCS, Lab Med, San Raffaele Sci Inst, Milan, Italy</t>
  </si>
  <si>
    <t>University of Milano-Bicocca; Vita-Salute San Raffaele University; IRCCS Ospedale San Raffaele</t>
  </si>
  <si>
    <t>External validation of Machine Learning models for COVID-19 detection based on Complete Blood Count</t>
  </si>
  <si>
    <t>HEALTH INFORMATION SCIENCE AND SYSTEMS</t>
  </si>
  <si>
    <t>COVID-19; Machine Learning; External validation; Calibration; Complete Blood count</t>
  </si>
  <si>
    <t>TESTS</t>
  </si>
  <si>
    <t>Campagner, Andrea/AAB-4238-2020; Carobene, Anna/D-2240-2018; Cabitza, Federico/JCO-4001-2023</t>
  </si>
  <si>
    <t>Campagner, Andrea/0000-0002-0027-5157</t>
  </si>
  <si>
    <t>2047-2501</t>
  </si>
  <si>
    <t>HEALTH INF SCI SYST</t>
  </si>
  <si>
    <t>Health Inf. Sci. Syst.</t>
  </si>
  <si>
    <t>OCT 23 2021</t>
  </si>
  <si>
    <t>10.1007/s13755-021-00167-3</t>
  </si>
  <si>
    <t>http://dx.doi.org/10.1007/s13755-021-00167-3</t>
  </si>
  <si>
    <t>WL1ZV</t>
  </si>
  <si>
    <t>34721844</t>
  </si>
  <si>
    <t>WOS:000710212900001</t>
  </si>
  <si>
    <t>Zhang, DB; Liu, LF; Zhang, SS; Xiao, Z; Chen, X; Yang, S</t>
  </si>
  <si>
    <t>Background Sepsis is a common and life-threatening complication among critically ill patients with hemorrhagic stroke (HS), contributing substantially to early mortality, prolonged hospitalization and poor neurological outcomes. Early risk stratification remains challenging due to complex interactions among neurological injury severity, immune dysregulation and intensive care interventions. We aimed to develop and externally validate an explainable machine-learning model for early prediction of sepsis in patients with HS during intensive care unit (ICU) hospitalization.Methods We identified hospitalised patients with HS using International Classification of Diseases (ICD) diagnosis codes and defined sepsis using Sepsis-3 criteria. We collected early ICU clinical features and treatment exposures, then performed variable selection with Least Absolute Shrinkage and Selection Operator (LASSO), Boruta and recursive feature elimination (RFE). We developed ten machine-learning models and assessed discrimination and utility using receiver operating characteristic curves, calibration plots and decision curve analysis. We used Shapley Additive Explanations (SHAP) for interpretability.Results After integrated assessment across three feature-selection strategies, we identified eight predictors. In internal and external validation cohorts, the neural network (NN) model showed good calibration and stable, high performance. Shapley Additive Explanations (SHAP) indicated that mechanical ventilation and sedative use contributed most to sepsis risk; clinical severity indices, including the Sequential Organ Failure Assessment (SOFA) score, were also influential. We deployed the best model as an online risk calculator for personalised stratification.Conclusion Our model quantifies individualised sepsis risk in patients with HS during ICU hospitalisation with stable performance. We deployed it as a web-based dynamic calculator to enable rapid bedside risk stratification, earlier sepsis recognition, timely escalation of care and optimisation of ICU pathways.</t>
  </si>
  <si>
    <t>Zhang, Duobin; Liu, Liangfang; Zhang, Shasha; Xiao, Zhen; Chen, Xi; Yang, Shen</t>
  </si>
  <si>
    <t>Yang, S (corresponding author), First Peoples Hosp Xiangtan City, Dept Neurol, 100 Shuyuan Rd, Xiangtan 411100, Peoples R China.</t>
  </si>
  <si>
    <t>doctoryangshen@163.com</t>
  </si>
  <si>
    <t>Hunan Provincial Natural Science Foundation [2026JJ81923]</t>
  </si>
  <si>
    <t>Hunan Provincial Natural Science Foundation (Natural Science Foundation of Hunan Province)</t>
  </si>
  <si>
    <t>This work was supported by the Hunan Provincial Natural Science Foundation (No. 2026JJ81923).</t>
  </si>
  <si>
    <t>[Zhang, Duobin; Liu, Liangfang; Zhang, Shasha; Xiao, Zhen; Chen, Xi; Yang, Shen] First Peoples Hosp Xiangtan City, Dept Neurol, 100 Shuyuan Rd, Xiangtan 411100, Peoples R China; [Zhang, Duobin] First Peoples Hosp Wuhu City, Dept Neurol, Wuhu, Peoples R China</t>
  </si>
  <si>
    <t>Online explainable machine learning prediction of sepsis in hemorrhagic stroke: Development and multicenter external validation</t>
  </si>
  <si>
    <t>DIGITAL HEALTH</t>
  </si>
  <si>
    <t>hemorrhagic stroke; sepsis; machine learning; shapley additive exPlanations; online calculator</t>
  </si>
  <si>
    <t>RISK-FACTORS; INFECTIONS</t>
  </si>
  <si>
    <t>2055-2076</t>
  </si>
  <si>
    <t>DIGIT HEALTH</t>
  </si>
  <si>
    <t>Digit. Health</t>
  </si>
  <si>
    <t>20552076261469389</t>
  </si>
  <si>
    <t>10.1177/20552076261469389</t>
  </si>
  <si>
    <t>http://dx.doi.org/10.1177/20552076261469389</t>
  </si>
  <si>
    <t>Health Care Sciences &amp; Services; Health Policy &amp; Services; Public, Environmental &amp; Occupational Health; Medical Informatics</t>
  </si>
  <si>
    <t>Health Care Sciences &amp; Services; Public, Environmental &amp; Occupational Health; Medical Informatics</t>
  </si>
  <si>
    <t>LF7NT</t>
  </si>
  <si>
    <t>WOS:001823528000001</t>
  </si>
  <si>
    <t>Ji, YS; Zhang, H; Xia, JJ; Chen, GL; Li, H</t>
  </si>
  <si>
    <t>BackgroundLean metabolic dysfunction-associated fatty liver disease (MAFLD) is increasingly recognized but often goes unnoticed during health checkups and primary care due to low perceived risk and limitations of imaging. Cost-effective, automated screening methods using routine data could enhance triage and referrals for confirmatory imaging.MethodsWe used routinely collected data from a hospital health checkup cohort (N = 3346; Huai'an First People's Hospital, China) to develop a machine learning model for lean MAFLD incorporating prespecified predictors--triglyceride-glucose (TyG) and uric acid-to-high-density lipoprotein cholesterol ratio (UHR). The cohort was randomly split 70:30 into training and test sets. In the training set, additional clinical predictors were selected via elastic-net regression, followed by the tuning of eight algorithms with strict leakage control, utilizing average precision as the primary optimization metric. Extreme gradient boosting (XGBoost) was chosen based on test set discrimination, calibration, and clinical utility. External validation utilized data from the National Health and Nutrition Examination Survey 2017-2020 (N = 2216), split 50:50 into calibration and hold-out validation subsets. Post hoc recalibration was performed on the calibration subset. Performance in the hold-out validation subset was summarized using the receiver operating characteristic curve, calibration plots, decision curve analysis, and Shapley Additive Explanations (SHAP) for model interpretability.ResultsRestricted cubic spline analysis revealed a nonlinear association for TyG, whereas UHR showed an almost linear association. Elastic-net regularization identified additional clinical predictors, including systolic blood pressure (SBP), diastolic blood pressure (DBP), age, the alanine aminotransferase/aspartate aminotransferase (ALT/AST) ratio, and serum creatinine (Scr). In the test set, XGBoost achieved an area under the curve (AUC) of 0.995, a Brier score of 0.008, a log loss of 0.035, and an expected calibration error of approximately 0.007, offering the highest net benefit across threshold probabilities of 0.05 to 0.60. In the hold-out validation subset, discrimination remained robust both before and after recalibration (AUC 0.826 vs. 0.810), while probability accuracy improved significantly (Brier score decreased from 0.286 to 0.109; log loss from 1.253 to 0.388). Recalibrated probabilities demonstrated acceptable calibration (intercept 0.103; slope 0.684), with consistent positive net benefit observed across thresholds of approximately 0.02 to 0.30. Regarding interpretability, SHAP values ranked TyG (2.538) as the most influential factor, followed by SBP (1.727) and UHR (0.999), with modest but consistent contributions from age (0.810), Scr (0.713), and the ALT/AST ratio (0.657), whereas DBP (0.266) had the smallest effect.ConclusionsAn explainable machine learning model centered on TyG and UHR can cheaply screen for lean MAFLD using routine health checkup data, support threshold-based triage in primary care, and be adapted to external populations with post hoc recalibration. Adoption should include prediction paired with lightweight local recalibration to maintain accuracy and make implementation easier across different sites.</t>
  </si>
  <si>
    <t>Ji, Yansong; Zhang, Hui; Xia, Jingjing; Chen, Guilian; Li, Hong</t>
  </si>
  <si>
    <t>Ji, YS (corresponding author), Nanjing Med Univ, Affiliated Huaian Peoples Hosp 1, Hlth Management Ctr, Huaian 223300, Peoples R China.</t>
  </si>
  <si>
    <t>jiyansong1988@gmail.com</t>
  </si>
  <si>
    <t>[Ji, Yansong; Xia, Jingjing; Chen, Guilian; Li, Hong] Nanjing Med Univ, Affiliated Huaian Peoples Hosp 1, Hlth Management Ctr, Huaian 223300, Peoples R China; [Zhang, Hui] Yangzhou Univ, Huaian Hosp, Dept Neurol, Huaian 223300, Peoples R China</t>
  </si>
  <si>
    <t>Nanjing Medical University; Yangzhou University</t>
  </si>
  <si>
    <t>A TyG-UHR-based machine learning model for screening lean MAFLD: development and external validation</t>
  </si>
  <si>
    <t>BIOMEDICAL ENGINEERING ONLINE</t>
  </si>
  <si>
    <t>Lean MAFLD; Health checkup; TyG; UHR; Machine learning; Calibration; Decision curve analysis; SHAP; External validation</t>
  </si>
  <si>
    <t>STEATOTIC LIVER-DISEASE</t>
  </si>
  <si>
    <t>Ji, Yansong/OLR-5202-2025</t>
  </si>
  <si>
    <t>1475-925X</t>
  </si>
  <si>
    <t>BIOMED ENG ONLINE</t>
  </si>
  <si>
    <t>Biomed. Eng. Online</t>
  </si>
  <si>
    <t>MAY 11 2026</t>
  </si>
  <si>
    <t>86</t>
  </si>
  <si>
    <t>10.1186/s12938-026-01585-8</t>
  </si>
  <si>
    <t>http://dx.doi.org/10.1186/s12938-026-01585-8</t>
  </si>
  <si>
    <t>Engineering, Biomedical</t>
  </si>
  <si>
    <t>Engineering</t>
  </si>
  <si>
    <t>KL6SA</t>
  </si>
  <si>
    <t>42116045</t>
  </si>
  <si>
    <t>WOS:001809903500001</t>
  </si>
  <si>
    <t>Dhanda, G; Asham, M; Shanks, D; O'Malley, N; Hake, J; Satyan, MT; Yedlinsky, NT; Parente, DJ</t>
  </si>
  <si>
    <t>BACKGROUND Urinary tract infection (UTI) symptoms are common in primary care, but antibiotics are appropriate only when an infection is present. Urine culture is the reference standard test for infection, but results take &gt; 1 day. A machine learning predictor of urine cultures showed high accuracy for an emergency department (ED) population but required urine microscopy features that are not routinely available in primary care (the NeedMicro classifier). METHODS We redesigned a classifier (NoMicro) that does not depend on urine microscopy and retrospectively validated it internally (ED data set) and externally (on a newly curated primary care [PC] data set) using a multicenter approach including 80,387 (ED) and 472 (PC) adults. We constructed machine learning models using extreme gradient boosting (XGBoost), artificial neural networks, and random forests (RFs). The primary outcome was pathogenic urine culture growing &gt;= 100,000 colony forming units. Predictor variables included age; gender; dipstick urinalysis nitrites, leukocytes, clarity, glucose, protein, and blood; dysuria; abdominal pain; and history of UTI. RESULTS Removal of microscopy features did not severely compromise performance under internal validation: NoMicro/XGBoost receiver operating characteristic area under the curve (ROC-AUC) 0.86 (95% CI, 0.86-0.87) vs NeedMicro 0.88 (95% CI, 0.87-0.88). Excellent performance in external (PC) validation was also observed: NoMicro/RF ROC-AUC 0.85 (95% CI, 0.81-0.89). Retrospective simulation suggested that NoMicro/RF can be used to safely withhold antibiotics for low-risk patients, thereby avoiding antibiotic overuse. CONCLUSIONS The NoMicro classifier appears appropriate for PC. Prospective trials to adjudicate the balance of benefits and harms of using the NoMicro classifier are appropriate.</t>
  </si>
  <si>
    <t>Dhanda, Gurpreet; Asham, Mirna; Shanks, Denton; O'Malley, Nicole; Hake, Joel; Satyan, Megha Teeka; Yedlinsky, Nicole T.; Parente, Daniel J.</t>
  </si>
  <si>
    <t>Parente, DJ (corresponding author), Univ Kansas Med Ctr, Dept Family Med &amp; Community Hlth, Kansas City, KS USA.; Parente, DJ (corresponding author), Univ Kansas Med Ctr, Dept Family Med &amp; Community Hlth, 3901 Rainbow Blvd, MS 4010, Kansas City, KS 66160 USA.</t>
  </si>
  <si>
    <t>dparente@kumc.edu</t>
  </si>
  <si>
    <t>National Center for Advancing Translational Sciences (NCATS) [UL1TR002366]; National Center for Advancing Translational Sciences [UL1TR002366] Funding Source: NIH RePORTER</t>
  </si>
  <si>
    <t>National Center for Advancing Translational Sciences (NCATS) (United States Department of Health &amp; Human Services, National Institutes of Health (NIH) - USA, NIH National Center for Advancing Translational Sciences (NCATS)); National Center for Advancing Translational Sciences (United States Department of Health &amp; Human Services, National Institutes of Health (NIH) - USA, NIH National Center for Advancing Translational Sciences (NCATS))</t>
  </si>
  <si>
    <t>This work was not directly funded but used the REDCap data management platform at the University of Kansas Medical Center, which was supported by a Clinical and Translational Science Awards grant from the National Center for Advancing Translational Sciences (NCATS) awarded to the University of Kansas for Frontiers: University of Kansas Clinical and Translational Science Institute (#UL1TR002366) . This work is solely the responsibility of the authors and does not necessarily represent the official views of the National Institutes of Health or NCATS. This agency had no role in the design and conduct of the study; collection, management, analysis, and interpretation of the data; preparation, review, or approval of the manuscript; or decision to submit the manuscript for publication.</t>
  </si>
  <si>
    <t>[Dhanda, Gurpreet; Asham, Mirna; Shanks, Denton; O'Malley, Nicole; Hake, Joel; Satyan, Megha Teeka; Yedlinsky, Nicole T.; Parente, Daniel J.] Univ Kansas Med Ctr, Dept Family Med &amp; Community Hlth, Kansas City, KS USA; [Parente, Daniel J.] Univ Kansas Med Ctr, Dept Family Med &amp; Community Hlth, 3901 Rainbow Blvd, MS 4010, Kansas City, KS 66160 USA</t>
  </si>
  <si>
    <t>University of Kansas; University of Kansas Medical Center; University of Kansas; University of Kansas Medical Center</t>
  </si>
  <si>
    <t>Adaptation and External Validation of Pathogenic Urine Culture Prediction in Primary Care Using Machine Learning</t>
  </si>
  <si>
    <t>ANNALS OF FAMILY MEDICINE</t>
  </si>
  <si>
    <t>urinary tract infection; machine learning; antibiotic overuse; decision rule; prediction model; primary care</t>
  </si>
  <si>
    <t>TRACT-INFECTION</t>
  </si>
  <si>
    <t>Parente, Daniel/AAM-3887-2021</t>
  </si>
  <si>
    <t>Yedlinsky, Nicole/0000-0002-4859-3533</t>
  </si>
  <si>
    <t>ANNALS FAMILY MEDICINE</t>
  </si>
  <si>
    <t>LEAWOOD</t>
  </si>
  <si>
    <t>11400 TOMAHAWK CREEK PARKWAY, LEAWOOD, KS 66211-2672 USA</t>
  </si>
  <si>
    <t>1544-1709</t>
  </si>
  <si>
    <t>1544-1717</t>
  </si>
  <si>
    <t>ANN FAM MED</t>
  </si>
  <si>
    <t>Ann. Fam. Med.</t>
  </si>
  <si>
    <t>JAN-FEB 2023</t>
  </si>
  <si>
    <t>10.1370/afm.2902</t>
  </si>
  <si>
    <t>http://dx.doi.org/10.1370/afm.2902</t>
  </si>
  <si>
    <t>Primary Health Care; Medicine, General &amp; Internal</t>
  </si>
  <si>
    <t>9M5OM</t>
  </si>
  <si>
    <t>36690486</t>
  </si>
  <si>
    <t>WOS:000942278800003</t>
  </si>
  <si>
    <t>Chong, HJ</t>
  </si>
  <si>
    <t>Background: Sarcopenia is a common muscle disorder in older adults, and its early identification and management in middle-aged populations are essential for ensuring a healthier later life. Detecting sarcopenia at an earlier stage may reduce the future burden on health care systems and enhance the quality of life in older adults. Machine learning (ML) modelscan evaluate large datasets, identify essential variables, and find complicated correlations between input variables. However, using ML models to detect sarcopenia remains an unsatisfied need. Objective: This study aimed to develop and externally validate an ML model to predict sarcopenia risk among middle-aged adults using a nationally representative dataset. Methods: We analyzed data from 1926 participants aged 40 to 64 years and enrolled in the 2022 Korea National Health and Nutrition Examination Survey (KNHANES). Sarcopenia was diagnosed and defined based on the 2019 Asian Working Group for Sarcopenia criteria, which incorporate both low muscle mass and reduced muscle strength. Muscle mass was assessed using bioelectrical impedance analysis with cutoffs of &lt;7.0 kg/m2for men and &lt;5.7 kg/m2for women. Muscle strength was measured via handgrip strength using a digital dynamometer with thresholds of &lt;28 kg for men and &lt;18 kg for women. Participants meeting both criteria were classified as those with sarcopenia. Four ML algorithms, random forest, support vector machine, extreme gradient boosting, and logistic regression, were used to identify risk factors of sarcopenia and predict its likelihood. The top-performing model was subsequently validated in an external cohort of 2247 middle-aged adults from the 2023 KNHANES. Model performance was assessed using the F2-score, area under the curve of a receiver operating characteristic curve, and sensitivity. All analyses were conducted using Python 3.13.2 (Python Software Foundation). Results: Among the 4 models, the logistic regression model demonstrated the strongest performance, yielding an area under the curve of 0.85, a sensitivity of 0.92, and an F2-score of 0.66. External validation using the 2023 KNHANES dataset confirmed the model's robust performance, indicating its potential for widespread applications. Conclusions:This study developed and externally validated an ML model that accurately identified sarcopenia in middle-aged adults. Leveraging data from a comprehensive national survey, our findings underscore the significance of early detection and customized interventions in midlife to mitigate sarcopenia risk and optimize long-term health outcomes.</t>
  </si>
  <si>
    <t>Chong, Hye Jin</t>
  </si>
  <si>
    <t>Chong, HJ (corresponding author), Sunchon Natl Univ, Dept Nursing, 255 Joongang Ro, Suncheon Si 57922, South Korea.</t>
  </si>
  <si>
    <t>hyejin@scnu.ac.kr</t>
  </si>
  <si>
    <t>[Chong, Hye Jin] Sunchon Natl Univ, Dept Nursing, 255 Joongang Ro, Suncheon Si 57922, South Korea</t>
  </si>
  <si>
    <t>Sunchon National University</t>
  </si>
  <si>
    <t>A Machine Learning Model for Predicting Sarcopenia Among Middle-Aged Adults: Development and External Validation</t>
  </si>
  <si>
    <t>machine learning; predictive model; risk factors; sarcopenia; middle aged adults</t>
  </si>
  <si>
    <t>ASIAN WORKING GROUP; MUSCLE MASS; DIAGNOSIS; NUTRITION; HEALTH; IMPACT</t>
  </si>
  <si>
    <t>Chong, Hye Jin/0000-0002-9810-0418</t>
  </si>
  <si>
    <t>e75760</t>
  </si>
  <si>
    <t>10.2196/75760</t>
  </si>
  <si>
    <t>http://dx.doi.org/10.2196/75760</t>
  </si>
  <si>
    <t>7IK2T</t>
  </si>
  <si>
    <t>40864499</t>
  </si>
  <si>
    <t>WOS:001571762600001</t>
  </si>
  <si>
    <t>Liuzzi, P; Hakiki, B; Draghi, F; De Nisco, A; Romoli, AM; Maccanti, D; Grippo, A; Burali, R; Magliacano, A; Estraneo, A; Comanducci, A; Navarro, J; Tramonti, C; Carli, V; Balbi, P; Macchi, C; Cecchi, F; Mannini, A</t>
  </si>
  <si>
    <t>Background and objective: Our primary aim was to externally validate previously developed machine-learning (ML) models for predicting the probability of tracheostomy decannulation after 3 months from admission to rehabilitation inpatient in patients with severe Acquired Brain Injury (sABI) using a new external and temporallyindependent multicentric prospective dataset. A secondary aim was to evaluate the timing of decannulation and to assess model calibration and clinical net benefit. Methods: External validation data was collected within the PRABI study, comprising 435 sABI patients admitted between January 2020 and April 2024 across four centers. A previously trained ensemble model and a AdaBoost SVR model were used to predict decannulation probability and timing on such external dataset, respectively. Performance was assessed using metrics such as accuracy, Area Under the Receiver Operating Characteristic curve (AUROC), sensitivity, and median absolute error. Results: The external validation dataset included 402 patients. The ensemble model achieved an accuracy of 81.8 % and an AUROC of 0.85 for decannulation probability, with sensitivity and specificity of 76.4 % and 86.2 %, respectively. The AdaBoost SVR model predicted decannulation timing with a median absolute error of 26.2 days and an accuracy of 76.2 % when predictions were dichotomized at the 90-days threshold. Conclusions: This study successfully validated the ML models on an independent dataset, demonstrating their robustness and generalizability. Accurate prediction of decannulation probability and timing is crucial for optimizing the management of sABI patients, reducing infection risks, enhancing recovery, and facilitating smoother transitions to home care. External validation is a critical step for ensuring the reliability of ML models in diverse clinical settings, paving the way for their integration into clinical practice.</t>
  </si>
  <si>
    <t>Liuzzi, Piergiuseppe; Hakiki, Bahia; Draghi, Francesca; De Nisco, Agnese; Romoli, Anna Maria; Maccanti, Daniela; Grippo, Antonello; Burali, Rachele; Magliacano, Alfonso; Estraneo, Anna; Comanducci, Angela; Navarro, Jorge; Tramonti, Caterina; Carli, Valentina; Balbi, Pietro; Macchi, Claudio; Cecchi, Francesca; Mannini, Andrea</t>
  </si>
  <si>
    <t>Hakiki, B (corresponding author), Ctr IRCCS Don Gnocchi, Florence, Italy.</t>
  </si>
  <si>
    <t>badiabahia.hakiki@unifi.it</t>
  </si>
  <si>
    <t>Italian Ministry of Health under the "Ricerca Corrente" program [RF-2021-12375472, 101095654]; The "Ricerca Finalizzata" program thorugh the project "Clinical validatiOn of an AI-based DEcision support system for Robotic upper limb rehabilitation in patients with Stroke. A CO-AIDER Study" [RF-2021-12375472]; EU Horizon Europe Research and Innovation Programme [101095654]; Horizon Europe - Pillar II [101095654] Funding Source: Horizon Europe - Pillar II</t>
  </si>
  <si>
    <t>Italian Ministry of Health under the "Ricerca Corrente" program; The "Ricerca Finalizzata" program thorugh the project "Clinical validatiOn of an AI-based DEcision support system for Robotic upper limb rehabilitation in patients with Stroke. A CO-AIDER Study"; EU Horizon Europe Research and Innovation Programme; Horizon Europe - Pillar II (European Union (EU), Horizon Europe - Pillar II)</t>
  </si>
  <si>
    <t>This study was funded by the Italian Ministry of Health under the "Ricerca Corrente" program; the "Ricerca Finalizzata" program thorugh the project "Clinical validatiOn of an AI-based DEcision support system for Robotic upper limb rehabilitation in patients with Stroke. A CO-AIDER Study" (RF-2021-12375472) and under the frame of Transforming Health and Care Systems, THCS, (NeuroRehab4EU, GA N degrees 101095654 of the EU Horizon Europe Research and Innovation Programme)"</t>
  </si>
  <si>
    <t>[Liuzzi, Piergiuseppe; Hakiki, Bahia; Draghi, Francesca; De Nisco, Agnese; Romoli, Anna Maria; Maccanti, Daniela; Grippo, Antonello; Burali, Rachele; Magliacano, Alfonso; Estraneo, Anna; Macchi, Claudio; Cecchi, Francesca; Mannini, Andrea] IRCCS Fdn Don Carlo Gnocchi ETS, Florence, Italy; [Hakiki, Bahia; Cecchi, Francesca] Univ Firenze, Dipartimento Med Sperimentale &amp; Clin, Florence, Italy; [Comanducci, Angela; Navarro, Jorge] IRCCS Fdn Don Carlo Gnocchi ETS, Milan, Italy; [Tramonti, Caterina; Carli, Valentina; Balbi, Pietro] Fdn Don Carlo Gnocchi ETS, Polo Riabilitat Levante ligure, La Spezia, Italy; [Hakiki, Bahia] Ctr IRCCS Don Gnocchi, Florence, Italy</t>
  </si>
  <si>
    <t>University of Florence</t>
  </si>
  <si>
    <t>Tracheostomy weaning in patients with severe acquired brain injury: External validation of machine learning models</t>
  </si>
  <si>
    <t>COMPUTER METHODS AND PROGRAMS IN BIOMEDICINE</t>
  </si>
  <si>
    <t>Severe acquired brain injury; Tracheostomy; Machine learning; Clinical decision support tools; Disorders of consciousness</t>
  </si>
  <si>
    <t>SCALE</t>
  </si>
  <si>
    <t>Liuzzi, Piergiuseppe/AAD-2038-2022; Cecchi, Francesca/M-8266-2019; Mannini, Andrea/AAU-9901-2020; grippo, antonello/AAP-6926-2020; De Nisco, Agnese/MFI-2063-2025; Magliacano, Alfonso/AAZ-5974-2020</t>
  </si>
  <si>
    <t>0169-2607</t>
  </si>
  <si>
    <t>1872-7565</t>
  </si>
  <si>
    <t>COMPUT METH PROG BIO</t>
  </si>
  <si>
    <t>Comput. Meth. Programs Biomed.</t>
  </si>
  <si>
    <t>AUG 1 2026</t>
  </si>
  <si>
    <t>282</t>
  </si>
  <si>
    <t>109383</t>
  </si>
  <si>
    <t>10.1016/j.cmpb.2026.109383</t>
  </si>
  <si>
    <t>http://dx.doi.org/10.1016/j.cmpb.2026.109383</t>
  </si>
  <si>
    <t>Computer Science, Interdisciplinary Applications; Computer Science, Theory &amp; Methods; Engineering, Biomedical; Medical Informatics</t>
  </si>
  <si>
    <t>Computer Science; Engineering; Medical Informatics</t>
  </si>
  <si>
    <t>HP2GY</t>
  </si>
  <si>
    <t>42054969</t>
  </si>
  <si>
    <t>WOS:001759416400001</t>
  </si>
  <si>
    <t>Liu, YT; Yuan, KX; Zou, LR; Lei, CX; Xu, RC; He, SH; Zhao, YL</t>
  </si>
  <si>
    <t>Moyamoya disease (MMD) is a rare chronic vascular disease leads to cognitive impairment and stroke with its etiology unknown. The relationship between necroptosis or necroinflammation and MMD pathogenesis was poorly understood. Differentially expressed necroinflammation and necroptosis related genes (DE-NiNRGs) were selected based on the public gene expression data from Gene Expression Omnibus (GEO) and validated by our self-test data of MMD patients and control group. Functional enrichment analysis, PPI network and multi-factors regulation network construction of DE-NiNRGs were employed to discover the connections between these genes. DE-NiNRGs and immune cells correlation analysis provided evidence for the relationship between DE-NiNRGs and necroinflammation in MMD patients. We then established an MMD prediction model using support vector machine (SVM) and selected DE-NiNRGs as features. The DE-NiNRGs based MMD prediction model had excellent performance on test set with the area under the curve (AUC) higher than 0.9. Four genes, PTGER3, ANXA1, ID1, and IL1R1, that contributed significantly to the SVM model and passed the test of validation set are key genes in DE-NiNRGs. The upregulation of PTGER3 expression indicated that necroptosis and angiogenesis were promoted in MMD patients, whereas the downregulation of ANXA1 expression indicated that the migration and differentiation of immune cells are closely related to MMD pathogenesis. These findings provided new inspiration for our study of the immune-related pathogenesis and therapeutic targets of MMD.</t>
  </si>
  <si>
    <t>Liu, Yutong; Yuan, Kexin; Zou, Linru; Lei, Chengxu; Xu, Ruichen; He, Shihao; Zhao, Yuanli</t>
  </si>
  <si>
    <t>He, SH; Zhao, YL (corresponding author), Chinese Acad Med Sci, Peking Union Med Coll Hosp, Dept Neurosurg, Peking Union Med Coll, Beijing 100730, Peoples R China.</t>
  </si>
  <si>
    <t>heshihaoo@outlook.com; zhaoyuanli@126.com</t>
  </si>
  <si>
    <t>National High Level Hospital Clinical Research Funding</t>
  </si>
  <si>
    <t>We are deeply grateful to the patients who participated in this study. Their willingness to contribute to research has been invaluable to advancing our understanding of moyamoya disease.</t>
  </si>
  <si>
    <t>[Liu, Yutong; Yuan, Kexin; Zou, Linru; Lei, Chengxu; Xu, Ruichen; He, Shihao; Zhao, Yuanli] Chinese Acad Med Sci, Peking Union Med Coll Hosp, Dept Neurosurg, Peking Union Med Coll, Beijing 100730, Peoples R China</t>
  </si>
  <si>
    <t>Chinese Academy of Medical Sciences - Peking Union Medical College; Peking Union Medical College; Peking Union Medical College Hospital</t>
  </si>
  <si>
    <t>Combining machine learning with external validation to explore necroptosis and immune response in moyamoya disease</t>
  </si>
  <si>
    <t>BMC IMMUNOLOGY</t>
  </si>
  <si>
    <t>Moyamoya disease; Necroptosis; Immune; Machine learning</t>
  </si>
  <si>
    <t>CELL-DEATH; ANNEXIN A1; KINASE</t>
  </si>
  <si>
    <t>Yuan, Kexin/LWJ-6491-2024; he, shihao/HPC-3534-2023</t>
  </si>
  <si>
    <t>he, shihao/0000-0002-2522-8656</t>
  </si>
  <si>
    <t>1471-2172</t>
  </si>
  <si>
    <t>BMC IMMUNOL</t>
  </si>
  <si>
    <t>BMC Immunol.</t>
  </si>
  <si>
    <t>FEB 13 2025</t>
  </si>
  <si>
    <t>10.1186/s12865-025-00686-8</t>
  </si>
  <si>
    <t>http://dx.doi.org/10.1186/s12865-025-00686-8</t>
  </si>
  <si>
    <t>Immunology</t>
  </si>
  <si>
    <t>W7F8D</t>
  </si>
  <si>
    <t>39948449</t>
  </si>
  <si>
    <t>WOS:001420194300001</t>
  </si>
  <si>
    <t>Coyle-Asbil, HJ; Burk, L; Brandes, M; Brandes, B; Buck, C; Wright, MN; Vallis, LA</t>
  </si>
  <si>
    <t>Objective. This study aimed to develop convolutional neural networks (CNNs) models to predict the energy expenditure (EE) of children from raw accelerometer data. Additionally, this study sought to external validation of the CNN models in addition to the linear regression (LM), random forest (RF), and full connected neural network (FcNN) models published in Steenbock et al (2019 J. Meas. Phys. Behav. 2 94-102). Approach. Included in this study were 41 German children (3.0-6.99 years) for the training and internal validation who were equipped with GENEActiv, GT3X+, and activPAL accelerometers. The external validation dataset consisted of 39 Canadian children (3.0-5.99 years) that were equipped with OPAL, GT9X, GENEActiv, and GT3X+ accelerometers. EE was recorded simultaneously in both datasets using a portable metabolic unit. The protocols consisted of a semi-structured activities ranging from low to high intensities. The root mean square error (RMSE) values were calculated and used to evaluate model performances. Main results. (1) The CNNs outperformed the LM (13.17%-23.81% lower mean RMSE values), FcNN (8.13%-27.27% lower RMSE values) and the RF models (3.59%-18.84% lower RMSE values) in the internal dataset. (2) In contrast, it was found that when applied to the external Canadian dataset, the CNN models had consistently higher RMSE values compared to the LM, FcNN, and RF. Significance. Although CNNs can enhance EE prediction accuracy, their ability to generalize to new datasets and accelerometer brands/models, is more limited compared to LM, RF, and FcNN models.</t>
  </si>
  <si>
    <t>Coyle-Asbil, Hannah J.; Burk, Lukas; Brandes, Mirko; Brandes, Berit; Buck, Christoph; Wright, Marvin N.; Vallis, Lori Ann</t>
  </si>
  <si>
    <t>Vallis, LA (corresponding author), Univ Guelph, Dept Human Hlth &amp; Nutr Sci, Guelph, ON, Canada.</t>
  </si>
  <si>
    <t>lvallis@uoguelph.ca</t>
  </si>
  <si>
    <t>Deutsche Forschungsgemeinschafthttp://dx.doi.org/10.13039/501100001659; Leibniz Institute for Prevention Research and Epidemiology (BIPS); Natural Sciences and Engineering Research Council of Canada Postgraduate Doctoral Scholarship</t>
  </si>
  <si>
    <t>Deutsche Forschungsgemeinschafthttp://dx.doi.org/10.13039/501100001659; Leibniz Institute for Prevention Research and Epidemiology (BIPS); Natural Sciences and Engineering Research Council of Canada Postgraduate Doctoral Scholarship (Natural Sciences and Engineering Research Council of Canada (NSERC))</t>
  </si>
  <si>
    <t>We would like to thank parents and their children for their support and participation, Drs David WL Ma, Jess Haines, Jamie Burr, and Janessa Drake for generously lending equipment critical to this study, students in the Gait Biomechanics and Human Performance Labs at the University of Guelph for assistance with data collections, and Dr Morrongiello, Angela Annis and Maddy Nixon for their support in recruitment efforts. This work was supported by an internal innovations grant of the Leibniz Institute for Prevention Research and Epidemiology (BIPS), and Natural Sciences and Engineering Research Council of Canada Postgraduate Doctoral Scholarship.</t>
  </si>
  <si>
    <t>[Coyle-Asbil, Hannah J.; Vallis, Lori Ann] Univ Guelph, Dept Human Hlth &amp; Nutr Sci, Guelph, ON, Canada; [Coyle-Asbil, Hannah J.; Burk, Lukas; Brandes, Mirko; Brandes, Berit; Buck, Christoph; Wright, Marvin N.] Leibniz Inst Prevent Res &amp; Epidemiol BIPS, Bremen, Germany; [Coyle-Asbil, Hannah J.; Burk, Lukas; Wright, Marvin N.] Univ Bremen, Fac Math &amp; Comp Sci, Bremen, Germany; [Burk, Lukas] Ludwig Maximilians Univ Munchen, Dept Stat, Munich, Germany; [Burk, Lukas] Munich Ctr Machine Learning, Munich, Germany; [Wright, Marvin N.] Univ Copenhagen, Dept Publ Hlth, Copenhagen, Denmark</t>
  </si>
  <si>
    <t>University of Guelph; Leibniz Association; Leibniz Institute for Prevention Research &amp; Epidemiology (BIPS); University of Bremen; University of Munich; University of Copenhagen</t>
  </si>
  <si>
    <t>Energy expenditure prediction in preschool children: a machine learning approach using accelerometry and external validation</t>
  </si>
  <si>
    <t>PHYSIOLOGICAL MEASUREMENT</t>
  </si>
  <si>
    <t>energy expenditure; accelerometers; children; machine learning; validation</t>
  </si>
  <si>
    <t>PHYSICAL-ACTIVITY; OXYGEN-UPTAKE; CALIBRATION; EXERCISE; MONITORS</t>
  </si>
  <si>
    <t>Burk, Lukas/ACB-4594-2022; Brandes, Berit/AAC-9701-2019</t>
  </si>
  <si>
    <t>Coyle-Asbil, Hannah/0000-0002-6138-1463; Burk, Lukas/0000-0001-7528-3795; Wright, Marvin N/0000-0002-8542-6291</t>
  </si>
  <si>
    <t>IOP Publishing Ltd</t>
  </si>
  <si>
    <t>Bristol</t>
  </si>
  <si>
    <t>No.2 The Distillery, Glassfields, Avon Street, Bristol, ENGLAND</t>
  </si>
  <si>
    <t>0967-3334</t>
  </si>
  <si>
    <t>1361-6579</t>
  </si>
  <si>
    <t>PHYSIOL MEAS</t>
  </si>
  <si>
    <t>Physiol. Meas.</t>
  </si>
  <si>
    <t>SEP 1 2024</t>
  </si>
  <si>
    <t>095015</t>
  </si>
  <si>
    <t>10.1088/1361-6579/ad7ad2</t>
  </si>
  <si>
    <t>http://dx.doi.org/10.1088/1361-6579/ad7ad2</t>
  </si>
  <si>
    <t>Biophysics; Engineering, Biomedical; Physiology</t>
  </si>
  <si>
    <t>Biophysics; Engineering; Physiology</t>
  </si>
  <si>
    <t>H2A6N</t>
  </si>
  <si>
    <t>39270714</t>
  </si>
  <si>
    <t>WOS:001321520600001</t>
  </si>
  <si>
    <t>Chiang, DH; Cong, T; Jiang, ZY; Yu-Shan, OY; Lin, YY</t>
  </si>
  <si>
    <t>Background Early prediction model of hemodynamic instability has the potential to improve the critical care, whereas limited external validation on the generalizability. We aimed to independently validate the Hemodynamic Stability Index (HSI), a multi-parameter machine learning model, in predicting hemodynamic instability in Asian patients. Method Hemodynamic instability was marked by using inotropic, vasopressor, significant fluid therapy, and/or blood transfusions. This retrospective study included among 15,967 ICU patients who aged 20 years or older (not included 20 years) and stayed in ICU for more than 6 h admitted to Taipei Veteran General Hospital (TPEVGH) between January 1, 2010, and March 31, 2020, of whom hemodynamic instability occurred in 3053 patients (prevalence = 19%). These patients in unstable group received at least one intervention during their ICU stays, and the HSI score of both stable and unstable group was calculated in every hour before intervention. The model performance was assessed using the area under the receiver operating characteristic curve (AUROC) and was compared to single indicators like systolic blood pressure (SBP) and shock index. The hemodynamic instability alarm was set by selecting optimal threshold with high sensitivity, acceptable specificity, and lead time before intervention was calculated to indicate when patients were firstly identified as high risk of hemodynamic instability. Results The AUROC of HSI was 0.76 (95% CI, 0.75-0.77), which performed significantly better than shock Index (0.7; 95% CI, 0.69-0.71) and SBP (0.69; 95% CI, 0.68-0.70). By selecting 0.7 as a threshold, HSI predicted 72% of all 3053 patients who received hemodynamic interventions with 67% in specificity. Time-varying results also showed that HSI score significantly outperformed single indicators even up to 24 h before intervention. And 95% unstable patients can be identified more than 5 h in advance. Conclusions The HSI has acceptable discrimination but underestimates the risk of stable patients in predicting the onset of hemodynamic instability in an external cohort.</t>
  </si>
  <si>
    <t>Dung-Hung, Chiang; Cong, Tian; Zeyu, Jiang; Yu-Shan, Ou-Yang; Yung-Yan, Lin</t>
  </si>
  <si>
    <t>Lin, YY (corresponding author), Taipei Vet Gen Hosp, Dept Crit Care Med, 201,Sect 2,Shih Pai Rd, Taipei 11217, Taiwan.</t>
  </si>
  <si>
    <t>yylin@vghtpe.gov.tw</t>
  </si>
  <si>
    <t>[Dung-Hung, Chiang; Yu-Shan, Ou-Yang; Yung-Yan, Lin] Taipei Vet Gen Hosp, Dept Crit Care Med, 201,Sect 2,Shih Pai Rd, Taipei 11217, Taiwan; [Dung-Hung, Chiang] Natl Yang Ming Chiao Tung Univ, Sch Med, Taipei, Taiwan; [Cong, Tian; Zeyu, Jiang] Philips Res China, Shanghai 200072, Peoples R China</t>
  </si>
  <si>
    <t>Taipei Veterans General Hospital; National Yang Ming Chiao Tung University; Philips; Philips Research</t>
  </si>
  <si>
    <t>External validation of a machine learning model to predict hemodynamic instability in intensive care unit</t>
  </si>
  <si>
    <t>CRITICAL CARE</t>
  </si>
  <si>
    <t>Hemodynamic Stability Index; Early prediction model; Machine learning; Clinical decision support; External validation</t>
  </si>
  <si>
    <t>CLASSIFICATION; SHOCK</t>
  </si>
  <si>
    <t>Jiang, Zeyu/KLY-3619-2024</t>
  </si>
  <si>
    <t>1364-8535</t>
  </si>
  <si>
    <t>1466-609X</t>
  </si>
  <si>
    <t>CRIT CARE</t>
  </si>
  <si>
    <t>Crit. Care</t>
  </si>
  <si>
    <t>JUL 14 2022</t>
  </si>
  <si>
    <t>215</t>
  </si>
  <si>
    <t>10.1186/s13054-022-04088-9</t>
  </si>
  <si>
    <t>http://dx.doi.org/10.1186/s13054-022-04088-9</t>
  </si>
  <si>
    <t>Critical Care Medicine</t>
  </si>
  <si>
    <t>2X7TG</t>
  </si>
  <si>
    <t>35836294</t>
  </si>
  <si>
    <t>WOS:000825401500001</t>
  </si>
  <si>
    <t>Braun, SE; Sinik, LM; Meyer, AM; Larson, KE; Butterworth, JA</t>
  </si>
  <si>
    <t>ImportanceNecrosis of the nipple-areolar complex (NAC) is the Achilles heel of nipple-sparing mastectomy (NSM), and it can be difficult to assess which patients are at risk of this complication (Ann Surg Oncol 2014;21(1):100-106).ObjectiveTo develop and validate a model that accurately predicts NAC necrosis in a prospective cohort.DesignData were collected from a retrospectively reviewed cohort of patients who underwent NSM and immediate breast reconstruction between January 2015 and July 2019 at our institution, a high -volume, tertiary academic center. Preoperative clinical characteristics, operative variables, and postoperative complications were collected and linked to NAC outcomes. These results were utilized to train a random-forest classification model to predict necrosis. Our model was then validated in a prospective cohort of patients undergoing NSM with immediate breast reconstruction between June 2020 and June 2021.ResultsModel predictions of NAC necrosis in the prospective cohort achieved an accuracy of 97% (95% confidence interval [CI], 0.89-0.99; P = 0.009). This was consistent with the accuracy of predictions in the retrospective cohort (0.97; 95% CI, 0.95-0.99). A high degree of specificity (0.98; 95% CI, 0.90-1.0) and negative predictive value (0.98; 95% CI, 0.90-1.0) were also achieved prospectively. Implant weight was the most predictive of increased risk, with weights greater than 400 g most strongly associated with NAC ischemia.Conclusions and RelevanceOur machine learning model prospectively predicted cases of NAC necrosis with a high degree of accuracy. An important predictor was implant weight, a modifiable risk factor that could be adjusted to mitigate the risk of NAC necrosis and associated postoperative complications.</t>
  </si>
  <si>
    <t>Braun, Sterling E.; Sinik, Lauren M.; Meyer, Anne M.; Larson, Kelsey E.; Butterworth, James A.</t>
  </si>
  <si>
    <t>Braun, SE (corresponding author), Univ Kansas, Dept Plast Burn &amp; Wound Surg, Med Ctr, 4000 Cambridge St,MS 3015, Kansas City, KS 66160 USA.</t>
  </si>
  <si>
    <t>klarson6@kumc.edu; jbutterworth@kumc.edu; sbraun2@kumc.edu; ameyer20@kumc.edu; lsinik@kumc.edu</t>
  </si>
  <si>
    <t>[Braun, Sterling E.; Sinik, Lauren M.; Meyer, Anne M.; Butterworth, James A.] Univ Kansas, Dept Plast Burn &amp; Wound Surg, Med Ctr, 4000 Cambridge St,MS 3015, Kansas City, KS 66160 USA; [Larson, Kelsey E.] Univ Kansas, Gen Surg, Med Ctr, Kansas City, KS 66160 USA</t>
  </si>
  <si>
    <t>Predicting Complications in Breast Reconstruction Development and Prospective Validation of a Machine Learning Model</t>
  </si>
  <si>
    <t>ANNALS OF PLASTIC SURGERY</t>
  </si>
  <si>
    <t>breast reconstruction; immediate breast reconstruction; nipple-areolar complex necrosis; nipple-sparing mastectomy; oncologic mastectomy; risk reducing mastectomy</t>
  </si>
  <si>
    <t>NIPPLE-SPARING MASTECTOMY; OUTCOMES; SAFETY</t>
  </si>
  <si>
    <t>Braun, Sterling/AAN-8900-2021; Larson, Kelsey/GVS-3105-2022</t>
  </si>
  <si>
    <t>0148-7043</t>
  </si>
  <si>
    <t>1536-3708</t>
  </si>
  <si>
    <t>ANN PLAS SURG</t>
  </si>
  <si>
    <t>Ann. Plast. Surg.</t>
  </si>
  <si>
    <t>AUG 2023</t>
  </si>
  <si>
    <t>91</t>
  </si>
  <si>
    <t>286</t>
  </si>
  <si>
    <t>10.1097/SAP.0000000000003621</t>
  </si>
  <si>
    <t>http://dx.doi.org/10.1097/SAP.0000000000003621</t>
  </si>
  <si>
    <t>N3PT3</t>
  </si>
  <si>
    <t>37489971</t>
  </si>
  <si>
    <t>WOS:001036179200015</t>
  </si>
  <si>
    <t>Grand, Z; Brutti, J; Greer, K; Mirharooni, J; McDaid, A; Lawrie, CM</t>
  </si>
  <si>
    <t>Background The increasing burden of clinical documentation contributes to physician inefficiency and burnout, with electronic health record implementation significantly increasing documentation time from 16% to 28% of clinical time. While human medical scribes have shown benefits, artificial intelligence (AI) scribes represent a promising solution. This study evaluated the impact of AI scribe technology on clinical encounter duration and physician workload in a high-volume hip and knee arthroplasty clinic. Methods This prospective quality-improvement cohort study was conducted by a single surgeon at one institution from November 2024 to February 2025. Hip and knee arthroplasty patients were divided into 2 cohorts: a control group using traditional physician and medical assistant documentation within the electronic medical record and an intervention group using AI-powered clinical documentation. Clinical encounter duration was assessed by 3 independent reviewers using direct observation and stopwatch timing. The National Aeronautics and Space Administration Task Load Index (NASA-TLX) was completed after each clinic day to quantify subjective physician workload across 6 domains on a 20-point scale. Results A total of 112 patient encounters were analyzed: 55 with AI scribes and 57 with traditional documentation. Encounter time was significantly shorter in the AI group, with a mean of 12.03 minutes (range, 4.01-22.13) compared to 15.06 minutes (range, 6.20-32.27) for traditional documentation (P &lt; .001). Overall, physician workload measured by NASA-TLX was lower with AI assistance, with a mean total score of 30.0 (range, 26-40) vs 40.2 (range, 11-73) for traditional documentation (P = .485). The AI group showed consistently lower mean scores across all NASA-TLX subdomains, including temporal demand (5.8 vs 10.4), effort (6.8 vs 10.0), and frustration (3.4 vs 5.4). Conclusions AI scribe implementation significantly reduced clinical encounter duration by approximately 20% and demonstrated promising improvements in physician workload metrics.(c) 2026 The Author(s). Published by Elsevier Inc. on behalf of American Association of Hip and Knee Surgeons. This is an open access article under the CC BY-NC-ND license (http://creativecommons.org/ licenses/by-nc-nd/4.0/).</t>
  </si>
  <si>
    <t>Grand, Zachary; Brutti, Jonathan; Greer, Klaudia; Mirharooni, Jason; McDaid, Andrew; Lawrie, Charles M.</t>
  </si>
  <si>
    <t>Grand, Z (corresponding author), Florida Int Univ, Herbert Wertheim Coll Med, 11200 SE 8th St, Miami, FL 33199 USA.</t>
  </si>
  <si>
    <t>[Grand, Zachary; Brutti, Jonathan; Greer, Klaudia; Mirharooni, Jason] Florida Int Univ, Herbert Wertheim Coll Med, 11200 SE 8th St, Miami, FL 33199 USA; [McDaid, Andrew] Univ Auckland, Dept Mech Engn, Auckland, New Zealand; [Lawrie, Charles M.] Baptist Hlth Orthoped Inst, Coral Gables, FL USA</t>
  </si>
  <si>
    <t>State University System of Florida; Florida International University; University of Auckland</t>
  </si>
  <si>
    <t>Optimizing Hip and Knee Arthroplasty Clinic Flow: A Prospective Evaluation of Artificial Intelligence Scribe Technology</t>
  </si>
  <si>
    <t>ARTHROPLASTY TODAY</t>
  </si>
  <si>
    <t>Artificial intelligence; Medical scribes; Clinical documentation; Arthroplasty; Physician workload; Electronic health records</t>
  </si>
  <si>
    <t>BURDEN</t>
  </si>
  <si>
    <t>Lawrie, Charles/JLL-2860-2023</t>
  </si>
  <si>
    <t>2352-3441</t>
  </si>
  <si>
    <t>ARTHROPLAST TODAY</t>
  </si>
  <si>
    <t>Arthroplast. Today</t>
  </si>
  <si>
    <t>102095</t>
  </si>
  <si>
    <t>10.1016/j.artd.2026.102095</t>
  </si>
  <si>
    <t>http://dx.doi.org/10.1016/j.artd.2026.102095</t>
  </si>
  <si>
    <t>Orthopedics</t>
  </si>
  <si>
    <t>LY1YK</t>
  </si>
  <si>
    <t>WOS:001836034400001</t>
  </si>
  <si>
    <t>Kafetzis, I; Sodmann, P; Herghelegiu, BE; Brand, M; Zoller, WG; Seyfried, F; Fuchs, KH; Meining, A; Hann, A</t>
  </si>
  <si>
    <t>Background Assessment of the gastroesophageal junction (GEJ) is an integral part of gastroscopy; however, the absence of standardized reporting hinders consistency of examination documentation. The Hill classification offers a standardized approach for evaluating the GEJ. This study aims to compare the accuracy of an artificial intelligence (AI) system with that of physicians in classifying the GEJ according to Hill in a prospective, blinded, superiority trial. Methods Consecutive patients scheduled for gastroscopy with an intact GEJ were recruited during clinical routine from October 2023 to December 2023. Nine physicians (six experienced, three inexperienced) assessed the Hill grade, and the AI system operated in the background in real-time. The gold standard was determined by a majority vote of independent assessments by three expert endoscopists who did not participate in the study. The primary outcome was accuracy. Secondary outcomes were per-Hill grade analysis and result comparison for experienced and inexperienced endoscopists separately. ResultsIn 131 analysed examinations the AI's accuracy of 84.7% (95% CI: 78.6-90.8) was significantly higher than 62.5% (95% CI: 54.2-71) of physicians (p &lt; 0.01). The AI outperformed physicians in all but one cases in the per-Hill-class analysis. AI was significantly more accurate than inexperienced physicians (85% vs. 56%, p &lt; 0.01) and in trend better than experienced physicians (84% vs. 69.6%, p = 0.07). Conclusions AI was significantly more accurate than examiners in assessing the Hill classification. This superior model performance can prove beneficial for endoscopists, especially those with limited experience.</t>
  </si>
  <si>
    <t>Kafetzis, Ioannis; Sodmann, Philipp; Herghelegiu, Bianca-Elena; Brand, Markus; Zoller, Wolfram G.; Seyfried, Florian; Fuchs, Karl-Hermann; Meining, Alexander; Hann, Alexander</t>
  </si>
  <si>
    <t>Hann, A (corresponding author), Univ Hosp Wurzburg, Dept Internal Med 2, Intervent &amp; Expt Endoscopy InExEn, Wurzburg, Germany.</t>
  </si>
  <si>
    <t>Hann_A@ukw.de</t>
  </si>
  <si>
    <t>Deutsche Forschungsgemeinschaft; Eva Mayr-Stihl Foundation [SE 2027/5-1]; German research foundation (DFG)</t>
  </si>
  <si>
    <t>Deutsche Forschungsgemeinschaft (German Research Foundation (DFG)); Eva Mayr-Stihl Foundation; German research foundation (DFG) (German Research Foundation (DFG))</t>
  </si>
  <si>
    <t>Alexander Hann and Wolfram G. Zoller received public funding for this work from the Eva Mayr-Stihl Foundation, Waiblingen, Germany. Florian Seyfried is supported by the German research foundation (DFG, SE 2027/5-1). Open Access funding enabled and organized by Projekt DEAL.</t>
  </si>
  <si>
    <t>[Kafetzis, Ioannis; Sodmann, Philipp; Herghelegiu, Bianca-Elena; Brand, Markus; Fuchs, Karl-Hermann; Meining, Alexander; Hann, Alexander] Univ Hosp Wurzburg, Dept Internal Med 2, Intervent &amp; Expt Endoscopy InExEn, Wurzburg, Germany; [Zoller, Wolfram G.] Katharinenhospital, Dept Internal Med &amp; Gastroenterol, Stuttgart, Germany; [Seyfried, Florian] Univ Hosp Wurzburg, Ctr Operat Med ZOM, Dept Gen Visceral Transplantat Vasc &amp; Pediat Surg, Wurzburg, Germany</t>
  </si>
  <si>
    <t>University of Wurzburg; University of Stuttgart; University Stuttgart Hospital; University of Wurzburg</t>
  </si>
  <si>
    <t>Prospective Evaluation of Real-Time Artificial Intelligence for the Hill Classification of the Gastroesophageal Junction</t>
  </si>
  <si>
    <t>UNITED EUROPEAN GASTROENTEROLOGY JOURNAL</t>
  </si>
  <si>
    <t>accuracy; AI; ConvNext; deep learning; EndoMind; esophagogastroduodenoscopy; gastroscopy; GEJ</t>
  </si>
  <si>
    <t>UPPER GASTROINTESTINAL ENDOSCOPY; HIATAL-HERNIA; FLAP VALVE; SOCIETY; LENGTH</t>
  </si>
  <si>
    <t>Kafetzis, Ioannis/PKF-8799-2026; Hann, Alexander/KIL-0119-2024</t>
  </si>
  <si>
    <t>Sodmann, Philipp/0000-0002-5598-8533; Fuchs, Karl-Hermann/0000-0002-3951-7133; Meining, Alexander/0009-0001-3773-138X; Hann, Alexander/0000-0001-8035-3559; Babajonov, Akhmadjon/0000-0001-8921-0028</t>
  </si>
  <si>
    <t>JOHN WILEY &amp; SONS LTD</t>
  </si>
  <si>
    <t>CHICHESTER</t>
  </si>
  <si>
    <t>THE ATRIUM, SOUTHERN GATE, CHICHESTER PO19 8SQ, W SUSSEX, ENGLAND</t>
  </si>
  <si>
    <t>2050-6406</t>
  </si>
  <si>
    <t>2050-6414</t>
  </si>
  <si>
    <t>UNITED EUR GASTROENT</t>
  </si>
  <si>
    <t>United European Gastroenterol. J.</t>
  </si>
  <si>
    <t>MAR 2025</t>
  </si>
  <si>
    <t>240</t>
  </si>
  <si>
    <t>246</t>
  </si>
  <si>
    <t>10.1002/ueg2.12721</t>
  </si>
  <si>
    <t>http://dx.doi.org/10.1002/ueg2.12721</t>
  </si>
  <si>
    <t>1DG8G</t>
  </si>
  <si>
    <t>39668544</t>
  </si>
  <si>
    <t>WOS:001376827400001</t>
  </si>
  <si>
    <t>Lui, TKL; Lam, CPM; Tsui, VWM; Hui, RWH; To, EWP; Mak, LLY; Ko, MKL; Liu, KSH; Hui, CKY; Liu, JJ; Xiao, X; Leung, WK</t>
  </si>
  <si>
    <t>Background/Aims: Standard withdrawal time (SWT) is a recognized colonoscopy quality metric but may not capture mucosal examination quality. We developed an artificial intelligence (AI)-derived metric, effective withdrawal time (EWT), to quantify clear mucosal visualization. This study prospectively evaluated EWT versus SWT on adenoma detection rate (ADR) and other metrics. Methods: In this prospective single-center study, patients undergoing colonoscopy were enrolled. EWT was calculated in real-time using an AI system with endoscopists blinded to results. Multivariable analyses assessed the association of EWT and SWT with binary (e.g., ADR) and count outcomes (e.g., adenoma or polyp per colonoscopy [APC or PPC]), adjusting for patient and procedural characteristics. Results: We analyzed 193 colonoscopies by 16 endoscopists. After adjustment, each 1-minute EWT increase was associated with higher odds of adenoma detection (ADR: odds ratio [OR], 1.38; 95% confidence interval [CI], 1.15-1.67) and a &gt; 2-fold increase in adenomas detected per procedure (APC: incidence rate ratio [IRR], 2.14; 95% CI, 1.97-2.32). Both parameters were significantly better with EWT than SWT (OR, 1.38 vs. 1.06; P&lt; 0.01 for ADR; IRR, 2.14 vs. 1.15; P= 0.02 for APC). EWT demonstrated stronger correlation with APC (R-2= 0.97) and PPC (R-2= 0.96) than SWT (R2= 0.67 and 0.68, respectively; P&lt; 0.01). Conclusions: AI-derived EWT is a novel quality indicator reflecting mucosal examination thoroughness, serving as a stronger, more independent predictor of ADR than SWT. (Clinical Trials.gov identifier: NCT06063720) (Intest Res, Published online )</t>
  </si>
  <si>
    <t>Lui, Thomas Ka Luen; Lam, Carla Pui-Mei; Tsui, Vivien Wai-Man; Hui, Rex Wan-Hin; To, Elvis Wai-Pan; Mak, Loey Lung-Yi; Ko, Michael Kwan-Lung; Liu, Kevin Sze-Hang; Hui, Cynthia Ka-Yin; Liu, Jing Jia; Xiao, Xiao; Leung, Wai K.</t>
  </si>
  <si>
    <t>Leung, WK (corresponding author), Queen Mary Hosp, 4-F,Professorial Block,102 Pokfulam Rd, Hong Kong, Peoples R China.</t>
  </si>
  <si>
    <t>waikleung@hku.hk</t>
  </si>
  <si>
    <t>[Lui, Thomas Ka Luen; Lam, Carla Pui-Mei; Tsui, Vivien Wai-Man; Hui, Rex Wan-Hin; To, Elvis Wai-Pan; Mak, Loey Lung-Yi; Ko, Michael Kwan-Lung; Liu, Kevin Sze-Hang; Hui, Cynthia Ka-Yin; Leung, Wai K.] Univ Hong Kong, Queen Mary Hosp, Dept Med, Hong Kong, Peoples R China; [Liu, Jing Jia; Xiao, Xiao] Wision AI, Shanghai, Peoples R China</t>
  </si>
  <si>
    <t>University of Hong Kong</t>
  </si>
  <si>
    <t>Prospective evaluation of artificial intelligence-assisted monitoring of the effective withdrawal time on adenoma detection</t>
  </si>
  <si>
    <t>INTESTINAL RESEARCH</t>
  </si>
  <si>
    <t>Colonic adenoma; Effective withdrawal time; Artificial intelligence; Colonoscopy</t>
  </si>
  <si>
    <t>COLONOSCOPY</t>
  </si>
  <si>
    <t>Mak, Lung Yi (Loey)/ABB-1599-2020</t>
  </si>
  <si>
    <t>KOREAN ASSOC STUDY INTESTINAL DISEASES</t>
  </si>
  <si>
    <t>LOTTEGOLDROSE 2-F, RM 305, 890-59, DAECHI-DONG, GANGNAM-GU, SEOUL, 135-280, SOUTH KOREA</t>
  </si>
  <si>
    <t>1598-9100</t>
  </si>
  <si>
    <t>INTEST RES</t>
  </si>
  <si>
    <t>Intest. Res.</t>
  </si>
  <si>
    <t>10.5217/ir.2025.00262</t>
  </si>
  <si>
    <t>http://dx.doi.org/10.5217/ir.2025.00262</t>
  </si>
  <si>
    <t>FJ4IM</t>
  </si>
  <si>
    <t>41844373</t>
  </si>
  <si>
    <t>WOS:001720185200001</t>
  </si>
  <si>
    <t>Tran, A; Lassalle, L; Zille, P; Guillin, R; Pluot, E; Adam, C; Charachon, M; Brat, H; Wallaert, M; D'Assignies, G; Rizk, B</t>
  </si>
  <si>
    <t>Objectives To develop a deep-learning algorithm for anterior cruciate ligament (ACL) tear detection and to compare its accuracy using two external datasets. Methods A database of 19,765 knee MRI scans (17,738 patients) issued from different manufacturers and magnetic fields was used to build a deep learning-based ACL tear detector. Fifteen percent showed partial or complete ACL rupture. Coronal and sagittal fat-suppressed proton density or T2-weighted sequences were used. A Natural Language Processing algorithm was used to automatically label reports associated with each MRI exam. We compared the accuracy of our model on two publicly available external datasets: MRNet, Bien et al, USA (PLoS Med 15:e1002699, 2018); and KneeMRI, Stajduhar et al, Croatia (Comput Methods Prog Biomed 140:151-164, 2017). Receptor operating characteristics (ROC) curves, area under the curve (AUC), sensitivity, specificity, and accuracy were used to evaluate our model. Results Our neural networks achieved an AUC value of 0.939 for detection of ACL tears, with a sensitivity of 87% (0.875) and a specificity of 91% (0.908). After retraining our model on Bien dataset and Stajduhar dataset, our algorithm achieved AUC of 0.962 (95% CI 0.930-0.988) and 0.922 (95% CI 0.875, 0.962) respectively. Sensitivity, specificity, and accuracy were respectively 85% (95% CI 75-94%, 0.852), 89% (95% CI 82-97%, 0.894), 0.875 (95% CI 0.817-0.933) for Bien dataset, and 68% (95% CI 54-81%, 0.681), 93% (95% CI 89-97%, 0.934), and 0.870 (95% CI 0.821-0.913) for Stajduhar dataset. Conclusion Our algorithm showed high performance in the detection of ACL tears with AUC on two external datasets, demonstrating its generalizability on different manufacturers and populations. This study shows the performance of an algorithm for detecting anterior cruciate ligament tears with an external validation on populations from countries and continents different from the study population.</t>
  </si>
  <si>
    <t>Tran, Alexia; Lassalle, Louis; Zille, Pascal; Guillin, Raphael; Pluot, Etienne; Adam, Chloe; Charachon, Martin; Brat, Hugues; Wallaert, Maxence; D'Assignies, Gaspard; Rizk, Benoit</t>
  </si>
  <si>
    <t>Tran, A (corresponding author), Univ Paris, Hop Europeen Georges Pompidou, AP HP, Dept Radiol, 20 Rue Leblanc, F-75015 Paris, France.</t>
  </si>
  <si>
    <t>tranalexia@yahoo.com</t>
  </si>
  <si>
    <t>[Tran, Alexia] Univ Paris, Hop Europeen Georges Pompidou, AP HP, Dept Radiol, 20 Rue Leblanc, F-75015 Paris, France; [Lassalle, Louis] Reseau Imagerie Sud Francilien, Evry, France; [Zille, Pascal; Adam, Chloe; Charachon, Martin; Wallaert, Maxence; D'Assignies, Gaspard] Incepto Med, Paris, France; [Guillin, Raphael] Ctr Hosp Univ Rennes, Dept Radiol, Rennes, France; [Pluot, Etienne] Univ Paris, Hop Cochin, AP HP, Radiol B,Dept Radiol, Paris, France; [Brat, Hugues; Rizk, Benoit] Inst Radiol Sion, Grp 3R, Sion, Switzerland; [D'Assignies, Gaspard] Ctr Hosp Dept Vendee, Dept Radiol, La Roche Sur Yon, France</t>
  </si>
  <si>
    <t>Assistance Publique Hopitaux Paris (APHP); Hopital Universitaire Europeen Georges-Pompidou - APHP; Universite Paris Cite; Hopital Universitaire Europeen Georges-Pompidou - APHP; CHU Rennes; Universite de Rennes; Assistance Publique Hopitaux Paris (APHP); Hopital Universitaire Cochin - APHP; Universite Paris Cite; Hopital Universitaire Cochin - APHP; CHD Vendee</t>
  </si>
  <si>
    <t>Deep learning to detect anterior cruciate ligament tear on knee MRI: multi-continental external validation</t>
  </si>
  <si>
    <t>Deep learning; Knee injuries; Magnetic resonance imaging; Artificial intelligence</t>
  </si>
  <si>
    <t>DIAGNOSIS; ACCURACY</t>
  </si>
  <si>
    <t>Tran, Alexia/0000-0003-3416-6749; Brat, Hugues/0000-0001-9708-5511</t>
  </si>
  <si>
    <t>61</t>
  </si>
  <si>
    <t>DEC 2022</t>
  </si>
  <si>
    <t>8394</t>
  </si>
  <si>
    <t>8403</t>
  </si>
  <si>
    <t>10.1007/s00330-022-08923-z</t>
  </si>
  <si>
    <t>http://dx.doi.org/10.1007/s00330-022-08923-z</t>
  </si>
  <si>
    <t>6N8SQ</t>
  </si>
  <si>
    <t>35726103</t>
  </si>
  <si>
    <t>WOS:000813592100005</t>
  </si>
  <si>
    <t>Asamoto, T; Takegami, Y; Sato, Y; Takahara, S; Yamamoto, N; Inagaki, N; Maki, S; Saito, M; Imagama, S</t>
  </si>
  <si>
    <t>We developed a new model for predicting bone mineral density on chest radiographs and externally validated it using images captured at facilities other than the development environment. The model performed well and showed potential for clinical use. Purpose In this study, we performed external validation (EV) of a developed deep learning model for predicting bone mineral density (BMD) of femoral neck on chest radiographs to verify the usefulness of this model in clinical practice. Methods This study included patients who visited any of the collaborating facilities from 2010 to 2020 and underwent chest radiography and dual-energy X-ray absorptiometry (DXA) at the femoral neck in the year before and after their visit. A total of 50,114 chest radiographs were obtained, and BMD was measured using DXA. We developed the model with 47,150 images from 17 facilities and performed EV with 2914 images from three other facilities (EV dataset). We trained the deep learning model via ensemble learning based on chest radiographs, age, and sex to predict BMD using regression. The outcomes were the correlation of the predicted BMD and measured BMD with diagnoses of osteoporosis and osteopenia using the T-score estimated from the predicted BMD. Results The mean BMD was 0.64 +/- 0.14 g/cm(2) in the EV dataset. The BMD predicted by the model averaged 0.61 +/- 0.08 g/cm(2), with a correlation coefficient of 0.68 (p&lt;0.01) when compared with the BMD measured using DXA. The accuracy, sensitivity, and specificity of the model were 79.0%, 96.6%, and 34.1% for T-score &lt; -1 and 79.7%, 77.1%, and 80.4% for T-score &lt;= -2.5, respectively. Conclusion Our model, which was externally validated using data obtained at facilities other than the development environment, predicted BMD of femoral neck on chest radiographs. The model performed well and showed potential for clinical use.</t>
  </si>
  <si>
    <t>Asamoto, Takamune; Takegami, Yasuhiko; Sato, Yoichi; Takahara, Shunsuke; Yamamoto, Norio; Inagaki, Naoya; Maki, Satoshi; Saito, Mitsuru; Imagama, Shiro</t>
  </si>
  <si>
    <t>Takegami, Y (corresponding author), Nagoya Univ, Dept Orthopaed Surg, Grad Sch Med, Showa Ward, 65 Tsurumai-cho,Showa-ku, Nagoya, Aichi 4668560, Japan.</t>
  </si>
  <si>
    <t>takegami.yasuhiko.k3@f.mail.nagoya-u.ac.jp</t>
  </si>
  <si>
    <t>National Center for Geriatrics and Gerontology, Gifu Prefectural Tajimi Hospital, Municipal Ena Hospital, Mie University School of Medicine Nagai Hospital; Naruo Orthopaedic Surgery Hospital</t>
  </si>
  <si>
    <t>The authors express their sincere gratitude to the following healthcare facilities for their invaluable support and cooperation throughout this study: Eniwa Hospital, Japan Community Healthcare Organization Tokyo Shinjuku Medical Center, Kobayakawa Orthopaedic Rheumatology Clinic, Japanese Red Cross Aichi Medical Center Nagoya Daiichi Hospital, Nagoya Medical Center, Gamagori City Hospital, Fujita Health University Hospital, National Center for Geriatrics and Gerontology, Gifu Prefectural Tajimi Hospital, Municipal Ena Hospital, Mie University School of Medicine Nagai Hospital, Yokkaichi Municipal Hospital, Sanda City Hospital, Mitoyo General Hospital, Japan Community Healthcare Organization Ritsurin Hospital, and Naruo Orthopaedic Surgery Hospital. This study would not have been possible without their assistance and collaboration, and all authors are deeply grateful for their contribution to the success of this study. Additionally, the authors would like to extend their appreciation to Yusuke Iesaki, Masahiro Kiyono, Takashi Iwakura, Tetsujiro Ohno, Masahiro Hasegawa, Naoaki Osada, Tomonori Kobayakawa, Yasumori Sobue, Nobuyuki Okui, Shogo Tabata, Terufumi Kokabu, Yuichiro Abe, and Nobuyuki Fujita for their valuable contributions.</t>
  </si>
  <si>
    <t>[Asamoto, Takamune; Takegami, Yasuhiko; Sato, Yoichi; Imagama, Shiro] Nagoya Univ, Dept Orthopaed Surg, Grad Sch Med, Showa Ward, 65 Tsurumai-cho,Showa-ku, Nagoya, Aichi 4668560, Japan; [Takahara, Shunsuke] Hyogo Prefectural Kakogawa Med Ctr, Dept Orthopaed Surg, Kakogawa, Hyogo, Japan; [Yamamoto, Norio] Miyamoto Orthopaed Hosp, Dept Orthopaed Surg, Okayama, Japan; [Inagaki, Naoya] Jikei Univ, Dept Orthopaed Surg, Kashiwa Hosp, Chiba, Japan; [Maki, Satoshi] Chiba Univ, Dept Orthopaed Surg, Grad Sch Med, Chiba, Japan; [Saito, Mitsuru] Jikei Univ, Dept Orthopaed Surg, Sch Med, Tokyo, Japan</t>
  </si>
  <si>
    <t>Nagoya University; Jikei University; Chiba University; Jikei University</t>
  </si>
  <si>
    <t>External validation of a deep learning model for predicting bone mineral density on chest radiographs</t>
  </si>
  <si>
    <t>ARCHIVES OF OSTEOPOROSIS</t>
  </si>
  <si>
    <t>Bone disorders; Osteoporosis; Bone analysis/quantitation; Bone mineral density; Chest radiography; Screening</t>
  </si>
  <si>
    <t>X-RAY RADIOGRAMMETRY; QUANTITATIVE ULTRASOUND; OSTEOPOROSIS; WOMEN; ABSORPTIOMETRY; IDENTIFICATION; MORPHOMETRY; CALCANEAL; RULES; SPINE</t>
  </si>
  <si>
    <t>Yamamoto, Norio/I-8986-2019; IMAGAMA, Shiro/I-7419-2014</t>
  </si>
  <si>
    <t>Yamamoto, Norio/0000-0002-7902-9994; Takahara, Shunsuke/0000-0003-1758-7672; Asamoto, Takamune/0009-0004-3093-9470; Saito, Mitsuru/0000-0003-1653-4309; Maki, Satoshi/0000-0002-6809-3771; Takegami, Yasuhiko/0000-0001-9279-8301; SATO, YOICHI/0000-0001-6144-3735; Inagaki, Naoya/0000-0002-4045-3616</t>
  </si>
  <si>
    <t>SPRINGER LONDON LTD</t>
  </si>
  <si>
    <t>236 GRAYS INN RD, 6TH FLOOR, LONDON WC1X 8HL, ENGLAND</t>
  </si>
  <si>
    <t>1862-3522</t>
  </si>
  <si>
    <t>1862-3514</t>
  </si>
  <si>
    <t>ARCH OSTEOPOROS</t>
  </si>
  <si>
    <t>Arch. Osteoporos.</t>
  </si>
  <si>
    <t>10.1007/s11657-024-01372-9</t>
  </si>
  <si>
    <t>http://dx.doi.org/10.1007/s11657-024-01372-9</t>
  </si>
  <si>
    <t>Endocrinology &amp; Metabolism; Orthopedics</t>
  </si>
  <si>
    <t>KP7Q8</t>
  </si>
  <si>
    <t>38472499</t>
  </si>
  <si>
    <t>WOS:001181240400001</t>
  </si>
  <si>
    <t>Codipilly, DC; Faghani, S; Vogelsang, D; Moassefi, M; Garg, N; Hagen, C; Lewis, J; Leggett, CL; Patil, P; Konda, V; Al Diffalha, S; Peter, S; Brinkerhoff, B; Wong, M; Otaki, F; Katzka, DA; Wani, S; Shaheen, N; Erickson, BJ; Iyer, PG</t>
  </si>
  <si>
    <t>INTRODUCTION: The risk of progression to esophageal adenocarcinoma in Barrett's esophagus (BE) increases with advancing degrees of dysplasia. There is a critical need to improve the diagnosis of BE dysplasia, given substantial interobserver variability and overcalls of dysplasia during manual community pathologist reads. We aimed to externally validate a previously cross-validated BE dysplasia diagnosis deep learning model (BEDDLM) that predicts dysplasia grade on whole slide images (WSIs). METHODS: We digitized nondysplastic BE (NDBE), low-grade (LGD), and high-grade dysplasia (HGD) histology slides from 3 external academic centers. A consensus read by 2 expert study pathologists was used as the criterion standard. Slide stain characteristics were normalized using cycle-generative adversarial networks. WSIs were assessed by BEDDLM using an ensemble approach, combining a "You Only Look Once" model followed by a ResNet101 classifier model. RESULTS: We included 489 WSIs. Consensus histopathology revealed 232 NDBE, 117 LGD, and 140 HGD WSIs. The mean age (SD) was 66.9 (11.4) years; 413 (84.7%) were men. Using the BEDDLM ensemble model, sensitivity and specificity for NDBE were 73.3% (95% confidence interval [CI]: 67.09%-78.85%) and 93.4% (95% CI: 89.62%-96.10%); for LGD, 84.6% (95% CI: 76.78%-90.62%) and 80.6% (95% CI: 76.26%-84.54%); and for HGD, 80.7% (95% CI: 73.19%-86.89%) and 94.8% (95% CI: 91.97%-96.91%), respectively. The F1 score was 0.81, 0 0.69, and 0.83 for NDBE, LGD, and HGD, respectively. DISCUSSION: Our externally validated deep learning model demonstrates substantial accuracy for the diagnosis of BE dysplasia grade on WSIs.</t>
  </si>
  <si>
    <t>Codipilly, D. Chamil; Faghani, Shahriar; Vogelsang, David; Moassefi, Mana; Garg, Nikita; Hagen, Catherine; Lewis, Jason; Leggett, Cadman L.; Patil, Pallavi; Konda, Vani; Al Diffalha, Sameer; Peter, Shajan; Brinkerhoff, Brian; Wong, Mary; Otaki, Fouad; Katzka, David A.; Wani, Sachin; Shaheen, Nicholas; Erickson, Bradley J.; Iyer, Prasad G.</t>
  </si>
  <si>
    <t>Iyer, PG (corresponding author), Mayo Clin, Div Gastroenterol &amp; Hepatol, Barretts Esophagus Unit, Rochester, MN 55905 USA.</t>
  </si>
  <si>
    <t>brinkerb@ohsu.edu; dave.vogelsang@gmail.com; bje@mayo.edu; vani.konda@bswhealth.org; lewis.jason@mayo.edu; ssugandha@uabmc.edu; iyer.prasad@mayo.edu; nicholas_shaheen@med.unc.edu; codipilly.don@mayo.edu; otaki@ohsu.edu; hagen.catherine@mayo.edu; sachin.wani@cuanschutz.edu; dak2178@cumc.columbia.edu; ngarg@geisinger.edu; marytlh@gmail.com; leggett.cadman@mayo.edu; pallavi.patil@bswhealth.org; saldiffalha@uabmc.edu; faghani.shahriar@mayo.edu; moassefi.mana@mayo.edu</t>
  </si>
  <si>
    <t>Department of Defense Peer Reviewed Cancer Research Program Award [CA220478]; Mayo Clinic Division of Gastroenterology and Hepatology Innovation Award; Freeman Foundation</t>
  </si>
  <si>
    <t>Department of Defense Peer Reviewed Cancer Research Program Award (United States Department of Defense); Mayo Clinic Division of Gastroenterology and Hepatology Innovation Award; Freeman Foundation</t>
  </si>
  <si>
    <t>Department of Defense Peer Reviewed Cancer Research Program Award (CA220478), Mayo Clinic Division of Gastroenterology and Hepatology Innovation Award, and the Freeman Foundation. There was no role from the funding sources in the development of this study, data gathering, interpretation of study results, or writing of manuscript. The authors were not precluded from accessing data in the study, and they accept responsibility to submit for publication.</t>
  </si>
  <si>
    <t>[Codipilly, D. Chamil; Garg, Nikita; Leggett, Cadman L.; Iyer, Prasad G.] Mayo Clin, Div Gastroenterol &amp; Hepatol, Barretts Esophagus Unit, Rochester, MN 55905 USA; [Faghani, Shahriar; Vogelsang, David; Moassefi, Mana; Erickson, Bradley J.] Mayo Clin, Artificial Intelligence Lab, Rochester, MN USA; [Faghani, Shahriar; Vogelsang, David; Moassefi, Mana; Erickson, Bradley J.] Mayo Clin, Dept Radiol, Rochester, MN USA; [Hagen, Catherine] Mayo Clin, Dept Lab Med &amp; Pathol, Rochester, MN USA; [Lewis, Jason] Mayo Clin, Dept Lab Med &amp; Pathol, Jacksonville, FL USA; [Patil, Pallavi] Baylor Univ, Dept Pathol, Med Ctr, Dallas, TX USA; [Konda, Vani] Baylor Univ, Med Ctr, Baylor Scott &amp; White Ctr Esophageal Dis, Dept Gastroenterol, Dallas, TX USA; [Al Diffalha, Sameer] Univ Alabama Birmingham, Dept Clin &amp; Lab Pathol, Birmingham, AL USA; [Peter, Shajan] Univ Alabama Birmingham, Div Gastroenterol, Birmingham, AL USA; [Brinkerhoff, Brian; Wong, Mary] Oregon Hlth &amp; Sci Univ, Dept Pathol &amp; Lab Med, Portland, OR USA; [Otaki, Fouad] Oregon Hlth &amp; Sci Univ, Div Gastroenterol &amp; Hepatol, Portland, OR USA; [Katzka, David A.] Columbia Univ, Div Gastroenterol &amp; Hepatol, New York, NY USA; [Wani, Sachin] Univ Colorado, Div Gastroenterol &amp; Hepatol, Aurora, CO USA; [Shaheen, Nicholas] Univ North Carolina Chapel Hill, Div Gastroenterol &amp; Hepatol, Chapel Hill, NC USA; [Erickson, Bradley J.] Mayo Clin, Artificial Intelligence Lab, Rochester, MN USA</t>
  </si>
  <si>
    <t>Mayo Clinic; Mayo Clinic; Mayo Clinic; Mayo Clinic; Mayo Clinic; Baylor University Medical Center; Baylor University; Baylor University; Baylor University Medical Center; University of Alabama System; University of Alabama Birmingham; University of Alabama System; University of Alabama Birmingham; Oregon Health &amp; Science University; Oregon Health &amp; Science University; Columbia University; University of Colorado System; University of Colorado Anschutz; University of North Carolina; University of North Carolina Chapel Hill; University of North Carolina School of Medicine; Mayo Clinic</t>
  </si>
  <si>
    <t>Deep Learning Model for Histologic Diagnosis of Dysplastic Barrett's Esophagus: Multisite Cohort External Validation</t>
  </si>
  <si>
    <t>Barrett's esophagus; low-grade dysplasia; artificial intelligence; risk; progression</t>
  </si>
  <si>
    <t>LOW-GRADE DYSPLASIA</t>
  </si>
  <si>
    <t>Faghani, Shahriar/ABE-1888-2021; Iyer, Prasad/L-3999-2018</t>
  </si>
  <si>
    <t>Brinkerhoff, Brian/0000-0002-6266-7965; Otaki, Fouad/0000-0003-2750-9299</t>
  </si>
  <si>
    <t>121</t>
  </si>
  <si>
    <t>863</t>
  </si>
  <si>
    <t>870</t>
  </si>
  <si>
    <t>10.14309/ajg.0000000000003495</t>
  </si>
  <si>
    <t>http://dx.doi.org/10.14309/ajg.0000000000003495</t>
  </si>
  <si>
    <t>GF3RI</t>
  </si>
  <si>
    <t>40267276</t>
  </si>
  <si>
    <t>WOS:001735069500001</t>
  </si>
  <si>
    <t>Xu, YQ; Teutsch, B; Zeng, WC; Hu, Y; Rastogi, S; Hu, EY; DeGregorio, I; Chui, WF; Richter, BI; Cummings, R; Goldberg, JE; Mathieu, E; Asare, BA; Hegedus, P; Gurza, KB; Szabó, IV; Tarján, H; Szentesi, A; Borbély, R; Molnár, D; Faluhelyi, N; Vincze, A; Márta, K; Hegyi, P; Lei, Q; Gonda, T; Huang, CC; Shen, YQ</t>
  </si>
  <si>
    <t>Background Acute pancreatitis (AP) is a common gastrointestinal disease with a rising global incidence. While most cases are mild, severe AP (SAP) carries high mortality. Early and accurate severity prediction facilitates management optimization. However, existing clinical severity prediction models, such as Bedside Index of Severity in Acute Pancreatitis (BISAP) and Modified CT Severity Index (mCTSI), have modest accuracy and often rely on data unavailable at admission.Purpose This study proposes a deep learning (DL) model to predict AP severity using abdominal contrast-enhanced CT scans acquired within 24 hours of admission.Materials and Methods We collected 10 130 studies from 8335 patients across a multi-site U.S. health system and 3488 studies from public datasets. The DL model was trained in 2 stages: (1) self-supervised pretraining on 11 896 unlabeled studies and (2) fine-tuning on 550 labeled studies. Performance was evaluated against mCTSI on a hold-out internal test set (n = 100 patients) and against both mCTSI and BISAP on an external Hungarian AP registry (n = 518 patients).Results On the internal test set, the model achieved areas under receiver operating curve (AUROCs) of 0.888 (95% CI: 0.800-0.960, sensitivity 0.50, specificity 0.92) for SAP and 0.888 (95% CI: 0.819-0.946, sensitivity 0.75, specificity 0.85) for mild AP (MAP), outperforming mCTSI (P = .002). External validation showed AUROCs of 0.887 (95% CI: 0.825-0.941, sensitivity 0.73, specificity 0.88) for SAP and 0.858 (95% CI: 0.826-0.888, sensitivity 0.38, specificity 0.98) for MAP, surpassing mCTSI (P = .024) and BISAP (P = .002). In retrospective triage analysis, the model correctly identified 50%-73% of patients who progressed to SAP and 40%-73% of those with MAP.Conclusion The proposed DL model achieved performance comparable to or better than established prognostic tools and maintained robust external performance. These findings suggest that AI-assisted CT analysis may support early, automated risk stratification of AP.</t>
  </si>
  <si>
    <t>Xu, Yanqi; Teutsch, Brigitta; Zeng, Weicheng; Hu, Yang; Rastogi, Shikhar; Hu, Emmy Yuebi; DeGregorio, Isabella; Chui, Wan Fung; Richter, Benjamin, I; Cummings, Ryan; Goldberg, Julia E.; Mathieu, Edwin; Asare, Belinda Appiah; Hegedus, Peter; Gurza, Kriszta-Beata; Szabo, Istvan Viktor; Tarjan, Hedvig; Szentesi, Andrea; Borbely, Ruben; Molnar, Dorottya; Faluhelyi, Nandor; Vincze, Aron; Marta, Katalin; Hegyi, Peter; Lei, Qi; Gonda, Tamas; Huang, Chenchan; Shen, Yiqiu</t>
  </si>
  <si>
    <t>Shen, YQ (corresponding author), NYU Grossman Sch Med, Dept Radiol, 227 East 30th St,745, New York, NY 10016 USA.</t>
  </si>
  <si>
    <t>yiqiu.shen@nyulangone.org</t>
  </si>
  <si>
    <t>Society of Abdominal Radiology GE Healthcare Research and Innovation; National Science Foundation [1922658]</t>
  </si>
  <si>
    <t>Society of Abdominal Radiology GE Healthcare Research and Innovation; National Science Foundation (National Science Foundation (NSF))</t>
  </si>
  <si>
    <t>This work was supported in part by grants from the National Science Foundation (1922658), and the Society of Abdominal Radiology GE Healthcare Research and Innovation Grant Award.</t>
  </si>
  <si>
    <t>[Xu, Yanqi; Zeng, Weicheng; Rastogi, Shikhar; Lei, Qi; Shen, Yiqiu] NYU, Ctr Data Sci, New York, NY 10011 USA; [Teutsch, Brigitta; Szentesi, Andrea; Borbely, Ruben; Marta, Katalin; Hegyi, Peter] Semmelweis Univ, Ctr Translat Med, H-1085 Budapest, Hungary; [Teutsch, Brigitta; Hegedus, Peter; Gurza, Kriszta-Beata; Szabo, Istvan Viktor; Tarjan, Hedvig] Semmelweis Univ, Med Imaging Ctr, Dept Radiol, H-1082 Budapest, Hungary; [Teutsch, Brigitta; Szentesi, Andrea; Hegyi, Peter] Univ Pecs, Inst Translat Med, H-7624 Pecs, Hungary; [Hu, Yang] NYU, Gallatin Sch Individualized Study, New York, NY 10003 USA; [Hu, Emmy Yuebi; Chui, Wan Fung; Cummings, Ryan; Goldberg, Julia E.; Mathieu, Edwin; Asare, Belinda Appiah; Huang, Chenchan; Shen, Yiqiu] NYU Langone Hlth, Dept Radiol, New York, NY 10016 USA; [DeGregorio, Isabella] Rowan Univ, Cooper Med Sch, Camden, NJ 08103 USA; [Richter, Benjamin, I] Rutgers New Jersey Med Sch, Dept Med, Div Gastroenterol &amp; Adv Endoscopy, Newark, NJ 07103 USA; [Borbely, Ruben; Molnar, Dorottya] Bajcsy Zsilinszky Hosp &amp; Clin, Dept Med Imaging, H-1105 Budapest, Hungary; [Faluhelyi, Nandor] Univ Pecs, Dept Med Imaging, H-7624 Pecs, Hungary; [Vincze, Aron] Univ Pecs, Dept Med 1, Div Gastroenterol, H-7624 Pecs, Hungary; [Marta, Katalin; Hegyi, Peter] Semmelweis Univ, Inst Pancreat Dis, H-1083 Budapest, Hungary; [Hegyi, Peter] Univ Szeged, Interdisciplinary Ctr Excellence Res Dev &amp; Innovat, Translat Pancreatol Res Grp, H-6720 Szeged, Hungary; [Gonda, Tamas] NYU Langone Hlth, Div Gastroenterol &amp; Hepatol, Dept Med, New York, NY 10016 USA</t>
  </si>
  <si>
    <t>New York University; Semmelweis University; Semmelweis University; University of Pecs; New York University; NYU Langone Medical Center; Rowan University; Cooper Medical School of Rowan University; Rutgers University System; Rutgers University New Brunswick; Rutgers University Biomedical &amp; Health Sciences; University of Pecs; University of Pecs; Semmelweis University; Szeged University; NYU Langone Medical Center</t>
  </si>
  <si>
    <t>Deep learning-based prediction of acute pancreatitis severity from abdominal CT with multicenter external validation</t>
  </si>
  <si>
    <t>acute pancreatitis; deep learning; artificial intelligence; contrast-enhanced computed tomography; severity prediction</t>
  </si>
  <si>
    <t>GASTROENTEROLOGY; MORTALITY; INDEX</t>
  </si>
  <si>
    <t>Borbely, Ruben/HNR-8239-2023; Szabó, István Viktor/GXF-2657-2022; Vincze, Aron/J-6724-2019</t>
  </si>
  <si>
    <t>Borbély, Ruben/0009-0001-3167-0563</t>
  </si>
  <si>
    <t>umag020</t>
  </si>
  <si>
    <t>10.1093/radadv/umag020</t>
  </si>
  <si>
    <t>http://dx.doi.org/10.1093/radadv/umag020</t>
  </si>
  <si>
    <t>HU6FA</t>
  </si>
  <si>
    <t>42131311</t>
  </si>
  <si>
    <t>WOS:001763071900001</t>
  </si>
  <si>
    <t>Rothenberg, S; Bame, B; Herskovitz, E</t>
  </si>
  <si>
    <t>The term "no-show" refers to scheduled appointments that a patient misses, or for which she arrives too late to utilize medical resources. Accurately predicting no-shows creates opportunities to intervene, ensuring that patients receive needed medical resources. A machine-learning (ML) model can accurately identify individuals at high no-show risk, to facilitate strategic and targeted interventions. We used 4,546,104 non-same-day scheduled appointments in our medical system from 1/1/2017 through 1/1/2020 for training data, including 631,386 no-shows. We applied eight ML techniques, which yielded cross-validation AUCs of 0.77-0.93. We then prospectively tested the best performing model, Gradient Boosted Regression Trees, over a 6-week period at a single outpatient location. We observed 123 no-shows. The model accurately identified likely no-show patients retrospectively (AUC 0.93) and prospectively (AUC 0.73, p &lt; 0.0005). Individuals in the highest-risk category were three times more likely to no-show than the average of all other patients. No-show prediction modeling based on machine learning has the potential to identify patients for targeted interventions to improve their access to medical resources, reduce waste in the medical system and improve overall operational efficiency. Caution is advised, due to the potential for bias to decrease the quality of service for patients based on race, zip code, and gender.</t>
  </si>
  <si>
    <t>Rothenberg, Steven; Bame, Bill; Herskovitz, Ed</t>
  </si>
  <si>
    <t>Rothenberg, S (corresponding author), Univ Maryland, Sch Med, Dept Diagnost Radiol &amp; Nucl Med, Baltimore, MD 21201 USA.; Rothenberg, S (corresponding author), Univ Alabama Birmingham, Dept Radiol, Birmingham, AL 35294 USA.</t>
  </si>
  <si>
    <t>srothenb@uab.edu</t>
  </si>
  <si>
    <t>[Rothenberg, Steven; Herskovitz, Ed] Univ Maryland, Sch Med, Dept Diagnost Radiol &amp; Nucl Med, Baltimore, MD 21201 USA; [Bame, Bill] Univ Maryland Med Syst, Baltimore, MD USA; [Rothenberg, Steven] Univ Alabama Birmingham, Dept Radiol, Birmingham, AL 35294 USA</t>
  </si>
  <si>
    <t>University System of Maryland; University of Maryland Baltimore; University System of Maryland; University of Maryland Baltimore; University of Alabama System; University of Alabama Birmingham</t>
  </si>
  <si>
    <t>Prospective Evaluation of a Machine-Learning Prediction Model for Missed Radiology Appointments</t>
  </si>
  <si>
    <t>JOURNAL OF DIGITAL IMAGING</t>
  </si>
  <si>
    <t>Rothenberg, Steven/0000-0003-3934-2377</t>
  </si>
  <si>
    <t>0897-1889</t>
  </si>
  <si>
    <t>1618-727X</t>
  </si>
  <si>
    <t>J DIGIT IMAGING</t>
  </si>
  <si>
    <t>J. Digit. Imaging</t>
  </si>
  <si>
    <t>1690</t>
  </si>
  <si>
    <t>1693</t>
  </si>
  <si>
    <t>10.1007/s10278-022-00670-3</t>
  </si>
  <si>
    <t>http://dx.doi.org/10.1007/s10278-022-00670-3</t>
  </si>
  <si>
    <t>6S5MM</t>
  </si>
  <si>
    <t>35768754</t>
  </si>
  <si>
    <t>WOS:000818660600002</t>
  </si>
  <si>
    <t>Plimpton, SR; Milch, H; Sears, C; Chalfant, J; Hoyt, A; Fischer, C; Hsu, WL; Joines, M</t>
  </si>
  <si>
    <t>Objective There are limited data on the application of artificial intelligence (AI) on nonenriched, real-world screening mammograms. This work aims to evaluate the ability of AI to detect false negative cancers not detected at the time of screening when reviewed by the radiologist alone.Methods A commercially available AI algorithm was retrospectively applied to patients undergoing screening full-field digital mammography (FFDM) or digital breast tomosynthesis (DBT) at a single institution from 2010 to 2019. Ground truth was established based on 1-year follow-up data. Descriptive statistics were performed with attention focused on AI detection of false negative cancers within these subsets.Results A total of 26 694 FFDM and 3183 DBT examinations were analyzed. Artificial intelligence was able to detect 7/13 false negative cancers (54%) in the FFDM cohort and 4/10 (40%) in the DBT cohort on the preceding screening mammogram that was interpreted as negative by the radiologist. Of these, 4 in the FFDM cohort and 4 in the DBT cohort were identified in breast densities of C or greater. False negative cancers detected by AI were predominantly luminal A invasive malignancies (9/11, 82%). Artificial intelligence was able to detect these false negative cancers a median time of 272 days sooner in the FFDM cohort and 248 days sooner in the DBT cohort compared to the radiologist.Conclusion Artificial intelligence was able to detect cancers at the time of screening that were missed by the radiologist. Prospective studies are needed to evaluate the synergy of AI and the radiologist in real-world settings, especially on DBT examinations.</t>
  </si>
  <si>
    <t>Plimpton, S. Reed; Milch, Hannah; Sears, Christopher; Chalfant, James; Hoyt, Anne; Fischer, Cheryce; Hsu, William; Joines, Melissa</t>
  </si>
  <si>
    <t>Milch, H (corresponding author), UCLA, David Geffen Sch Med, Los Angeles, CA 90024 USA.</t>
  </si>
  <si>
    <t>hmilch@mednet.ucla.edu</t>
  </si>
  <si>
    <t>National Institutes of Health (NIH) [R21 HS029257]</t>
  </si>
  <si>
    <t>National Institutes of Health (NIH) (United States Department of Health &amp; Human Services, National Institutes of Health (NIH) - USA)</t>
  </si>
  <si>
    <t>W.H. and A.H. are co-Principal Investigators on a National Institutes of Health (NIH) R21 grant that contributed to this study (the Agency for Healthcare Research and Quality, R21 HS029257).</t>
  </si>
  <si>
    <t>[Plimpton, S. Reed; Milch, Hannah; Sears, Christopher; Chalfant, James; Hoyt, Anne; Fischer, Cheryce; Joines, Melissa] UCLA, David Geffen Sch Med, Los Angeles, CA 90024 USA; [Hsu, William] UCLA, David Geffen Sch Med, Dept Radiol Sci, Med &amp; Imaging Informat, Los Angeles, CA USA</t>
  </si>
  <si>
    <t>University of California System; University of California Los Angeles; University of California Los Angeles Medical Center; David Geffen School of Medicine at UCLA; University of California Los Angeles; David Geffen School of Medicine at UCLA; University of California Los Angeles Medical Center; David Geffen School of Medicine at UCLA; University of California System; University of California Los Angeles</t>
  </si>
  <si>
    <t>External Validation of a Commercial Artificial Intelligence Algorithm on a Diverse Population for Detection of False Negative Breast Cancers</t>
  </si>
  <si>
    <t>JOURNAL OF BREAST IMAGING</t>
  </si>
  <si>
    <t>artificial intelligence; breast cancer screening; mammography including tomosynthesis; breast imaging clinical operations</t>
  </si>
  <si>
    <t>MAMMOGRAPHY; INTERVAL; TOMOSYNTHESIS; SYSTEM</t>
  </si>
  <si>
    <t>Hsu, William/0000-0002-5168-070X; Chalfant, James/0000-0001-6385-604X</t>
  </si>
  <si>
    <t>2631-6110</t>
  </si>
  <si>
    <t>2631-6129</t>
  </si>
  <si>
    <t>J BREAST IMAGING</t>
  </si>
  <si>
    <t>J. Breast Imaging</t>
  </si>
  <si>
    <t>OCT 14 2024</t>
  </si>
  <si>
    <t>10.1093/jbi/wbae058</t>
  </si>
  <si>
    <t>http://dx.doi.org/10.1093/jbi/wbae058</t>
  </si>
  <si>
    <t>T7M0E</t>
  </si>
  <si>
    <t>39401322</t>
  </si>
  <si>
    <t>WOS:001330738900001</t>
  </si>
  <si>
    <t>Coyner, AS; Oh, MA; Shah, PK; Singh, P; Ostmo, S; Valikodath, NG; Cole, E; Al-Khaled, T; Bajimaya, S; Sagun, KC; Chuluunbat, T; Munkhuu, B; Subramanian, P; Venkatapathy, N; Jonas, KE; Hallak, JA; Chan, RVP; Chiang, MF; Kalpathy-Cramer, J; Campbell, JP</t>
  </si>
  <si>
    <t>IMPORTANCE Retinopathy of prematurity (ROP) is a leading cause of preventable blindness that disproportionately affects children born in low- and middle-income countries (LMICs). In-person and telemedical screening examinations can reduce this risk but are challenging to implement in LMICs owing to the multitude of at-risk infants and lack of trained ophthalmologists.OBJECTIVE To implement an ROP risk model using retinal images from a single baseline examination to identify infants who will develop treatment-requiring (TR)-ROP in LMIC telemedicine programs.DESIGN, SETTING, AND PARTICIPANTS In this diagnostic study conducted from February 1, 2019, to June 30, 2021, retinal fundus images were collected from infants as part of an Indian ROP telemedicine screening program. An artificial intelligence (AI)-derived vascular severity score (VSS) was obtained from images from the first examination after 30 weeks' postmenstrual age. Using 5-fold cross-validation, logistic regression models were trained on 2 variables (gestational age and VSS) for prediction of TR-ROP. The model was externally validated on test data sets from India, Nepal, and Mongolia. Data were analyzed from October 20, 2021, to April 20, 2022.MAIN OUTCOMES AND MEASURES Primary outcome measures included sensitivity, specificity, positive predictive value, and negative predictive value for predictions of future occurrences of TR-ROP; the number of weeks before clinical diagnosis when a prediction was made; and the potential reduction in number of examinations required.RESULTS A total of 3760 infants (median [IQR] postmenstrual age, 37 [5] weeks; 1950 male infants [51.9%]) were included in the study. The diagnostic model had a sensitivity and specificity, respectively, for each of the data sets as follows: India, 100.0% (95% CI, 87.2%-100.0%) and 63.3% (95% CI, 59.7%-66.8%); Nepal, 100.0% (95% CI, 54.1%-100.0%) and 77.8% (95% CI, 72.9%-82.2%); and Mongolia, 100.0% (95% CI, 93.3%-100.0%) and 45.8% (95% CI, 39.7%-52.1%). With the AI model, infants with TR-ROP were identified a median (IQR) of 2.0 (0-11) weeks before TR-ROP diagnosis in India, 0.5 (0-2.0) weeks before TR-ROP diagnosis in Nepal, and 0 (0-5.0) weeks before TR-ROP diagnosis in Mongolia. If low-risk infants were never screened again, the population could be effectively screened with 45.0% (India, 664/1476), 38.4% (Nepal, 151/393), and 51.3% (Mongolia, 266/519) fewer examinations required.CONCLUSIONS AND RELEVANCE Results of this diagnostic study suggest that there were 2 advantages to implementation of this risk model: (1) the number of examinations for low-risk infants could be reduced without missing cases of TR-ROP, and (2) high-risk infants could be identified and closely monitored before development of TR-ROP.</t>
  </si>
  <si>
    <t>Coyner, Aaron S.; Oh, Minn A.; Shah, Parag K.; Singh, Praveer; Ostmo, Susan; Valikodath, Nita G.; Cole, Emily; Al-Khaled, Tala; Bajimaya, Sanyam; Sagun, K. C.; Chuluunbat, Tsengelmaa; Munkhuu, Bayalag; Subramanian, Prema; Venkatapathy, Narendran; Jonas, Karyn E.; Hallak, Joelle A.; Chan, R. V. Paul; Chiang, Michael F.; Kalpathy-Cramer, Jayashree; Campbell, J. Peter</t>
  </si>
  <si>
    <t>Campbell, JP (corresponding author), Oregon Hlth &amp; Sci Univ, Casey Eye Inst, 545 SWCampus Dr, Portland, OR 97239 USA.</t>
  </si>
  <si>
    <t>campbelp@ohsu.edu</t>
  </si>
  <si>
    <t>National Institutes of Health (Bethesda, MD) [R01 EY019474, R01 EY031331, R21 EY031883, P30 EY10572]; Research to Prevent Blindness (New York, NY); US Agency for International Development; Seva Foundation; Helen Keller International; National Eye Institute [R01HD107493, P30EY001792, R01HD107494] Funding Source: NIH RePORTER</t>
  </si>
  <si>
    <t>National Institutes of Health (Bethesda, MD) (United States Department of Health &amp; Human Services, National Institutes of Health (NIH) - USA); Research to Prevent Blindness (New York, NY) (Research to Prevent Blindness (RPB)); US Agency for International Development (United States Agency for International Development (USAID)); Seva Foundation; Helen Keller International; National Eye Institute (United States Department of Health &amp; Human Services, National Institutes of Health (NIH) - USA, NIH National Eye Institute (NEI))</t>
  </si>
  <si>
    <t>This work was supported by grants R01 EY019474, R01 EY031331, R21 EY031883, and P30 EY10572 from the National Institutes of Health (Bethesda, MD), and by unrestricted departmental funding and a Career Development Award (Dr Campbell) from Research to Prevent Blindness (New York, NY), and with support from the US Agency for International Development, the Seva Foundation, and Helen Keller International.</t>
  </si>
  <si>
    <t>[Coyner, Aaron S.; Oh, Minn A.; Ostmo, Susan; Campbell, J. Peter] Oregon Hlth &amp; Sci Univ, Casey Eye Inst, 545 SWCampus Dr, Portland, OR 97239 USA; [Shah, Parag K.; Subramanian, Prema; Venkatapathy, Narendran] Aravind Eye Hosp, Pediat Retina &amp; Ocular Oncol Div, Coimbatore, Tamil Nadu, India; [Singh, Praveer; Kalpathy-Cramer, Jayashree] Massachusetts Gen Hosp, Boston, MA USA; [Singh, Praveer; Kalpathy-Cramer, Jayashree] Brigham &amp; Womens Hosp, Ctr Clin Data Sci, Boston, MA USA; [Singh, Praveer; Kalpathy-Cramer, Jayashree] Harvard Med Sch, Radiol, Massachusetts Gen Hosp, Charlestown, MA 02115 USA; [Valikodath, Nita G.; Cole, Emily; Al-Khaled, Tala; Jonas, Karyn E.; Hallak, Joelle A.; Chan, R. V. Paul] Univ Illinois, Illinois Eye &amp; Ear Infirm, Chicago, IL USA; [Bajimaya, Sanyam] Tilganga Inst Ophthalmol, Kathmandu, Nepal; [Sagun, K. C.] Helen Keller Int, Kathmandu, Nepal; [Chuluunbat, Tsengelmaa; Munkhuu, Bayalag] Natl Ctr Maternal &amp; Child Hlth, Ulaanbaatar, Mongolia; [Chiang, Michael F.] NEI, NIH, Bethesda, MD 20892 USA</t>
  </si>
  <si>
    <t>Oregon Health &amp; Science University; Harvard University; Harvard University Medical Affiliates; Massachusetts General Hospital; Harvard University; Harvard University Medical Affiliates; Brigham &amp; Women's Hospital; Harvard University; Harvard University Medical Affiliates; Massachusetts General Hospital; University of Illinois System; University of Illinois Chicago; University of Illinois Chicago Hospital; National Institutes of Health (NIH) - USA; NIH National Eye Institute (NEI)</t>
  </si>
  <si>
    <t>External Validation of a Retinopathy of Prematurity Screening Model Using Artificial Intelligence in 3 Low- and Middle-Income Populations</t>
  </si>
  <si>
    <t>JAMA OPHTHALMOLOGY</t>
  </si>
  <si>
    <t>TELEMEDICINE; MANAGEMENT; INFANTS; INDIA; PAIN; ROP</t>
  </si>
  <si>
    <t>Chiang, Michael/0000-0002-8172-7636; Cole, Emily Dawn/0000-0002-7114-0030; Kalpathy-Cramer, Jayashree/0000-0001-8906-9618</t>
  </si>
  <si>
    <t>48</t>
  </si>
  <si>
    <t>2168-6165</t>
  </si>
  <si>
    <t>2168-6173</t>
  </si>
  <si>
    <t>JAMA OPHTHALMOL</t>
  </si>
  <si>
    <t>JAMA Ophthalmol.</t>
  </si>
  <si>
    <t>140</t>
  </si>
  <si>
    <t>791</t>
  </si>
  <si>
    <t>798</t>
  </si>
  <si>
    <t>10.1001/jamaophthalmol.2022.2135</t>
  </si>
  <si>
    <t>http://dx.doi.org/10.1001/jamaophthalmol.2022.2135</t>
  </si>
  <si>
    <t>3Y5TL</t>
  </si>
  <si>
    <t>35797036</t>
  </si>
  <si>
    <t>WOS:000822041800002</t>
  </si>
  <si>
    <t>Background. Artificial intelligence (AI) applications in dentistry are advancing rapidly, yet external validation studies are scarce. This pilot study evaluated 2 US Food and Drug Administration-cleared AI-based decision support systems for detecting caries and clinically relevant periodontal bone loss (&gt;= 33% or &gt;= 5 mm of attachment loss) using longitudinal clinical data to establish ground truth. Methods. A retrospective analysis of 90 patients (mean [SD] age, 61.4 [13.2] years) records was conducted at the Veterans Affairs Greater Los Angeles Health Care System in Los Angeles, California. Each case included full-mouth radiographs and standardized clinical documentation with 6 through 12 months of follow-up. Ground truth was determined through a multiphase validation protocol involving calibrated examiners and adjudication. Analyses emphasized specificity and negative predictive value (NPV) to assess diagnostic concordance. Results. For caries detection, vendor A achieved 78.68% concordance, 80.17% specificity, and 96.92% NPV; vendor B achieved 82.43%, 83.76%, and 97.36%, respectively. For periodontal bone loss, vendor A achieved 78.47% concordance, 94.23% specificity, and 80.64% NPV; vendor B achieved 73.89%, 93.55%, and 75.20%, respectively. Conclusions. The results of this external validation pilot study showed AI tools can reliably exclude disease and reduce false-positive results. The use of retrospective longitudinal ground truth with standardized validation protocols provides a practical template for future multisite studies. Practical Implications. AI-based decision support tools are most effective as adjunctive screening aids in dental practice. Their high specificity and NPV allow clinicians to trust negative findings, avoid unnecessary interventions, and maintain clinical oversight of positive findings requiring confirmation.</t>
  </si>
  <si>
    <t>DeNucci, DJ (corresponding author), Vet Affairs Greater Los Angeles Hlth Care Syst, 11301 Wilshire Blvd, Los Angeles, CA 90073 USA.</t>
  </si>
  <si>
    <t>[Farooqi, Owais A.; Fru, Gilbert A.; Gong, Yan Ming; Oswald, Landon E.; DeNucci, Donald J.] Vet Affairs Greater Los Angeles Hlth Care Syst, Dent Serv, Los Angeles, CA 90073 USA; [DeNucci, Donald J.] Vet Affairs Greater Los Angeles Hlth Care Syst, 11301 Wilshire Blvd, Los Angeles, CA 90073 USA</t>
  </si>
  <si>
    <t>US Department of Veterans Affairs; Veterans Health Administration (VHA); VA Greater Los Angeles Healthcare System</t>
  </si>
  <si>
    <t>Evaluation of artificial intelligence-based clinical decision support systems for caries and periodontal bone loss An external validation study</t>
  </si>
  <si>
    <t>JOURNAL OF THE AMERICAN DENTAL ASSOCIATION</t>
  </si>
  <si>
    <t>Artificial intelligence; dentistry; caries; periodontal bone loss; radiographic inter-pretation; clinical decision support; external validation; screening value; specificity; negative predictive value</t>
  </si>
  <si>
    <t>NEURAL-NETWORK; DIAGNOSIS</t>
  </si>
  <si>
    <t>AMER DENTAL ASSOC</t>
  </si>
  <si>
    <t>211 E CHICAGO AVE, CHICAGO, IL 60611 USA</t>
  </si>
  <si>
    <t>0002-8177</t>
  </si>
  <si>
    <t>1943-4723</t>
  </si>
  <si>
    <t>J AM DENT ASSOC</t>
  </si>
  <si>
    <t>J. Am. Dent. Assoc.</t>
  </si>
  <si>
    <t>611</t>
  </si>
  <si>
    <t>618</t>
  </si>
  <si>
    <t>10.1016/j.adaj.2025.11.005</t>
  </si>
  <si>
    <t>http://dx.doi.org/10.1016/j.adaj.2025.11.005</t>
  </si>
  <si>
    <t>Dentistry, Oral Surgery &amp; Medicine</t>
  </si>
  <si>
    <t>JP6WI</t>
  </si>
  <si>
    <t>41441804</t>
  </si>
  <si>
    <t>WOS:001795003300001</t>
  </si>
  <si>
    <t>Kamimura, Y; Aota, Y; Oba, S; Tomonari, T; Kawatsu, A; Sobue, K</t>
  </si>
  <si>
    <t>Purpose Accurate identification of neural structures is essential for safe ultrasound-guided regional anesthesia. Although artificial intelligence (AI)-generated color overlay has been introduced to support anatomical recognition, external validation using clinically oriented evaluation methods remains limited. We evaluated the diagnostic accuracy of an AI-generated color overlay for visualizing neural structures corresponding to the C5 and C6 nerve roots.Methods In this prospective observational study, two anesthesiology trainees performed bilateral interscalene ultrasound scans in 20 healthy adult volunteers. During live scanning, ultrasound-system video recordings were saved from the initiation of scanning to acquisition of an optimal image, and still images were captured at the optimal image. Subsequently, with the operators blinded to the AI output, the color overlay generated in real time during ultrasound scanning was evaluated. Two board-certified anesthesiologists independently evaluated the datasets and assessed the accuracy of the color overlay in visualizing neural structures corresponding to the C5 and C6 nerve roots using a four-category classification: true positive, true negative, false positive, and false negative.Results Of the 160 evaluated nerve structures, six structures without expert consensus were excluded from analysis. Overall sensitivity, specificity, and accuracy were 93.8% (95% confidence interval [CI], 88.6-96.7), 88.9% (95% CI, 56.5-98.0), and 93.5% (95% CI, 88.5-96.4), respectively. Among all evaluated structures, false-positive and false-negative findings accounted for 0.7% and 5.8%, respectively.Conclusion AI-generated color overlay demonstrated high accuracy in visualizing neural structures corresponding to the C5 and C6 nerve roots at the interscalene level on ultrasound images. This technology may enhance anatomical recognition and serve as a useful diagnostic and educational support tool, while complementing, rather than replacing, clinicians' own interpretation.</t>
  </si>
  <si>
    <t>Kamimura, Yuji; Aota, Yuki; Oba, Soichiro; Tomonari, Tsuyoshi; Kawatsu, Ayako; Sobue, Kazuya</t>
  </si>
  <si>
    <t>Kamimura, Y (corresponding author), Nagoya City Univ, Grad Sch Med Sci, Dept Anesthesiol &amp; Intens Care Med, 1 Kawasumi,Mizuho Cho,Mizuho Ku, Nagoya 4678601, Japan.</t>
  </si>
  <si>
    <t>ez4pixy1118@gmail.com</t>
  </si>
  <si>
    <t>The authors declare no funding.</t>
  </si>
  <si>
    <t>[Kamimura, Yuji; Aota, Yuki; Oba, Soichiro; Tomonari, Tsuyoshi; Kawatsu, Ayako; Sobue, Kazuya] Nagoya City Univ, Grad Sch Med Sci, Dept Anesthesiol &amp; Intens Care Med, 1 Kawasumi,Mizuho Cho,Mizuho Ku, Nagoya 4678601, Japan</t>
  </si>
  <si>
    <t>Nagoya City University</t>
  </si>
  <si>
    <t>Artificial intelligence-generated color overlay for ultrasound identification of the brachial plexus in regional anesthesia: an external validation study</t>
  </si>
  <si>
    <t>JOURNAL OF ANESTHESIA</t>
  </si>
  <si>
    <t>Artificial intelligence; Ultrasound; Brachial plexus; Regional anesthesia; Color overlay</t>
  </si>
  <si>
    <t>SPRINGER JAPAN KK</t>
  </si>
  <si>
    <t>TOKYO</t>
  </si>
  <si>
    <t>SHIROYAMA TRUST TOWER 5F, 4-3-1 TORANOMON, MINATO-KU, TOKYO, 105-6005, JAPAN</t>
  </si>
  <si>
    <t>0913-8668</t>
  </si>
  <si>
    <t>1438-8359</t>
  </si>
  <si>
    <t>J ANESTH</t>
  </si>
  <si>
    <t>J. Anesth.</t>
  </si>
  <si>
    <t>10.1007/s00540-026-03854-1</t>
  </si>
  <si>
    <t>http://dx.doi.org/10.1007/s00540-026-03854-1</t>
  </si>
  <si>
    <t>JUL 2026</t>
  </si>
  <si>
    <t>LJ6IW</t>
  </si>
  <si>
    <t>42479132</t>
  </si>
  <si>
    <t>WOS:001826157500001</t>
  </si>
  <si>
    <t>Yagi, R; Goto, S; Katsumata, Y; MacRae, CA; Deo, RC</t>
  </si>
  <si>
    <t>Aim Left ventricular systolic dysfunction (LVSD) carries an increased risk for overt heart failure and mortality, yet treatable to mitigate disease progression. An artificial intelligence (AI)-enabled 12-lead electrocardiogram (ECG) model demonstrated promise in LVSD screening, but the performance dropped unexpectedly in external validation. We thus sought to train de novo models for LVSD detection and investigated their performance across multiple institutions and across a broader set of patient strata.Methods and results ECGs taken within 14 days of an echocardiogram were obtained from four academic hospitals (three in the United States and one in Japan). Four AI models were trained to detect patients with ejection fraction (EF) &lt;40% using ECGs from each of the four institutions. All the models were then evaluated on the held-out test data set from the same institution and data from the three external institutions. Subgroup analyses stratified by patient characteristics and common ECG abnormalities were performed. A total of 221 846 ECGs were identified from the 4 institutions. While the Brigham and Women's Hospital (BWH)-trained and Keio-trained models yielded similar accuracy on their internal test data [area under the receiver operating curve (AUROC) 0.913 and 0.914, respectively], external validity was worse for the Keio-trained model (AUROC: 0.905-0.915 for BWH trained and 0.849-0.877 for Keio-trained model). Although ECG abnormalities including atrial fibrillation, left bundle branch block, and paced rhythm-reduced detection, the models performed robustly across patient characteristics and other ECG features.Conclusion While using the same model architecture, different data sets produced models with different performances for detecting low-EF highlighting the importance of external validation and extensive stratification analysis.</t>
  </si>
  <si>
    <t>Yagi, Ryuichiro; Goto, Shinichi; Katsumata, Yoshinori; MacRae, Calum A.; Deo, Rahul C.</t>
  </si>
  <si>
    <t>Deo, RC (corresponding author), Brigham &amp; Womens Hosp, Dept Med, One Brave Idea, Boston, MA 02115 USA.; Deo, RC (corresponding author), Brigham &amp; Womens Hosp, Dept Med, Div Cardiovasc Med, Boston, MA 02115 USA.; Deo, RC (corresponding author), Harvard Med Sch, Boston, MA 02115 USA.</t>
  </si>
  <si>
    <t>rdeo@bwh.harvard.edu</t>
  </si>
  <si>
    <t>One Brave Idea; American Heart Association; Verily; AstraZeneca; Quest Diagnostics</t>
  </si>
  <si>
    <t>One Brave Idea; American Heart Association (American Heart Association); Verily; AstraZeneca (AstraZeneca); Quest Diagnostics</t>
  </si>
  <si>
    <t>This work was supported by One Brave Idea, co-funded by the American Heart Association and Verily with significant support from AstraZeneca and pillar support from Quest Diagnostics.</t>
  </si>
  <si>
    <t>[Yagi, Ryuichiro; Goto, Shinichi; MacRae, Calum A.; Deo, Rahul C.] Brigham &amp; Womens Hosp, Dept Med, One Brave Idea, Boston, MA 02115 USA; [Yagi, Ryuichiro; Goto, Shinichi; MacRae, Calum A.; Deo, Rahul C.] Brigham &amp; Womens Hosp, Dept Med, Div Cardiovasc Med, Boston, MA 02115 USA; [Yagi, Ryuichiro; Goto, Shinichi; MacRae, Calum A.; Deo, Rahul C.] Harvard Med Sch, Boston, MA 02115 USA; [Goto, Shinichi; Katsumata, Yoshinori] Keio Univ, Sch Med, Dept Cardiol, Shinjuku, Tokyo, Japan</t>
  </si>
  <si>
    <t>Harvard University; Harvard University Medical Affiliates; Brigham &amp; Women's Hospital; Harvard University; Harvard University Medical Affiliates; Brigham &amp; Women's Hospital; Harvard University; Harvard Medical School; Keio University</t>
  </si>
  <si>
    <t>Importance of external validation and subgroup analysis of artificial intelligence in the detection of low ejection fraction from electrocardiograms</t>
  </si>
  <si>
    <t>Electrocardiogram; Neural network; External validation; Ejection fraction</t>
  </si>
  <si>
    <t>DYSFUNCTION</t>
  </si>
  <si>
    <t>Goto, Shinichi/AAL-3011-2021; Katsumata, Yoshinori/AAC-4159-2021</t>
  </si>
  <si>
    <t>Goto, Shinichi/0000-0002-0450-0331; Yagi, Ryuichiro/0000-0003-1502-039X</t>
  </si>
  <si>
    <t>DEC 22 2022</t>
  </si>
  <si>
    <t>654</t>
  </si>
  <si>
    <t>657</t>
  </si>
  <si>
    <t>10.1093/ehjdh/ztac065</t>
  </si>
  <si>
    <t>http://dx.doi.org/10.1093/ehjdh/ztac065</t>
  </si>
  <si>
    <t>DO8Q7</t>
  </si>
  <si>
    <t>36710903</t>
  </si>
  <si>
    <t>WOS:001133091600002</t>
  </si>
  <si>
    <t>Ross, AE; Zhang, JB; Huang, HC; Yamashita, R; Keim-Malpass, J; Simko, JP; Devries, S; Morgan, TM; Souhami, L; Dobelbower, MC; Mcginnis, LS; Jones, CU; Dess, RT; Zeitzer, KL; Choi, K; Hartford, AC; Michalski, JM; Raben, A; Gomella, LG; Sartor, AO; Rosenthal, SA; Sandler, HM; Spratt, DE; Pugh, SL; Mohamad, O; Esteva, A; Chen, EMY; Schaeffer, EM; Tran, PT; Feng, FY</t>
  </si>
  <si>
    <t>Background: Accurate risk stratification is critical to guide management decisions in localized prostate cancer (PCa). Previously, we had developed and validated a multimodal artificial intelligence (MMAI) model generated from digital histopathology and clinical features. Here, we externally validate this model on men with high-risk or locally advanced PCa treated and followed as part of a phase 3 randomized control trial. Objective: To externally validate the MMAI model on men with high-risk or locally advanced PCa treated and followed as part of a phase 3 randomized control trial. Design, setting, and participants: Our validation cohort included 318 localized high-risk PCa patients from NRG/RTOG 9902 with available histopathology (337 [85%] of the 397 patients enrolled into the trial had available slides, of which 19 [5.6%] failed due to poor image quality). Outcome measurements and statistical analysis: Two previously locked prognostic MMAI models were validated for their intended endpoint: distant metastasis (DM) and PCa-specific mortality (PCSM). Individual clinical factors and the number of National Comprehensive Cancer Network (NCCN) high-risk features served as comparators. Subdistribution hazard ratio (sHR) was reported per standard deviation increase of the score with corresponding 95% confidence interval (CI) using Fine-Gray or Cox proportional hazards models. Results and limitations: The DM and PCSM MMAI algorithms were significantly and independently associated with the risk of DM (sHR [95% CI] = 2.33 [1.60-3.38], p &lt; 0.001) and PCSM, respectively (sHR [95% CI] = 3.54 [2.38-5.28], p &lt; 0.001) when compared against other prognostic clinical factors and NCCN high-risk features. The lower 75% of patients by DM MMAI had estimated 5- and 10-yr DM rates of 4% and 7%, and the highest quartile had average 5- and 10-yr DM rates of 19% and 32%, respectively (p &lt; 0.001). Similar results were observed for the PCSM MMAI algorithm. Conclusions: We externally validated the prognostic ability of MMAI models previously developed among men with localized high-risk disease. MMAI prognostic models further risk stratify beyond the clinical and pathological variables for DM and PCSM in a population of men already at a high risk for disease progression. This study provides evidence for consistent validation of our deep learning MMAI models to improve prognostication and enable more informed decision-making for patient care.</t>
  </si>
  <si>
    <t>Ross, Ashley E.; Zhang, Jingbin; Huang, Huei-Chung; Yamashita, Rikiya; Keim-Malpass, Jessica; Simko, Jeffry P.; Devries, Sandy; Morgan, Todd M.; Souhami, Luis; Dobelbower, Michael C.; Mcginnis, L. Scott; Jones, Christopher U.; Dess, Robert T.; Zeitzer, Kenneth L.; Choi, Kwang; Hartford, Alan C.; Michalski, Jeff M.; Raben, Adam; Gomella, Leonard G.; Sartor, A. Oliver; Rosenthal, Seth A.; Sandler, Howard M.; Spratt, Daniel E.; Pugh, Stephanie L.; Mohamad, Osama; Esteva, Andre; Chen, Emmalyn; Schaeffer, Edward M.; Tran, Phuoc T.; Feng, Felix Y.</t>
  </si>
  <si>
    <t>Ross, AE (corresponding author), Dept Urol, 676 North St Clair St,Arkes 23-018, Chicago, IL 60611 USA.</t>
  </si>
  <si>
    <t>ashley.ross@nm.org</t>
  </si>
  <si>
    <t>National Cancer Institute [U10CA180868, U10CA180822, UG1CA189867, U24CA196067]; Pfizer; Bristol Myers Squibb</t>
  </si>
  <si>
    <t>National Cancer Institute (United States Department of Health &amp; Human Services, National Institutes of Health (NIH) - USA, NIH National Cancer Institute (NCI)); Pfizer (Pfizer); Bristol Myers Squibb (Bristol-Myers Squibb)</t>
  </si>
  <si>
    <t>This project was supported grants U10CA180868, U10CA180822, UG1CA189867, and U24CA196067 from the National Cancer Institute and Pfizer and Bristol Myers Squibb.</t>
  </si>
  <si>
    <t>[Ross, Ashley E.] Northwestern Med, Dept Urol, Chicago, IL USA; [Zhang, Jingbin; Huang, Huei-Chung; Yamashita, Rikiya; Keim-Malpass, Jessica; Esteva, Andre; Chen, Emmalyn] Artera Inc, Los Altos, CA USA; [Simko, Jeffry P.; Devries, Sandy; Mohamad, Osama; Feng, Felix Y.] Univ Calif San Francisco, San Francisco, CA USA; [Morgan, Todd M.; Dess, Robert T.] Univ Michigan, Ann Arbor, MI USA; [Souhami, Luis] McGill Univ, Res Inst, Hlth Ctr, Montreal, PQ, Canada; [Dobelbower, Michael C.] Univ Alabama Birmingham, Birmingham Canc Ctr, Birmingham, AL USA; [Mcginnis, L. Scott] Novant Hlth Presbyterian Med Ctr, Charlotte, NC USA; [Jones, Christopher U.; Rosenthal, Seth A.] Sutter Med Ctr Sacramento, Sacramento, CA USA; [Zeitzer, Kenneth L.] Albert Einstein Med Ctr, Philadelphia, PA USA; [Choi, Kwang] SUNY Brooklyn, Brooklyn MB CCOP, Brooklyn, NY USA; [Hartford, Alan C.] Dartmouth Hitchcock Med Ctr, Lebanon, NH USA; [Michalski, Jeff M.] Washington Univ, Sch Med, St Louis, MO USA; [Raben, Adam] Christiana Care Hlth Serv Inc, CCOP, Wilmington, DE USA; [Gomella, Leonard G.] Thomas Jefferson Univ Hosp, Philadelphia, PA USA; [Sartor, A. Oliver] Tulane Univ, Hlth Sci Ctr, New Orleans, LA USA; [Sandler, Howard M.] Cedars Sinai Med Ctr, Los Angeles, CA USA; [Spratt, Daniel E.] Case Western Reserve Univ, UH Seidman Canc Ctr, Cleveland, OH USA; [Pugh, Stephanie L.] NRG Oncol Stat &amp; Data Management Ctr, Philadelphia, PA USA; [Pugh, Stephanie L.] Amer Coll Radiol, Philadelphia, PA USA; [Schaeffer, Edward M.] Northwestern Univ, Chicago, IL USA; [Tran, Phuoc T.] Univ Maryland, Baltimore, MD USA</t>
  </si>
  <si>
    <t>Northwestern University; Feinberg School of Medicine; University of California System; University of California San Francisco; University of Michigan System; University of Michigan; McGill University; University of Alabama System; University of Alabama Birmingham; Yeshiva University; State University of New York (SUNY) System; Dartmouth College; Washington University (WUSTL); Christiana Care Health System; Thomas Jefferson University; Tulane University; Cedars Sinai Medical Center; University System of Ohio; Case Western Reserve University; American College of Radiology; Northwestern University; University System of Maryland; University of Maryland Baltimore</t>
  </si>
  <si>
    <t>External Validation of a Digital Pathology-based Multimodal Artificial Intelligence Architecture in the NRG/RTOG 9902 Phase 3 Trial</t>
  </si>
  <si>
    <t>EUROPEAN UROLOGY ONCOLOGY</t>
  </si>
  <si>
    <t>Artificial intelligence; Biomarker; Digital histopathology; Prostate cancer</t>
  </si>
  <si>
    <t>PROSTATE-CANCER; ADENOCARCINOMA; UNDERTREATMENT; PREDICTION; DIAGNOSIS; PROGNOSIS; SUBTYPES; MODEL</t>
  </si>
  <si>
    <t>Spratt, Daniel/AAM-4612-2020; Morgan, Todd/A-8531-2012</t>
  </si>
  <si>
    <t>Gomella, Leonard/0009-0003-4996-8813; Schaeffer, Edward/0000-0003-0699-1899; Dess, Robert/0000-0003-2331-3758; Morgan, Todd/0000-0002-1140-0603</t>
  </si>
  <si>
    <t>2588-9311</t>
  </si>
  <si>
    <t>EUR UROL ONCOL</t>
  </si>
  <si>
    <t>Eur. Urol. Oncol.</t>
  </si>
  <si>
    <t>1024</t>
  </si>
  <si>
    <t>1033</t>
  </si>
  <si>
    <t>10.1016/j.euo.2024.01.004</t>
  </si>
  <si>
    <t>http://dx.doi.org/10.1016/j.euo.2024.01.004</t>
  </si>
  <si>
    <t>Oncology; Urology &amp; Nephrology</t>
  </si>
  <si>
    <t>H7Q3M</t>
  </si>
  <si>
    <t>38302323</t>
  </si>
  <si>
    <t>WOS:001325348000001</t>
  </si>
  <si>
    <t>McInnis, M; Liu, CC; Arbona, V; Apostolopoulos, N</t>
  </si>
  <si>
    <t>Background Otitis externa (OE) is common in dogs, yet accurate otoscopic diagnosis remains challenging. Artificial intelligence (AI) may augment clinical decision-making in otoscopy. Previous work suggested that dataset size and duplicate images affect model performance.Hypothesis/Objectives External validation of four YOLOv8n models using new images and comparison with six veterinary professionals of varying experience. We expected that models trained on larger, deduplicated datasets would demonstrate superior performance, and that the best-performing model would outperform non-specialist veterinary professionals while remaining comparable to board-certified referral clinicians.Materials and Methods Four YOLOv8n models (A-D) were trained using different dataset compositions and externally validated on 300 previously unseen otoscopic images (100 healthy, 100 OE, 100 ear canal masses). Predictions were compared with reference labels assigned by a board-certified referral clinician. Six veterinary professionals independently classified the same images, blinded to ground truth and AI outputs. Performance was assessed across multiple confidence thresholds (0.25-0.75) using overall agreement, Cohen's kappa, sensitivity and specificity.Results Model D (largest deduplicated dataset) demonstrated the highest external performance, achieving 66.3% agreement and kappa = 0.508 at a 0.25 confidence threshold. Classwise sensitivity/specificity for Model D (0.25) were: healthy (90.0%/69.0%), OE (59.0%/75.5%) and mass (50.0%/93.5%). Veterinary professionals outperformed all AI models (median agreement 77.2%, kappa = 0.658), with the referral clinician achieving the highest concordance.Conclusions and Clinical Relevance Model D generalised best during external validation yet remained inferior to veterinary professionals. These results support the model's role as a decision-support tool rather than a replacement for clinical expertise.</t>
  </si>
  <si>
    <t>McInnis, Marley; Liu, Chin-Chi; Arbona, Veronica; Apostolopoulos, Neoklis</t>
  </si>
  <si>
    <t>Apostolopoulos, N (corresponding author), Louisiana State Univ, Sch Vet Med, Dept Vet Clin Sci, Baton Rouge, LA 70802 USA.</t>
  </si>
  <si>
    <t>napostolopoulos@lsu.edu</t>
  </si>
  <si>
    <t>[McInnis, Marley; Arbona, Veronica; Apostolopoulos, Neoklis] Louisiana State Univ, Sch Vet Med, Dept Vet Clin Sci, Baton Rouge, LA 70802 USA; [Liu, Chin-Chi] Sch Vet Med, Off Res &amp; Grad Educ, Baton Rouge, LA USA</t>
  </si>
  <si>
    <t>Louisiana State University System; Louisiana State University School of Veterinary Medicine; Louisiana State University</t>
  </si>
  <si>
    <t>External Validation of a Custom-Trained Artificial Intelligence Model for Canine Ear Canal Disease and Comparison With Veterinary Professionals</t>
  </si>
  <si>
    <t>VETERINARY DERMATOLOGY</t>
  </si>
  <si>
    <t>artificial intelligence; dermatology; machine learning; otitis externa; YOLO</t>
  </si>
  <si>
    <t>OTITIS-EXTERNA</t>
  </si>
  <si>
    <t>Apostolopoulos, Neoklis/AAF-7334-2019; Liu, Chin-Chi/LWJ-3744-2024</t>
  </si>
  <si>
    <t>Liu, Chin-Chi/0000-0003-0723-8313</t>
  </si>
  <si>
    <t>0959-4493</t>
  </si>
  <si>
    <t>1365-3164</t>
  </si>
  <si>
    <t>VET DERMATOL</t>
  </si>
  <si>
    <t>Vet. Dermatol.</t>
  </si>
  <si>
    <t>10.1111/vde.70105</t>
  </si>
  <si>
    <t>http://dx.doi.org/10.1111/vde.70105</t>
  </si>
  <si>
    <t>Dermatology; Veterinary Sciences</t>
  </si>
  <si>
    <t>LB3AR</t>
  </si>
  <si>
    <t>42457205</t>
  </si>
  <si>
    <t>WOS:001820513100001</t>
  </si>
  <si>
    <t>Smesseim, I; Lipman, KBWG; Trebeschi, S; Stuiver, MM; Tissier, R; Burgers, JA; de Gooijer, CJ</t>
  </si>
  <si>
    <t>Background Asbestosis, a rare pneumoconiosis marked by diffuse pulmonary fibrosis, arises from prolonged asbestos exposure. Its diagnosis, guided by the Helsinki criteria, relies on exposure history, clinical findings, radiology, and lung function. However, interobserver variability complicates diagnoses and financial compensation. This study prospectively validated the sensitivity of an AI-driven assessment for asbestosis compensation in the Netherlands. Secondary objectives included evaluating specificity, accuracy, predictive values, area under the curve of the receiver operating characteristic (ROC-AUC), area under the precision-recall curve (PR-AUC), and interobserver variability.&lt;br /&gt; Materials and methods Between September 2020 and July 2022, 92 adult compensation applicants were assessed using both AI models and pulmonologists' reviews based on Dutch Health Council criteria. The AI model assigned an asbestosis probability score: negative (&lt; 35), uncertain (35-66), or positive (&gt;= 66). Uncertain cases underwent additional reviews for a final determination.&lt;br /&gt; Results The AI assessment demonstrated sensitivity of 0.86 (95% confidence interval: 0.77-0.95), specificity of 0.85 (0.76-0.97), accuracy of 0.87 (0.79-0.93), ROC-AUC of 0.92 (0.84-0.97), and PR-AUC of 0.95 (0.89-0.99). Despite strong metrics, the sensitivity target of 98% was unmet. Pulmonologist reviews showed moderate to substantial interobserver variability.&lt;br /&gt; Conclusion The AI-driven approach demonstrated robust accuracy but insufficient sensitivity for validation. Addressing interobserver variability and incorporating objective fibrosis measurements could enhance future reliability in clinical and compensation settings.&lt;br /&gt; Relevance statement The AI-driven assessment for financial compensation of asbestosis showed adequate accuracy but did not meet the required sensitivity for validation.&lt;br /&gt; Key Points We prospectively assessed the sensitivity of an AI-driven assessment procedure for financial compensation of asbestosis.&lt;br /&gt; The AI-driven asbestosis probability score underperformed across all metrics compared to internal testing.&lt;br /&gt; The AI-driven assessment procedure achieved a sensitivity of 0.86 (95% confidence interval: 0.77-0.95). It did not meet the predefined sensitivity target.</t>
  </si>
  <si>
    <t>Smesseim, Illaa; Lipman, Kevin B. W. Groot; Trebeschi, Stefano; Stuiver, Martijn M.; Tissier, Renaud; Burgers, Jacobus A.; de Gooijer, Cornedine J.</t>
  </si>
  <si>
    <t>Smesseim, I (corresponding author), Netherlands Canc Inst, Dept Thorac Oncol, Amsterdam, Netherlands.</t>
  </si>
  <si>
    <t>i.smesseim@nki.nl</t>
  </si>
  <si>
    <t>Machiel van der Woude Stipendium</t>
  </si>
  <si>
    <t>LLMs were not used for writing this article.</t>
  </si>
  <si>
    <t>[Smesseim, Illaa; Lipman, Kevin B. W. Groot; Burgers, Jacobus A.; de Gooijer, Cornedine J.] Netherlands Canc Inst, Dept Thorac Oncol, Amsterdam, Netherlands; [Lipman, Kevin B. W. Groot; Trebeschi, Stefano] Maastricht Univ, Med Ctr, GROW Sch Oncol &amp; Dev Biol, Maastricht, Netherlands; [Lipman, Kevin B. W. Groot; Trebeschi, Stefano] Netherlands Canc Inst, Dept Radiol, Amsterdam, Netherlands; [Stuiver, Martijn M.; Tissier, Renaud] Netherlands Canc Inst, Div Psychosocial Res &amp; Epidemiol, Amsterdam, Netherlands; [Stuiver, Martijn M.] Univ Amsterdam, Dept Epidemiol &amp; Data Sci, Amsterdam UMC, APH, Amsterdam, Netherlands</t>
  </si>
  <si>
    <t>Netherlands Cancer Institute; Maastricht University; Maastricht University Medical Centre (MUMC); Netherlands Cancer Institute; Netherlands Cancer Institute; University of Amsterdam</t>
  </si>
  <si>
    <t>Prospective validation of an artificial intelligence assessment in a cohort of applicants seeking financial compensation for asbestosis (PROSBEST)</t>
  </si>
  <si>
    <t>EUROPEAN RADIOLOGY EXPERIMENTAL</t>
  </si>
  <si>
    <t>Artificial intelligence; Asbestosis; Lung disease (interstitial); Pneumoconiosis; Pulmonologists</t>
  </si>
  <si>
    <t>DISEASE; UPDATE</t>
  </si>
  <si>
    <t>Stuiver, Martijn/AAE-6231-2021; Gooijer, Cornedine/AAP-5768-2020</t>
  </si>
  <si>
    <t>SPRINGER WIEN</t>
  </si>
  <si>
    <t>Vienna</t>
  </si>
  <si>
    <t>Prinz-Eugen-Strasse 8-10, A-1040 Vienna, AUSTRIA</t>
  </si>
  <si>
    <t>2509-9280</t>
  </si>
  <si>
    <t>EUR RADIOL EXP</t>
  </si>
  <si>
    <t>Eur. Radiol. Exp.</t>
  </si>
  <si>
    <t>AUG 15 2025</t>
  </si>
  <si>
    <t>10.1186/s41747-025-00619-5</t>
  </si>
  <si>
    <t>http://dx.doi.org/10.1186/s41747-025-00619-5</t>
  </si>
  <si>
    <t>6EU9T</t>
  </si>
  <si>
    <t>40815460</t>
  </si>
  <si>
    <t>WOS:001551656800002</t>
  </si>
  <si>
    <t>Meng, N; Cheung, JPY; Wong, KYK; Dokos, S; Li, S; Choy, RW; To, S; Li, RJ; Zhang, T</t>
  </si>
  <si>
    <t>Background Assessment of spine alignment is crucial in the management of scoliosis, but current auto-analysis of spine alignment suffers from low accuracy. We aim to develop and validate a hybrid model named SpineHRNet+, which integrates artificial intelligence (AI) and rule-based methods to improve auto-alignment reliability and interpretability.Methods From December 2019 to November 2020, 1,542 consecutive patients with scoliosis attending two local scoliosis dinics (The Duchess of Kent Children's Hospital at Sandy Bay in Hong Kong; Queen Mary Hospital in Pok Fu lam on Hong Kong Island) were recruited. The biplanar radiographs of each patient were collected with our medical machine EOS (TM). The collected radiographs were recaptured using smartphones or screenshots, with deidentified images securely stored. Manually labelled landmarks and alignment parameters by a spine surgeon were considered as ground truth (GT). The data were split 8:2 to train and internally test SpineHRNet+, respectively. This was followed by a prospective validation on another 337 patients. Quantitative analyses of landmark predictions were conducted, and reliabilities of auto-alignment were assessed using linear regression and Bland-Altman plots. Deformity severity and sagittal abnormality dassifications were evaluated by confusion matrices.Findings SpineHRNet+ achieved accurate landmark detection with mean Euclidean distance errors of 2.78 and 5.52 pixels on posteroanterior and lateral radiographs, respectively. The mean angle errors between predictions and GT were 3.18 degrees and 6.32 degrees coronally and sagittally. All predicted alignments were strongly correlated with GT (p &lt; 0.001, R-2 &gt; 0.97), with minimal overall difference visualised via Bland-Altman plots. For curve detections, 95.7% sensitivity and 88.1% specificity was achieved, and for severity classification, 88.6-90.% sensitivity was obtained. For sagittal abnormalities, greater than 85.2-88.9% specificity and sensitivity were achieved.Interpretation The auto-analysis provided by SpineHRNet+ was reliable and continuous and it might offer the potential to assist clinical work and facilitate large-scale clinical studies. Copyright (C) 2021 The Authors. Published by Elsevier Ltd.</t>
  </si>
  <si>
    <t>Meng, Nan; Cheung, Jason P. Y.; Wong, Kwan-Yee K.; Dokos, Socrates; Li, Sofia; Choy, Richard W.; To, Samuel; Li, Ricardo J.; Zhang, Teng</t>
  </si>
  <si>
    <t>Cheung, JPY; Zhang, T (corresponding author), Univ Hong Kong, Li Ka Shing Fac Med, Queen Mary Hosp, Digital Hlth Lab,Pokfulam, 5-F Professorial Block, Hong Kong, Peoples R China.</t>
  </si>
  <si>
    <t>cheungjp@hku.hk; tgzhang@hku.hk</t>
  </si>
  <si>
    <t>RGC Research Impact Fund [R5017-18F]; Innovation and Technology Fund [ITS/404/18]; AOSpine East Asia Fund [AOSEA(R) 2019-06]</t>
  </si>
  <si>
    <t>RGC Research Impact Fund; Innovation and Technology Fund; AOSpine East Asia Fund</t>
  </si>
  <si>
    <t>We sincerely appreciated the support from the RGC Research Impact Fund (R5017-18F), Innovation and Technology Fund (ITS/404/18), and the AOSpine East Asia Fund (AOSEA(R) 2019-06).</t>
  </si>
  <si>
    <t>[Meng, Nan; Cheung, Jason P. Y.; Li, Sofia; Choy, Richard W.; To, Samuel; Li, Ricardo J.; Zhang, Teng] Univ Hong Kong, Li Ka Shing Fac Med, Queen Mary Hosp, Digital Hlth Lab,Pokfulam, 5-F Professorial Block, Hong Kong, Peoples R China; [Wong, Kwan-Yee K.] Univ Hong Kong, Dept Comp Sci, Pokfulam, Hong Kong, Peoples R China; [Dokos, Socrates] Univ New South Wales, Grad Sch Biomed Engn, Sydney, NSW, Australia</t>
  </si>
  <si>
    <t>University of Hong Kong; University of Hong Kong; University of New South Wales Sydney</t>
  </si>
  <si>
    <t>An artificial intelligence powered platform for auto-analyses of spine alignment irrespective of image quality with prospective validation</t>
  </si>
  <si>
    <t>ECLINICALMEDICINE</t>
  </si>
  <si>
    <t>Adolescent idiopathic scoliosis; Spine malalignment; Artificial intelligence; Deep learning; Open platform</t>
  </si>
  <si>
    <t>SCOLIOSIS</t>
  </si>
  <si>
    <t>Cheung, Jason/AAJ-2016-2020; Wong, Kenneth Kwan Yee/C-1577-2009; Meng, Nan/AAZ-1622-2020; Dokos, Socrates/F-5176-2010</t>
  </si>
  <si>
    <t>Wong, Kenneth Kwan Yee/0000-0001-8560-9007; Meng, Nan/0000-0003-2821-7474; Zhang, Teng/0000-0002-5310-8766; Choy, Wai Chak/0009-0000-7949-9075</t>
  </si>
  <si>
    <t>2589-5370</t>
  </si>
  <si>
    <t>EClinicalMedicine</t>
  </si>
  <si>
    <t>101252</t>
  </si>
  <si>
    <t>10.1016/j.eclinm.2021.101252</t>
  </si>
  <si>
    <t>http://dx.doi.org/10.1016/j.eclinm.2021.101252</t>
  </si>
  <si>
    <t>YO3NT</t>
  </si>
  <si>
    <t>35028544</t>
  </si>
  <si>
    <t>WOS:000747850800037</t>
  </si>
  <si>
    <t>Antaki, F; Hammana, I; Tessier, MC; Boucher, A; Jette, MLD; Beauchemin, C; Hammamji, K; Ong, AY; Rhéaume, MA; Gauthier, D; Harissi-Dagher, M; Keane, PA; Pom, A</t>
  </si>
  <si>
    <t>Background: Diabetic retinopathy (DR) affects about 25% of people with diabetes in Canada. Early detection of DR is essential for preventing vision loss. Objective: We evaluated the real-world performance of an artificial intelligence (AI) system that analyzes fundus images for DR screening in a Quebec tertiary care center. Methods: We prospectively recruited adult patients with diabetes at the Centre hospitalier del'Universit &amp; eacute; de Montr &amp; eacute;al (CHUM) in Montreal, Quebec, Canada. Patients underwent dual-pathway screening: first by the Computer Assisted Retinal Analysis (CARA) AI system (index test), then by standard ophthalmological examination (reference standard). We measured the AI system's sensitivity and specificity for detecting referable disease at the patient level, along with its performance for detecting any retinopathy and diabetic macular edema (DME) at the eye level, and potential cost savings. Results: This study included 115 patients. CARA demonstrated a sensitivity of 87.5% (95% CI 71.9-95.0) and specificity of 66.2% (95% CI 54.3-76.3) for detecting referable disease at the patient level. For any retinopathy detection at the eye level, CARA showed 88.2% sensitivity (95% CI 76.6-94.5) and 71.4%specificity (95% CI 63.7-78.1). For DME detection, CARA had 100% sensitivity (95% CI 64.6-100) and 81.9% specificity (95% CI 75.6-86.8). Potential yearly savings from implementing CARA at the CHUM were estimated at CAD $245,635 (US $177,643.23, as of July 26, 2024) considering 5000 patients with diabetes. Conclusions:Our study indicates that integrating a semiautomated AI system for DR screening demonstrates high sensitivity for detecting referable disease in a real-world setting. This system has the potentialto improve screening efficiency and reduce costs at the CHUM, but more work is needed to validate it.</t>
  </si>
  <si>
    <t>Antaki, Fares; Hammana, Imane; Tessier, Marie-Catherine; Boucher, Andree; Jette, Maud Laurence David; Beauchemin, Catherine; Hammamji, Karim; Ong, Ariel Yuhan; Rheaume, Marc-Andre; Gauthier, Danny; Harissi-Dagher, Mona; Keane, Pearse A.; Pom, Alfons</t>
  </si>
  <si>
    <t>Antaki, F (corresponding author), UCL, Inst Ophthalmol, 11-43 Bath St, London EC1V 9EL, England.</t>
  </si>
  <si>
    <t>f.antaki@ucl.ac.uk</t>
  </si>
  <si>
    <t>[Antaki, Fares] UCL, Inst Ophthalmol, 11-43 Bath St, London EC1V 9EL, England; [Antaki, Fares; Tessier, Marie-Catherine; Hammamji, Karim; Rheaume, Marc-Andre; Gauthier, Danny; Harissi-Dagher, Mona] Ctr Hosp Univ Montreal, Dept Ophthalmol, Montreal, PQ, Canada; [Antaki, Fares; Hammamji, Karim; Rheaume, Marc-Andre; Gauthier, Danny; Harissi-Dagher, Mona] Univ Montreal, Dept Ophthalmol, Montreal, PQ, Canada; [Antaki, Fares] Ctr Hosp Univ Montreal, CHUM Sch Artificial Intelligence Healthcare SAIH, Montreal, PQ, Canada; [Antaki, Fares; Ong, Ariel Yuhan; Keane, Pearse A.] Moorfields Eye Hosp NHS Fdn Trust, London, England; [Hammana, Imane; Pom, Alfons] Ctr Hosp Univ Montreal, Montreal, PQ, Canada; [Boucher, Andree] Ctr Hosp Univ Montreal, Div Neurosurg, Montreal, PQ, Canada; Ctr Hosp Univ Montreal, Direct Soutien Transformat, Montreal, PQ, Canada; [Beauchemin, Catherine] Univ Montreal, Fac Pharm, Montreal, PQ, Canada; [Ong, Ariel Yuhan] Oxford Univ Hosp NHS Fdn Trust, Oxford Eye Hosp, Oxford, England; [Keane, Pearse A.] NIHR Moorfields Biomed Res Ctr, London, England; [Pom, Alfons] Univ Montreal, Dept Surg, Montreal, PQ, Canada</t>
  </si>
  <si>
    <t>University of London; University College London; Universite de Montreal; Universite de Montreal; Universite de Montreal; University of London; University College London; Moorfields Eye Hospital NHS Foundation Trust; Universite de Montreal; Universite de Montreal; Universite de Montreal; Universite de Montreal; Oxford University Hospitals NHS Foundation Trust; Universite de Montreal</t>
  </si>
  <si>
    <t>Implementation of Artificial Intelligence-Based Diabetic Retinopathy Screening in a Tertiary Care Hospital in Quebec: Prospective Validation Study</t>
  </si>
  <si>
    <t>JMIR DIABETES</t>
  </si>
  <si>
    <t>artificial intelligence; diabetic retinopathy; screening; clinical validation; diabetic; diabetes; tertiary care hospital; validation study; Quebec; Canada; vision; vision loss; ophthalmological; AI; detection; eye</t>
  </si>
  <si>
    <t>TELE-OPHTHALMOLOGY; MODEL</t>
  </si>
  <si>
    <t>Keane, Pearse/AAE-5709-2019; Antaki, Fares/GSI-6622-2022</t>
  </si>
  <si>
    <t>Gauthier, Danny/0009-0009-9576-3521; Beauchemin, Catherine/0000-0002-5903-5430; Keane, Pearse/0000-0002-9239-745X; hammamji, karim/0000-0001-5893-9174; , Marc-André Rhéaume/0009-0009-4332-5933; Ong, Yu Han/0000-0001-9300-573X; Antaki, Fares/0000-0001-6679-7276</t>
  </si>
  <si>
    <t>2371-4379</t>
  </si>
  <si>
    <t>JMIR Diabetes</t>
  </si>
  <si>
    <t>e59867</t>
  </si>
  <si>
    <t>10.2196/59867</t>
  </si>
  <si>
    <t>http://dx.doi.org/10.2196/59867</t>
  </si>
  <si>
    <t>Health Care Sciences &amp; Services; Endocrinology &amp; Metabolism</t>
  </si>
  <si>
    <t>P2E2Z</t>
  </si>
  <si>
    <t>39226095</t>
  </si>
  <si>
    <t>WOS:001376103000001</t>
  </si>
  <si>
    <t>Tan, XR; Zhou, SD; Lv, BH; Wei, FZ; Teng, WB; Qin, C; Hu, RT</t>
  </si>
  <si>
    <t>Background Identifying patients with advanced stage in Parkinson's disease (PD) is crucial for timely therapeutic intervention, yet current tools rely on subjective clinical scales or expensive biomarkers. We aimed to develop and validate a predictive model based on routine blood biomarkers selected by machine learning algorithms.Methods We retrospectively analyzed data from 536 PD patients in a discovery cohort and 80 patients in an independent external validation cohort. Patients were classified as having early or advanced stage based on Hoehn and Yahr staging scale. LASSO and Random Forest (RF) algorithms were employed to screen predictors from demographic and routine blood variables. Selected features were integrated into a multivariable logistic regression model to construct a predictive model. Model performance was evaluated using the AUC, calibration curves, and decision curve analysis (DCA).Results Six biomarkers including total bilirubin (TB), indirect bilirubin (IBIL), albumin (ALB), cholinesterase (ChE), lactate dehydrogenase (LDH), and creatine kinase (CK), were identified as independent predictors based on LASSO and RF algorithms. The predictive model demonstrated excellent discriminative ability in the discovery cohort (AUC = 0.873) and maintained robust performance in the external validation cohort (AUC = 0.736). Calibration curve showed good agreement between predicted probabilities and observed outcomes. DCA confirmed the clinical net benefit of the model across a wide range of threshold probabilities. Notably, advanced-stage patients exhibited significantly higher levels of TB, IBIL, ALB, and ChE, but lower levels of LDH compared to early-stage patients.Conclusion We established a reliable, non-invasive, and economically efficient predictive model using six blood biomarkers to identify advanced PD.</t>
  </si>
  <si>
    <t>Tan, Xiao-Ru; Zhou, Shao-Dan; Lv, Bing-Hua; Wei, Fu-Zan; Teng, Wen-Bin; Qin, Chao; Hu, Rui-Ting</t>
  </si>
  <si>
    <t>Qin, C (corresponding author), Guangxi Med Univ, Affiliated Hosp 1, Dept Neurol, Nanning, Peoples R China.; Hu, RT (corresponding author), Minzu Hosp Guangxi Zhuang Autonomous Reg, Dept Neurol, Nanning, Peoples R China.</t>
  </si>
  <si>
    <t>214846642@qq.com; mdqc2019@126.com</t>
  </si>
  <si>
    <t>National Natural Science Foundation of China [81860222, 82060226]; Scientific research team incubation project of Guangxi Minzu Hospital [FY202107]; Innovation Project of Guangxi Graduate Education [YCSW2023218]</t>
  </si>
  <si>
    <t>National Natural Science Foundation of China (National Natural Science Foundation of China (NSFC)); Scientific research team incubation project of Guangxi Minzu Hospital; Innovation Project of Guangxi Graduate Education</t>
  </si>
  <si>
    <t>The author(s) declared that financial support was received for this work and/or its publication. This study was partially supported by research funding from the National Natural Science Foundation of China (Nos. 81860222 and 82060226), Scientific research team incubation project of Guangxi Minzu Hospital (No. FY202107), and Innovation Project of Guangxi Graduate Education (No. YCSW2023218).</t>
  </si>
  <si>
    <t>[Tan, Xiao-Ru; Lv, Bing-Hua; Qin, Chao] Guangxi Med Univ, Affiliated Hosp 1, Dept Neurol, Nanning, Peoples R China; [Zhou, Shao-Dan; Wei, Fu-Zan; Teng, Wen-Bin; Hu, Rui-Ting] Minzu Hosp Guangxi Zhuang Autonomous Reg, Dept Neurol, Nanning, Peoples R China</t>
  </si>
  <si>
    <t>Guangxi Medical University</t>
  </si>
  <si>
    <t>Development and external validation of a machine learning-based model for identifying advanced Parkinson's disease</t>
  </si>
  <si>
    <t>FRONTIERS IN AGING NEUROSCIENCE</t>
  </si>
  <si>
    <t>advanced stage; biomarkers; machine learning; Parkinson's disease; predictive model</t>
  </si>
  <si>
    <t>1663-4365</t>
  </si>
  <si>
    <t>FRONT AGING NEUROSCI</t>
  </si>
  <si>
    <t>Front. Aging Neurosci.</t>
  </si>
  <si>
    <t>JUN 3 2026</t>
  </si>
  <si>
    <t>1867251</t>
  </si>
  <si>
    <t>10.3389/fnagi.2026.1867251</t>
  </si>
  <si>
    <t>http://dx.doi.org/10.3389/fnagi.2026.1867251</t>
  </si>
  <si>
    <t>Geriatrics &amp; Gerontology; Neurosciences</t>
  </si>
  <si>
    <t>Geriatrics &amp; Gerontology; Neurosciences &amp; Neurology</t>
  </si>
  <si>
    <t>JP2LF</t>
  </si>
  <si>
    <t>42318560</t>
  </si>
  <si>
    <t>WOS:001794702300001</t>
  </si>
  <si>
    <t>Pereira, HR; Diogo, VS; Fonseca, JM; Ferreira, HA; Prata, DP</t>
  </si>
  <si>
    <t>PurposeAssessing generalizability and performance of machine learning models in clinical settings is crucial. In this study, we aimed to test our models' performance on an external validation real-world clinical dataset and to evaluate the impact of magnetic field strength and brain volume normalization on the classification.MethodsWe validated two previously published models trained on public datasets (Alzheimer's disease [AD], mild cognitive impairment [MCI] and cognitively normal [CN] subjects) on a real-world clinical dataset from UK memory clinics (SLaM-BRC: 255 non-AD [subjects without cognitive complaints], 281 MCI and 711 AD).ResultsOur 'CN vs. AD' model showed similar performance when tested at different magnetic fields (1.5T vs. 3.0T: 87.1% of 93 subjects had the same class assignment). The volume-normalized 'CN vs. AD' model (87.7% balanced accuracy [BAC]) led to decreased performance in the SLaM-BRC (81.5% BAC) due to misclassifications of non-AD subjects with evidence of hippocampal atrophy. The non-normalized 'CN vs. MCI vs. AD' model's performance (initially 55.3% BAC) remained similar in the SLaM-BRC cohort (BAC: SLaM-BRC = 54.6%).ConclusionVolumes normalized to the estimated total intracranial volume led to a smaller difference in performance between internal and external datasets than non-normalized volumes. Our 'CN vs. MCI vs. AD' model performance remained the same, denoting robustness. These findings suggest that dataset and disease/diagnostic heterogeneities, magnetic field, and brain volume normalization may affect models' performance.</t>
  </si>
  <si>
    <t>Pereira, Helena Rico; Diogo, Vasco Sa; Fonseca, Jose Manuel; Ferreira, Hugo Alexandre; Prata, Diana Pinto</t>
  </si>
  <si>
    <t>Prata, DP (corresponding author), Univ Nova Lisboa, Sch Sci &amp; Technol, Lab Instrumentacao Engn Biomed &amp; Fis Radiacoes LIB, Lisbon, Portugal.; Prata, DP (corresponding author), Univ Lisbon, Inst Biophys &amp; Biomed Engn, Fac Sci, Lisbon, Portugal.; Prata, DP (corresponding author), Kings Coll London, Inst Psychiat Psychol &amp; Neurosci, London, England.</t>
  </si>
  <si>
    <t>vasco.sa22@gmail.com; diana.prata@kcl.ac.uk; hri.pereira@campus.fct.unl.pt; jmf@uninova.pt; hugoferreira@campus.ul.pt</t>
  </si>
  <si>
    <t>[Prata, Diana Pinto] Univ Nova Lisboa, Sch Sci &amp; Technol, Lab Instrumentacao Engn Biomed &amp; Fis Radiacoes LIB, Lisbon, Portugal; [Pereira, Helena Rico; Diogo, Vasco Sa; Ferreira, Hugo Alexandre; Prata, Diana Pinto] Univ Lisbon, Inst Biophys &amp; Biomed Engn, Fac Sci, Lisbon, Portugal; [Diogo, Vasco Sa] Univ Inst Lisbon, CIS Iscte, Lisbon, Portugal; [Prata, Diana Pinto] Kings Coll London, Inst Psychiat Psychol &amp; Neurosci, London, England; [Pereira, Helena Rico; Fonseca, Jose Manuel] NOVA, Sch Sci &amp; Technol, UNINOVA CTS, Lisbon, Portugal; [Ferreira, Hugo Alexandre] Univ Lisbon, Inst Fisiol, Fac Med, Lisbon, Portugal</t>
  </si>
  <si>
    <t>Universidade Nova de Lisboa; Universidade de Lisboa; Instituto Universitario de Lisboa; University of London; King's College London; Universidade Nova de Lisboa; Universidade de Lisboa</t>
  </si>
  <si>
    <t>Real-World Generalizability of Alzheimer's Volumetric MRI Machine-Learning Models: External Validation with British Data</t>
  </si>
  <si>
    <t>CLINICAL NEURORADIOLOGY</t>
  </si>
  <si>
    <t>Mild cognitive impairment; Artificial intelligence; Biomarkers; External validation; Dementia</t>
  </si>
  <si>
    <t>MILD COGNITIVE IMPAIRMENT; PREDICTION MODEL; DISEASE; NORMALIZATION; INDIVIDUALS; BIOMARKERS; MCI</t>
  </si>
  <si>
    <t>Ferreira, Hugo/I-8538-2015; Prata, Diana/AFW-1995-2022; Sá Diogo, Vasco/GSI-4463-2022; /AAL-5512-2021</t>
  </si>
  <si>
    <t>Europaplatz 3, HEIDELBERG, GERMANY</t>
  </si>
  <si>
    <t>1869-1439</t>
  </si>
  <si>
    <t>1869-1447</t>
  </si>
  <si>
    <t>CLIN NEURORADIOL</t>
  </si>
  <si>
    <t>Clin. Neuroradiol.</t>
  </si>
  <si>
    <t>10.1007/s00062-026-01688-8</t>
  </si>
  <si>
    <t>http://dx.doi.org/10.1007/s00062-026-01688-8</t>
  </si>
  <si>
    <t>Clinical Neurology; Radiology, Nuclear Medicine &amp; Medical Imaging</t>
  </si>
  <si>
    <t>JY6TB</t>
  </si>
  <si>
    <t>42340466</t>
  </si>
  <si>
    <t>WOS:001801097600001</t>
  </si>
  <si>
    <t>Zhang, YX; Liu, HS; Liao, YX; Su, ZX; Song, LW; Ma, ZH; Pan, ZQ; Chen, YQ; Xia, MX; Li, JC; Jiang, LN</t>
  </si>
  <si>
    <t>Oral squamous cell carcinoma (OSCC) is characterized by an insidious onset, pronounced aggressiveness, and a substantial impact on patient survival. Current prognostication relies heavily on the TNM staging system, which often lacks precision. To address this, we developed and validated a machine learning (ML)-based prognostic nomogram. Analyzing 8,927 patients from the SEER database, we employed ML algorithms (LASSO, XGBoost, random forest (RF), support vector machine (SVM)) to identify key determinants, including age, race, sex, grade, and TNM stage, and constructed a Cox-based risk model. Crucially, bench-marking analysis demonstrated that our model achieved a C-index of 0.714, significantly outperforming the traditional TNM staging system (C-index: 0.665, p &lt; 0.001). These findings indicate that integrating demographic and pathological features with ML techniques yields superior risk stratification compared to anatomical staging alone. This nomogram offers a precise tool for personalized survival assessment and clinical decision-making.</t>
  </si>
  <si>
    <t>Zhang, Yangxiao; Liu, Hongsheng; Liao, Yixuan; Su, Zhenxing; Song, Luwen; Ma, Zhenghao; Pan, Zhiqiang; Chen, Yunqi; Xia, Mingxun; Li, Jiancheng; Jiang, Lina</t>
  </si>
  <si>
    <t>Jiang, LN (corresponding author), Bengbu Med Univ, Sch Stomatol, Bengbu, Peoples R China.</t>
  </si>
  <si>
    <t>jln_baby@163.com</t>
  </si>
  <si>
    <t>Bengbu Science and Technology Innovation Guidance Project [2024ZD0003]; Key Special Projects in Translational Medicine of Bengbu Medical University [BYTM 2019005]; University Cooperative Research and Public Health Collaborative Innovation Project of Anhui Province [GXXT-2020-021]</t>
  </si>
  <si>
    <t>Bengbu Science and Technology Innovation Guidance Project; Key Special Projects in Translational Medicine of Bengbu Medical University; University Cooperative Research and Public Health Collaborative Innovation Project of Anhui Province</t>
  </si>
  <si>
    <t>This work was supported by the Bengbu Science and Technology Innovation Guidance Project (2024ZD0003) , Key Special Projects in Translational Medicine of Bengbu Medical University (BYTM 2019005) , and the University Cooperative Research and Public Health Collaborative Innovation Project of Anhui Province (GXXT-2020-021) .</t>
  </si>
  <si>
    <t>[Zhang, Yangxiao; Liao, Yixuan; Su, Zhenxing] Bengbu Med Univ, Sch Basic Med, Bengbu, Peoples R China; [Liu, Hongsheng; Xia, Mingxun; Jiang, Lina] Bengbu Med Univ, Sch Stomatol, Bengbu, Peoples R China; [Song, Luwen; Ma, Zhenghao; Pan, Zhiqiang; Chen, Yunqi; Li, Jiancheng] Bengbu Med Univ, Affiliated Hosp 1, Bengbu, Peoples R China</t>
  </si>
  <si>
    <t>Bengbu Medical University; Bengbu Medical University; Bengbu Medical University</t>
  </si>
  <si>
    <t>Machine learning based prognostic model for oral squamous cell carcinoma using SEER data and external validation</t>
  </si>
  <si>
    <t>ISCIENCE</t>
  </si>
  <si>
    <t>SURVIVAL; NOMOGRAMS; CANCER</t>
  </si>
  <si>
    <t>CELL PRESS</t>
  </si>
  <si>
    <t>50 HAMPSHIRE ST, FLOOR 5, CAMBRIDGE, MA 02139 USA</t>
  </si>
  <si>
    <t>2589-0042</t>
  </si>
  <si>
    <t>iScience</t>
  </si>
  <si>
    <t>MAY 15 2026</t>
  </si>
  <si>
    <t>115634</t>
  </si>
  <si>
    <t>10.1016/j.isci.2026.115634</t>
  </si>
  <si>
    <t>http://dx.doi.org/10.1016/j.isci.2026.115634</t>
  </si>
  <si>
    <t>HL8UZ</t>
  </si>
  <si>
    <t>42063542</t>
  </si>
  <si>
    <t>WOS:001757143900001</t>
  </si>
  <si>
    <t>Yu, A; Lee, L; Yi, T; Fice, M; Achar, RK; Tepper, S; Jones, C; Klein, E; Buac, N; Lopez-Hisijos, N; Colman, MW; Gitelis, S; Blank, AT</t>
  </si>
  <si>
    <t>Purpose: Machine learning (ML) models have been used to predict cancer survival in several sarcoma subtypes. However, none have investigated extremity leiomyosarcoma (LMS). ML is a powerful tool that has the potential to better prognosticate extremity LMS. Methods: The Surveillance, Epidemiology, and End Results (SEER) database was queried for cases of histologic extremity LMS (n = 634). Patient, tumor, and treatment characteristics were recorded, and ML models were developed to predict 1-, 3-, and 5-year survival. The best performing ML model was externally validated using an institutional cohort of extremity LMS patients (n = 46). Results: All ML models performed best at the 1-year time point and worst at the 5-year time point. On internal validation within the SEER cohort, the best models had c-statistics of 0.75-0.76 at the 5-year time point. The Random Forest (RF) model was the best performing model and used for external validation. This model also performed best at 1-year and worst at 5-year on external validation with c-statistics of 0.90 and 0.87, respectively. The RF model was well calibrated on external validation. This model has been made publicly available at https://rachar.shinyapps.io/lms_app/ Conclusions: ML models had excellent performance for survival prediction of extremity LMS. Future studies incorporating a larger institutional cohort may be needed to further validate the ML model for LMS prognostication.</t>
  </si>
  <si>
    <t>Yu, Austin; Lee, Linus; Yi, Thomas; Fice, Michael; Achar, Rohan K.; Tepper, Sarah; Jones, Conor; Klein, Evan; Buac, Neil; Lopez-Hisijos, Nicolas; Colman, Matthew W.; Gitelis, Steven; Blank, Alan T.</t>
  </si>
  <si>
    <t>Yu, A (corresponding author), Rush Univ, Med Ctr, Dept Orthoped Surg, Sect Orthoped Oncol, 1611 W Harrison St,Suite 300, Chicago, IL 60612 USA.</t>
  </si>
  <si>
    <t>michael_p_fice@rush.edu; linus.h.lee@gmail.com; conor_m_jones@rush.edu; steven_gitelis@rush.edu; evan_d_klein@rush.edu; neilpatrick_l_buac@rush.edu; austinyu98@gmail.com; thomasyi17@gmail.com; sarah_c_tepper@rush.edu; nicolas_lopez-hisijos@rush.edu; matthew_w_colman@rush.edu; ra44139@gmail.com; alan_blank@rush.edu</t>
  </si>
  <si>
    <t>[Yu, Austin; Lee, Linus; Yi, Thomas; Fice, Michael; Achar, Rohan K.; Tepper, Sarah; Jones, Conor; Klein, Evan; Buac, Neil; Colman, Matthew W.; Gitelis, Steven; Blank, Alan T.] Rush Univ, Med Ctr, Dept Orthoped Surg, Sect Orthoped Oncol, 1611 W Harrison St,Suite 300, Chicago, IL 60612 USA; [Lopez-Hisijos, Nicolas] Rush Univ, Med Ctr, Dept Pathol, Chicago, IL USA</t>
  </si>
  <si>
    <t>Rush University; Rush University</t>
  </si>
  <si>
    <t>Development and external validation of a machine learning model for prediction of survival in extremity leiomyosarcoma</t>
  </si>
  <si>
    <t>SURGICAL ONCOLOGY-OXFORD</t>
  </si>
  <si>
    <t>Machine learning; Soft tissue sarcoma; Prognostication; Survival; Leiomyosarcoma</t>
  </si>
  <si>
    <t>SOFT-TISSUE SARCOMAS</t>
  </si>
  <si>
    <t>Blank, Alan/AAG-2137-2019; Buac, Neil Patrick/ITU-2162-2023</t>
  </si>
  <si>
    <t>Yu, Austin/0000-0003-0076-277X; Achar, Rohan/0000-0003-0077-7103</t>
  </si>
  <si>
    <t>0960-7404</t>
  </si>
  <si>
    <t>1879-3320</t>
  </si>
  <si>
    <t>SURG ONCOL</t>
  </si>
  <si>
    <t>Surg. Oncol.-Oxf.</t>
  </si>
  <si>
    <t>102057</t>
  </si>
  <si>
    <t>10.1016/j.suronc.2024.102057</t>
  </si>
  <si>
    <t>http://dx.doi.org/10.1016/j.suronc.2024.102057</t>
  </si>
  <si>
    <t>Oncology; Surgery</t>
  </si>
  <si>
    <t>Q1H8M</t>
  </si>
  <si>
    <t>38462387</t>
  </si>
  <si>
    <t>WOS:001382291400001</t>
  </si>
  <si>
    <t>Morales-Ivorra, I; Taverner, D; Codina, O; Castell, S; Fischer, P; Onken, D; Martínez-Osuna, P; Battioui, C; Marín-López, MA</t>
  </si>
  <si>
    <t>External validation is crucial in developing reliable machine learning models. This study aimed to validate three novel indices-Thermographic Joint Inflammation Score (ThermoJIS), Thermographic Disease Activity Index (ThermoDAI), and Thermographic Disease Activity Index-C-reactive protein (ThermoDAI-CRP)-based on hand thermography and machine learning to assess joint inflammation and disease activity in rheumatoid arthritis (RA) patients. A 12-week prospective observational study was conducted with 77 RA patients recruited from rheumatology departments of three hospitals. During routine care visits, indices were obtained at baseline and week 12 visits using a pre-trained machine learning model. The performance of these indices was assessed cross-sectionally and longitudinally using correlation coefficients, the area under the receiver operating curve (AUROC), sensitivity, specificity, and positive and negative predictive values. ThermoDAI and ThermoDAI-CRP correlated with CDAI, SDAI, and DAS28-CRP cross-sectionally (rho = 0.81; rho = 0.83; rho = 0.78) and longitudinally (rho = 0.55; rho = 0.61; rho = 0.60), all p &lt; 0.001. ThermoDAI and ThermoDAI-CRP also outperformed Patient Global Assessment (PGA) and PGA + C-reactive protein (CRP) in detecting changes in 28-swollen joint counts (SJC28). ThermoJIS had an AUROC of 0.67 (95% CI, 0.58 to 0.76) for detecting patients with swollen joints and effectively identified patients transitioning from SJC28 &gt; 1 at baseline visit to SJC28 &lt;= 1 at week 12 visit. These results support the effectiveness of ThermoJIS in assessing joint inflammation, as well as ThermoDAI and ThermoDAI-CRP in evaluating disease activity in RA patients.</t>
  </si>
  <si>
    <t>Morales-Ivorra, Isabel; Taverner, Delia; Codina, Oriol; Castell, Sonia; Fischer, Peter; Onken, Derek; Martinez-Osuna, Pindaro; Battioui, Chakib; Marin-Lopez, Manuel Alejandro</t>
  </si>
  <si>
    <t>Morales-Ivorra, I (corresponding author), Hosp Univ Igualada, Rheumatol Dept, Igualada 08700, Spain.</t>
  </si>
  <si>
    <t>manuel.marin@singularity-biomed.com; isabel.morales.ivorra@gmail.com</t>
  </si>
  <si>
    <t>Singularity Biomed; Eli Lilly and Company</t>
  </si>
  <si>
    <t>Singularity Biomed; Eli Lilly and Company (Eli Lilly)</t>
  </si>
  <si>
    <t>This research was funded by Singularity Biomed and Eli Lilly and Company.</t>
  </si>
  <si>
    <t>[Morales-Ivorra, Isabel] Hosp Univ Igualada, Rheumatol Dept, Igualada 08700, Spain; [Taverner, Delia] Hosp Univ St Joan Reus, Rheumatol Dept, Reus 43204, Spain; [Codina, Oriol; Castell, Sonia] Hosp Figueres, Rheumatol Dept, Figueres 17600, Spain; [Fischer, Peter; Martinez-Osuna, Pindaro] Eli Lilly &amp; Co, Immunol, Indianapolis, IN 46225 USA; [Onken, Derek; Battioui, Chakib] Eli Lilly &amp; Co, Adv Analyt &amp; Data Sci, Indianapolis, IN 46225 USA; [Marin-Lopez, Manuel Alejandro] Singular Biomed, R D Dept, Sant Cugat Del Valles 08174, Spain</t>
  </si>
  <si>
    <t>Eli Lilly; Eli Lilly</t>
  </si>
  <si>
    <t>External Validation of the Machine Learning-Based Thermographic Indices for Rheumatoid Arthritis: A Prospective Longitudinal Study</t>
  </si>
  <si>
    <t>rheumatoid arthritis; thermography; external validation; machine learning; artificial intelligence</t>
  </si>
  <si>
    <t>AMERICAN-COLLEGE; RHEUMATOLOGY/EUROPEAN LEAGUE; INFRARED THERMOGRAPHY; ULTRASONOGRAPHY; JOINT; INFLAMMATION; ULTRASOUND; REMISSION; STRATEGY; CRITERIA</t>
  </si>
  <si>
    <t>Marín López, Manuel Alejano/0000-0003-0833-3574; Morales-Ivorra, Isabel/0000-0001-8454-4854; Onken, Derek/0000-0002-4640-767X</t>
  </si>
  <si>
    <t>1394</t>
  </si>
  <si>
    <t>10.3390/diagnostics14131394</t>
  </si>
  <si>
    <t>http://dx.doi.org/10.3390/diagnostics14131394</t>
  </si>
  <si>
    <t>YR1J1</t>
  </si>
  <si>
    <t>39001284</t>
  </si>
  <si>
    <t>WOS:001270115100001</t>
  </si>
  <si>
    <t>Arenas-Cavalli, JT; Abarca, I; Rojas-Contreras, M; Bernuy, F; Donoso, R</t>
  </si>
  <si>
    <t>Objective To evaluate the accuracy and validity of an automated diabetic retinopathy (DR) screening tool (DART, TeleDx, Santiago, Chile) that uses artificial intelligence to analyze ocular fundus photographs for potential implementation in the national Chilean DR screening programme.Method This was an observational study of 1123 diabetic eye exams using a validation protocol designed by the commission of the Chilean Ministry of Health personnel and retina specialists.Results Receiver operating characteristic (ROC) analysis indicated a sensitivity of 94.6% (95% CI: 90.9-96.9%), specificity of 74.3% (95% CI: 73.3-75%), and negative predictive value of 98.1% (95% CI: 96.8-98.9%) for the automated tool at the optimal operating point for DR screening. The area under the ROC curve was 0.915.Conclusions The results of this study suggest that DART is a valid tool that could be implemented in a heterogeneous health network such as the Chilean system.</t>
  </si>
  <si>
    <t>Arenas-Cavalli, Jose Tomas; Abarca, Ignacio; Rojas-Contreras, Maximiliano; Bernuy, Fernando; Donoso, Rodrigo</t>
  </si>
  <si>
    <t>Arenas-Cavalli, JT (corresponding author), TeleDx, Santiago, Chile.</t>
  </si>
  <si>
    <t>jtarenasc@teledx.org</t>
  </si>
  <si>
    <t>[Arenas-Cavalli, Jose Tomas; Abarca, Ignacio; Rojas-Contreras, Maximiliano; Bernuy, Fernando; Donoso, Rodrigo] TeleDx, Santiago, Chile; [Donoso, Rodrigo] Univ Chile, Dept Ophthalmol, Santiago, Chile</t>
  </si>
  <si>
    <t>Universidad de Chile</t>
  </si>
  <si>
    <t>Clinical validation of an artificial intelligence-based diabetic retinopathy screening tool for a national health system</t>
  </si>
  <si>
    <t>IMAGE ASSESSMENT SOFTWARE; STEPS</t>
  </si>
  <si>
    <t>Bernuy, Fernando/J-4464-2015</t>
  </si>
  <si>
    <t>Bernuy, Fernando/0000-0003-3335-9848; Donoso, Roigo/0000-0003-1779-142X; Arenas-Cavalli, José Tomás/0000-0002-8205-7734; Rojas-Contreras, Maximiliano/0000-0001-5147-2866; Abarca, Ignacio/0000-0002-8864-4200</t>
  </si>
  <si>
    <t>85</t>
  </si>
  <si>
    <t>10.1038/s41433-020-01366-0</t>
  </si>
  <si>
    <t>http://dx.doi.org/10.1038/s41433-020-01366-0</t>
  </si>
  <si>
    <t>JAN 2021</t>
  </si>
  <si>
    <t>YA9VP</t>
  </si>
  <si>
    <t>33432168</t>
  </si>
  <si>
    <t>WOS:000607010200004</t>
  </si>
  <si>
    <t>Lieslehto, J; Tiihonen, J; Lähteenvuo, M; Kautzky, A; Akhtar, A; Armannsdóttir, B; Leucht, S; Correll, CU; Mittendorfer-Rutz, E; Tanskanen, A; Taipale, H</t>
  </si>
  <si>
    <t>Background Accurate mortality risk prediction could enhance treatment planning in bipolar disorder, where mortality rates rival those of many cancers. Such prognostic tools are lacking in psychiatry, where assessments typically emphasize immediate suicidality while neglecting long-term mortality risks, and their clinical use is debated. We evaluated the recently developed machine learning model MIRACLE-FEP, initially developed for first-episode psychosis, in predicting all-cause mortality in patients with first-episode bipolar disorder (FEBD), hypothesizing that it would provide accurate risk prediction and guide pharmacotherapy decisions. Methods We utilized national register-based cohorts of FEBD patients from Sweden (N = 31,013, followed 2006-2021) and Finland (N = 13,956, followed 1996-2018). We assessed the MIRACLE-FEP model's performance in predicting all-cause mortality using the area under the receiver operating characteristic curve (AUROC), calibration, and decision curve analysis. Additionally, we conducted a pharmacoepidemiologic analysis to examine the relationship between predicted mortality risk and pharmacotherapy effectiveness. Findings MIRACLE-FEP achieved an AUROC = 0.77 (95%CI = 0.73-0.80) for 2-year mortality prediction in Sweden and 0.71 (95%CI = 0.67-0.75) in Finland. For 10-year all-cause mortality prediction, the model demonstrated an AUROC of 0.71 in both cohorts. The model demonstrated relatively good calibration and indicated potential clinical utility in decision curve analysis. Among patients with predicted risk exceeding the observed two-year mortality rate in FEBD, the lowest mortality risk was observed with polytherapy regimens (compared to non-use of antipsychotics or mood stabilizers), including quetiapine and lamotrigine (HR = 0.42, 95%CI = 0.23-0.80) or mood stabilizer polytherapy (HR = 0.47, 95%CI = 0.27-0.82). Conversely, in patients with predicted risk below this threshold, complex pharmacotherapy was not associated with a significant reduction in mortality risk. Interpretation MIRACLE-FEP offers a promising approach to predicting long-term mortality risk and could guide proactive treatment decisions, such as targeting combination pharmacotherapy, in FEBD.</t>
  </si>
  <si>
    <t>Lieslehto, Johannes; Tiihonen, Jari; Lahteenvuo, Markku; Kautzky, Alexander; Akhtar, Aemal; Armannsdottir, Bergny; Leucht, Stefan; Correll, Christoph U.; Mittendorfer-Rutz, Ellenor; Tanskanen, Antti; Taipale, Heidi</t>
  </si>
  <si>
    <t>Lieslehto, J (corresponding author), Niuvanniemi Hosp, Niuvankuja 65, Kuopio 70240, Finland.</t>
  </si>
  <si>
    <t>johannes.lieslehto@ki.se</t>
  </si>
  <si>
    <t>Swedish Research Council for Health, Working Life and Welfare, FORTE [2021-01079]; Forte [2021-01079] Funding Source: Forte; Formas [2021-01079] Funding Source: Formas</t>
  </si>
  <si>
    <t>Swedish Research Council for Health, Working Life and Welfare, FORTE (Swedish Research Council for Health Working Life &amp; Welfare (Forte)); Forte (Swedish Research Council for Health Working Life &amp; Welfare (Forte)); Formas (Swedish Research Council Formas)</t>
  </si>
  <si>
    <t>The Swedish Research Council for Health, Working Life and Welfare, FORTE (2021-01079) .</t>
  </si>
  <si>
    <t>[Lieslehto, Johannes; Tiihonen, Jari; Lahteenvuo, Markku; Tanskanen, Antti; Taipale, Heidi] Univ Eastern Finland, Niuvanniemi Hosp, Dept Forens Psychiat, Kuopio, Finland; [Lieslehto, Johannes; Tiihonen, Jari; Kautzky, Alexander; Akhtar, Aemal; Armannsdottir, Bergny; Mittendorfer-Rutz, Ellenor; Tanskanen, Antti; Taipale, Heidi] Karolinska Inst, Dept Clin Neurosci, Div Insurance Med, Stockholm, Sweden; [Lieslehto, Johannes] Univ Helsinki, Inst Mol Med Finland, Helsinki, Finland; [Tiihonen, Jari; Tanskanen, Antti; Taipale, Heidi] Stockholm City Council, Ctr Psychiat Res, Stockholm, Sweden; [Taipale, Heidi] Univ Eastern Finland, Sch Pharm, Kuopio, Finland; [Leucht, Stefan] Tech Univ Munich, Sch Med, Dept Psychiat &amp; Psychotherapy, Munich, Germany; [Correll, Christoph U.] Zucker Hillside Hosp, Dept Psychiat, Northwell Hlth, Glen Oaks, NY USA; [Correll, Christoph U.] Donald &amp; Barbara Zucker Sch Med Hofstra Northwell, Dept Psychiat &amp; Mol Med, Hempstead, NY USA; [Correll, Christoph U.] Charite Univ Med Berlin, Dept Child &amp; Adolescent Psychiat, Berlin, Germany; [Correll, Christoph U.] German Ctr Mental Hlth DZPG, Partner Site, Berlin, Germany; [Leucht, Stefan] German Ctr Mental Hlth DZPG, Partner Site Munich, Tubingen, Germany</t>
  </si>
  <si>
    <t>University of Eastern Finland; Karolinska Institutet; University of Helsinki; Region Stockholm; University of Eastern Finland; University of Munich; Technical University of Munich; Northwell Health; Northwell Health; Free University of Berlin; Humboldt University of Berlin; Charite Universitatsmedizin Berlin</t>
  </si>
  <si>
    <t>Machine learning-based mortality risk assessment in first-episode bipolar disorder: a transdiagnostic external validation study</t>
  </si>
  <si>
    <t>Machine learning; Bipolar disorder; Pharmacotherapy</t>
  </si>
  <si>
    <t>CANCER; METAANALYSIS</t>
  </si>
  <si>
    <t>Correll, Christoph/D-3530-2011; Tiihonen, Jari/G-3078-2012; Lähteenvuo, Markku/AAG-7816-2020; Leucht, Stefan/Y-2408-2019</t>
  </si>
  <si>
    <t>Lieslehto, Johannes/0000-0001-6030-0249; Lähteenvuo, Markku/0000-0002-7244-145X; Taipale, Heidi/0000-0002-3281-934X; Akhtar, Aemal/0000-0002-8510-3636; Kautzky, Alexander/0000-0001-9251-8285</t>
  </si>
  <si>
    <t>103108</t>
  </si>
  <si>
    <t>10.1016/j.eclinm.2025.103108</t>
  </si>
  <si>
    <t>http://dx.doi.org/10.1016/j.eclinm.2025.103108</t>
  </si>
  <si>
    <t>FEB 2025</t>
  </si>
  <si>
    <t>X7W2R</t>
  </si>
  <si>
    <t>40034574</t>
  </si>
  <si>
    <t>WOS:001427397900001</t>
  </si>
  <si>
    <t>de Camargo, TFO; Ribeiro, GAS; da Silva, MCB; da Silva, LO; Torres, PPTES; da Silva, DDR; de Santos, MON; Salibe, W; Rosa, MEE; Novaes, MD; Massarutto, TA; Landi, O Jr; Yanata, E; Reis, MRD; Szarf, G; Netto, PVS; de Paiva, JPQ</t>
  </si>
  <si>
    <t>Background Chest X-ray (CXR) interpretation is critical in diagnosing various lung diseases. However, physicians, not specialists, are often the first ones to read them, frequently facing challenges in accurate interpretation. Artificial Intelligence (AI) algorithms could be of great help, but using real-world data is crucial to ensure their effectiveness in diverse healthcare settings. This study evaluates a deep learning algorithm designed for CXR interpretation, focusing on its utility for non-specialists in thoracic radiology physicians.Purpose To assess the performance of a Convolutional Neural Networks (CNNs)-based AI algorithm in interpreting CXRs and compare it with a team of physicians, including thoracic radiologists, who served as the gold-standard.Methods A retrospective study from January 2021 to July 2023 evaluated an algorithm with three independent models for Lung Abnormality, Radiological Findings, and Tuberculosis. The algorithm's performance was measured using accuracy, sensitivity, and specificity. Two groups of physicians validated the model: one with varying specialties and experience levels in interpreting chest radiographs (Group A) and another of board-certified thoracic radiologists (Group B). The study also assessed the agreement between the two groups on the algorithm's heatmap and its influence on their decisions.Results In the internal validation, the Lung Abnormality and Tuberculosis models achieved an AUC of 0.94, while the Radiological Findings model yielded a mean AUC of 0.84. During the external validation, utilizing the ground truth generated by board-certified thoracic radiologists, the algorithm achieved better sensitivity in 6 out of 11 classes than physicians with varying experience levels. Furthermore, Group A physicians demonstrated higher agreement with the algorithm in identifying markings in specific lung regions than Group B (37.56% Group A vs. 21.75% Group B). Additionally, physicians declared that the algorithm did not influence their decisions in 93% of the cases.Conclusion This retrospective clinical validation study assesses an AI algorithm's effectiveness in interpreting Chest X-rays (CXR). The results show the algorithm's performance is comparable to Group A physicians, using gold-standard analysis (Group B) as the reference. Notably, both Groups reported minimal influence of the algorithm on their decisions in most cases.</t>
  </si>
  <si>
    <t>de Camargo, Thiago Fellipe Ortiz; Ribeiro, Guilherme Alberto Sousa; da Silva, Maria Carolina Bueno; da Silva, Luan Oliveira; Torres, Pedro Paulo Teixeira e Silva; da Silva, Denise do Socorro Rodrigues; de Santos, Mayler Olombrada Nunes; Salibe Filho, William; Rosa, Marcela Emer Egypto; Novaes, Magdala de Araujo; Massarutto, Thiago Augusto; Landi Junior, Osvaldo; Yanata, Elaine; Reis, Marcio Rodrigues da Cunha; Szarf, Gilberto; Netto, Pedro Vieira Santana; de Paiva, Joselisa Peres Queiroz</t>
  </si>
  <si>
    <t>Ribeiro, GAS (corresponding author), Hosp Israelita Albert Einstein, Image Res Ctr, Sao Paulo, Brazil.; Ribeiro, GAS (corresponding author), Univ Fed Goias, Elect Mech &amp; Comp Engn Sch, Goiania, Go, Brazil.</t>
  </si>
  <si>
    <t>guilherme.asr@einstein.br</t>
  </si>
  <si>
    <t>Program of Support for the Institutional Development of the Unified Health System (PROADI-SUS) [NUP: 25000.156740/2023-25]; Hospital Israelita Albert Einstein</t>
  </si>
  <si>
    <t>Program of Support for the Institutional Development of the Unified Health System (PROADI-SUS); Hospital Israelita Albert Einstein</t>
  </si>
  <si>
    <t>The author(s) declare financial support was received for the research, authorship, and/or publication of this article. This work was supported by the Program of Support for the Institutional Development of the Unified Health System (PROADI-SUS, NUP: 25000.156740/2023-25) and Hospital Israelita Albert Einstein.</t>
  </si>
  <si>
    <t>[de Camargo, Thiago Fellipe Ortiz; Ribeiro, Guilherme Alberto Sousa; da Silva, Maria Carolina Bueno; da Silva, Luan Oliveira; Torres, Pedro Paulo Teixeira e Silva; Rosa, Marcela Emer Egypto; Yanata, Elaine; Szarf, Gilberto; Netto, Pedro Vieira Santana; de Paiva, Joselisa Peres Queiroz] Hosp Israelita Albert Einstein, Image Res Ctr, Sao Paulo, Brazil; [de Camargo, Thiago Fellipe Ortiz; Ribeiro, Guilherme Alberto Sousa] Univ Fed Goias, Elect Mech &amp; Comp Engn Sch, Goiania, Go, Brazil; [da Silva, Denise do Socorro Rodrigues] Clemente Ferreira Inst, Infectol Div, Sao Paulo, Brazil; [de Santos, Mayler Olombrada Nunes] Hosp Israelita Albert Einstein, Aparecida Goiania Municipal Hosp, Sao Paulo, Go, Brazil; [Salibe Filho, William] Heart Inst, Pulm Div, Sao Paulo, Brazil; [Novaes, Magdala de Araujo] Univ Fed Pernambuco, Med Sci Ctr, Recife, PE, Brazil; [Massarutto, Thiago Augusto; Landi Junior, Osvaldo] Diagnost Imaging Res &amp; Study Inst Fdn, Sao Paulo, Brazil; [Reis, Marcio Rodrigues da Cunha] Fed Inst Goias, Studies &amp; Res Sci &amp; Technol Grp, Goias, GO, Brazil</t>
  </si>
  <si>
    <t>Hospital Israelita Albert Einstein; Universidade Federal de Goias; Hospital Israelita Albert Einstein; Universidade de Sao Paulo; Universidade Federal de Pernambuco; Instituto Federal de Goias (IFG)</t>
  </si>
  <si>
    <t>Clinical validation of an artificial intelligence algorithm for classifying tuberculosis and pulmonary findings in chest radiographs</t>
  </si>
  <si>
    <t>FRONTIERS IN ARTIFICIAL INTELLIGENCE</t>
  </si>
  <si>
    <t>chest X-rays; artificial intelligence; deep learning; clinical validation; convolutional neural network</t>
  </si>
  <si>
    <t>CONFIDENCE; CANCER</t>
  </si>
  <si>
    <t>Paiva, Joselisa/O-1212-2015; Szarf, Gilberto/C-1302-2014; Torres, Pedro Paulo Teixeira e Silva/AAJ-8556-2020; Filho, William/L-9233-2018</t>
  </si>
  <si>
    <t>Paiva, Joselisa/0000-0001-7487-397X; Silva, Luan/0000-0002-1436-6391; Landi Junior, Osvaldo/0000-0002-8759-4475; Torres, Pedro Paulo Teixeira e Silva/0000-0002-8571-5667; de Araujo Novaes, Magdala/0000-0002-5494-319X</t>
  </si>
  <si>
    <t>2624-8212</t>
  </si>
  <si>
    <t>FRONT ARTIF INTELL</t>
  </si>
  <si>
    <t>Front. Artif. Intell.</t>
  </si>
  <si>
    <t>FEB 6 2025</t>
  </si>
  <si>
    <t>1512910</t>
  </si>
  <si>
    <t>10.3389/frai.2025.1512910</t>
  </si>
  <si>
    <t>http://dx.doi.org/10.3389/frai.2025.1512910</t>
  </si>
  <si>
    <t>Computer Science, Artificial Intelligence; Computer Science, Information Systems</t>
  </si>
  <si>
    <t>X7C1H</t>
  </si>
  <si>
    <t>39991462</t>
  </si>
  <si>
    <t>WOS:001426873400001</t>
  </si>
  <si>
    <t>Chen, H; Huang, YP; Chen, LZ</t>
  </si>
  <si>
    <t>Introduction Chronic kidney disease (CKD) poses a significant global health challenge, requiring timely interventions to manage renal function decline. Traditional predictive models often lack accuracy and generalizability. This study aimed to develop and validate a machine learning model to enhance risk prediction of renal function decline in CKD patients, enabling early and personalized interventions.Methods We developed an ensemble machine learning model using Random Forest, XGBoost, and LightGBM algorithms, incorporating advanced feature selection and hyperparameter tuning. The model was trained and validated on data from 1,200 CKD patients across multiple clinics, selected through stringent inclusion and exclusion criteria. Clinical, demographic, and laboratory data were processed with rigorous quality control. Model performance was assessed using area under the curve (AUC), calibration metrics, and five-fold cross-validation, with external validation across three medical centers.Results The ensemble model achieved an AUC of 0.89 (95% CI: 0.87-0.91), outperforming traditional Cox models (AUC: 0.82, 95% CI: 0.79-0.85) and standard machine learning approaches (AUC: 0.85, 95% CI: 0.83-0.87). Key predictors identified via SHAP analysis included estimated glomerular filtration rate (eGFR), age, and urinary protein-creatinine ratio. The model demonstrated excellent calibration (slope: 0.96, 95% CI: 0.94-0.98) and robust performance across diverse patient subgroups, with a 60.6% reduction in computational resource use compared to traditional methods.Discussion This machine learning model offers a significant advancement in predicting CKD progression, providing a reliable, generalizable tool for early risk stratification. Its superior accuracy and efficiency support integration into clinical workflows, potentially transforming CKD management by enabling proactive, data-driven interventions. Future research should focus on incorporating novel biomarkers and expanding multicenter validation to further enhance clinical applicability.</t>
  </si>
  <si>
    <t>Chen, Hong; Huang, Yuping; Chen, Lizhen</t>
  </si>
  <si>
    <t>Chen, H (corresponding author), 95th Hosp Putian China RongTong Med Hlth Corp, Dept Nephrol, Putian, Peoples R China.</t>
  </si>
  <si>
    <t>yykw76@163.com</t>
  </si>
  <si>
    <t>[Chen, Hong; Huang, Yuping] 95th Hosp Putian China RongTong Med Hlth Corp, Dept Nephrol, Putian, Peoples R China; [Chen, Lizhen] 95th Hosp Putian China RongTong Med Hlth Corp, Dept Rheumatol &amp; Immunol, Putian, Peoples R China</t>
  </si>
  <si>
    <t>Ensemble machine learning for predicting renal function decline in chronic kidney disease: development and external validation</t>
  </si>
  <si>
    <t>FRONTIERS IN MEDICINE</t>
  </si>
  <si>
    <t>machine learning; chronic kidney disease progression; risk prediction modeling; clinical decision support; precision nephrology</t>
  </si>
  <si>
    <t>MODEL; PROGRESSION</t>
  </si>
  <si>
    <t>2296-858X</t>
  </si>
  <si>
    <t>FRONT MED-LAUSANNE</t>
  </si>
  <si>
    <t>Front. Med.</t>
  </si>
  <si>
    <t>OCT 27 2025</t>
  </si>
  <si>
    <t>1598065</t>
  </si>
  <si>
    <t>10.3389/fmed.2025.1598065</t>
  </si>
  <si>
    <t>http://dx.doi.org/10.3389/fmed.2025.1598065</t>
  </si>
  <si>
    <t>9MV2D</t>
  </si>
  <si>
    <t>41221528</t>
  </si>
  <si>
    <t>WOS:001610111700001</t>
  </si>
  <si>
    <t>Mîtu, DA; Cindrea, AC; Borita, AM; Marza, AM; Fira-Mladinescu, C; Margan, MM; Herlo, A; Petrica, A; Rus, GA; Lighezan, DF; Zara, F; Mederle, OA</t>
  </si>
  <si>
    <t>Background and Objectives: Pulmonary embolism (PE) is a frequent thrombotic complication associated with SARS-CoV-2 infection and is linked to significant early mortality. Accurate early risk stratification in the emergency department (ED) remains challenging, and it is unclear how well commonly used PE prognostic tools perform in patients with concomitant COVID-19. Materials and Methods: We conducted a retrospective, single-centre study including 538 consecutive patients with acute PE and with or without confirmed SARS-CoV-2 infection admitted through the ED. Univariate analysis and machine learning models were employed to assess mortality risk. Results: In univariate analysis, mortality was strongly associated with sepsis (OR 11.68) and PESI class V (OR 5.56) and was also linked to higher neutrophil count (OR 1.19), platelet count (OR 1.12), and NT-proBNP (OR 1.20). In the non-COVID cohort, XGBoost and RF showed better discrimination than PESI class (AUC 0.864 and 0.834 vs. 0.725), while Support Vector Machines (SVM) was lower (AUC 0.740). On COVID-19 external validation, discrimination decreased: XGBoost AUC was 0.635, RF 0.614, PESI 0.584, and SVM showed no discrimination. Conclusions: ML models using routinely available ED variables improved in-hospital mortality prediction compared with PESI in non-COVID PE, but performance declined in COVID-19 patients, suggesting limited generalizability and the need for COVID-specific refinement and prospective multicenter validation.</t>
  </si>
  <si>
    <t>Mitu, Diana Alexandra; Cindrea, Alexandru Cristian; Borita, Alexandra Maria; Marza, Adina Maria; Fira-Mladinescu, Corneluta; Margan, Madalin-Marius; Herlo, Alexandra; Petrica, Alina; Rus, Gabriel-Aurel; Lighezan, Daniel-Florin; Zara, Flavia; Mederle, Ovidiu Alexandru</t>
  </si>
  <si>
    <t>Marza, AM (corresponding author), Emergency Clin Municipal Hosp, Emergency Dept, Timisoara 300254, Romania.; Marza, AM (corresponding author), Victor Babes Univ Med &amp; Pharm, Dept Surg, Timisoara 300041, Romania.; Fira-Mladinescu, C (corresponding author), Victor Babes Univ Med &amp; Pharm, Dept Microbiol, Discipline Hyg, Ctr Studies Prevent Med, Timisoara 300041, Romania.</t>
  </si>
  <si>
    <t>flavia.zara@umft.ro; fira-mladinescu.corneluta@umft.ro; marza.adina@umft.ro; margan.madalin@umft.ro; gabrielrua8@gmail.com; alexandru.cindrea@umft.ro; alexandra.mocanu@umft.ro; dlighezan@umft.ro; alexandraborita@gmail.com; mederle.ovidiu@umft.ro; diana-alexandra.mitu@umft.ro; alina.petrica@umft.ro</t>
  </si>
  <si>
    <t>[Mitu, Diana Alexandra; Cindrea, Alexandru Cristian] Victor Babes Univ Med &amp; Pharm, Fac Gen Med, Doctoral Sch, Timisoara 300041, Romania; [Mitu, Diana Alexandra; Borita, Alexandra Maria] Emergency Clin Municipal Hosp, Dept Internal Med, Timisoara 300254, Romania; [Cindrea, Alexandru Cristian; Marza, Adina Maria; Mederle, Ovidiu Alexandru] Emergency Clin Municipal Hosp, Emergency Dept, Timisoara 300254, Romania; [Marza, Adina Maria; Petrica, Alina; Mederle, Ovidiu Alexandru] Victor Babes Univ Med &amp; Pharm, Dept Surg, Timisoara 300041, Romania; [Fira-Mladinescu, Corneluta] Victor Babes Univ Med &amp; Pharm, Dept Microbiol, Discipline Hyg, Ctr Studies Prevent Med, Timisoara 300041, Romania; [Margan, Madalin-Marius] Victor Babes Univ Med &amp; Pharm, Dept Funct Sci, Discipline Publ Hlth, Timisoara 300041, Romania; [Margan, Madalin-Marius] Victor Babes Univ Med &amp; Pharm, Ctr Translat Res &amp; Syst Med, Fac Med, Timisoara 300041, Romania; [Herlo, Alexandra] Victor Babes Univ Med &amp; Pharm, Dept Infect Dis, Eftimie Murgu Sq 2, Timisoara 300041, Romania; [Petrica, Alina] Pius Brinzeu Emergency Clin Cty Hosp, Emergency Dept, Timisoara 300736, Romania; [Rus, Gabriel-Aurel] Emergency Clin Municipal Hosp, Dept Med Oncol, Timisoara 300254, Romania; [Lighezan, Daniel-Florin] Victor Babes Univ Med &amp; Pharm, Dept Med Semiol 1, 2 Eftimie Murgu Sq, Timisoara 300041, Romania; [Lighezan, Daniel-Florin] Victor Babes Univ Med &amp; Pharm, Adv Cardiol &amp; Hemostaseol Res Ctr, 2 Eftimie Murgu Sq, Timisoara 300041, Romania; [Zara, Flavia] Victor Babes Univ Med &amp; Pharm, Dept Microscop Morphol 2, E Murgu Sq 2, Timisoara 300041, Romania; [Zara, Flavia] Victor Babes Univ Med &amp; Pharm, Angiogenesis Res Ctr, E Murgu Sq 2, Timisoara 300041, Romania</t>
  </si>
  <si>
    <t>Victor Babes University of Medicine &amp; Pharmacy, Timisoara; Victor Babes University of Medicine &amp; Pharmacy, Timisoara; Victor Babes University of Medicine &amp; Pharmacy, Timisoara; Victor Babes University of Medicine &amp; Pharmacy, Timisoara; Victor Babes University of Medicine &amp; Pharmacy, Timisoara; Victor Babes University of Medicine &amp; Pharmacy, Timisoara; Victor Babes University of Medicine &amp; Pharmacy, Timisoara; Victor Babes University of Medicine &amp; Pharmacy, Timisoara; Victor Babes University of Medicine &amp; Pharmacy, Timisoara; Victor Babes University of Medicine &amp; Pharmacy, Timisoara</t>
  </si>
  <si>
    <t>Predicting Mortality in Pulmonary Embolism: A Machine Learning Approach with External Validation in COVID-19 Patients</t>
  </si>
  <si>
    <t>MEDICINA-LITHUANIA</t>
  </si>
  <si>
    <t>pulmonary embolism; SARS-CoV-2; risk stratification; PESI; machine learning</t>
  </si>
  <si>
    <t>NATRIURETIC PEPTIDE</t>
  </si>
  <si>
    <t>Ovidiu, Mederle/AAE-4554-2019; Mitu, Diana Alexadra/LVS-3424-2024; Margan, Madalin-Marius/JVZ-4971-2024; Marza, Adina Maria/ABX-0150-2022; Cindrea, Alexandru-Cristian/JFK-5414-2023; Petrica, Alina/HJP-3952-2023</t>
  </si>
  <si>
    <t>Mitu, Diana Alexadra/0009-0000-5258-670X; Cindrea, Alexandru-Cristian/0009-0001-7935-4471</t>
  </si>
  <si>
    <t>1010-660X</t>
  </si>
  <si>
    <t>1648-9144</t>
  </si>
  <si>
    <t>Med. Lith.</t>
  </si>
  <si>
    <t>FEB 23 2026</t>
  </si>
  <si>
    <t>421</t>
  </si>
  <si>
    <t>10.3390/medicina62020421</t>
  </si>
  <si>
    <t>http://dx.doi.org/10.3390/medicina62020421</t>
  </si>
  <si>
    <t>EG8SR</t>
  </si>
  <si>
    <t>41752819</t>
  </si>
  <si>
    <t>WOS:001700778400001</t>
  </si>
  <si>
    <t>Temte, B; Carey, KA; Spicer, A; Shah, N; Winslow, C; Gilbert, E; Afshar, M; Edelson, D; Churpek, M</t>
  </si>
  <si>
    <t>Introduction High-flow nasal cannula (HFNC) is an important treatment option for acute hypoxic respiratory failure and can improve outcomes. However, patients on a prolonged duration of HFNC have worse clinical outcomes and increased mortality. It is difficult to determine which patients will fail HFNC support at the time of initiation. Research question Does an externally validated machine learning model predict HFNC failure with greater discrimination compared with the ROX Index? Study design and methods Adult inpatients hospitalised at seven hospitals in four health systems who received HFNC were eligible for inclusion. Patients were excluded if they were intubated before first HFNC initiation, experienced the primary outcome &lt;1 hour after HFNC initiation, unable to calculate the ROX Index or began HFNC or experienced intubation or death in a location other than the studied locations. A gradient boosting model was used to predict the primary composite outcome of intubation or death within the next 24 hours at the time of HFNC initiation. The model was compared with the previously published ROX index. Results Of the 11 618 patients included in the study, 6787 were in the training cohort and 4831 were in the testing cohort. The primary outcome occurred in 1410 of 11 618 (12.1%) patients at 24 hours. In external validation, the area under the operating curve of the model for predicting HFNC failure within 24 hours was 0.760, which was significantly higher than the ROX index (0.696; p value &lt;0.001). This improvement in performance was consistent at all studied time periods, including 2, 6 and 12 hours after HFNC initiation. Interpretation In this study, we developed and externally validated a novel machine learning algorithm that outperforms the ROX Index in predicting failure of HFNC in patients with acute hypoxic respiratory failure. This model could augment clinical decision-making when treating patients with this morbid condition.</t>
  </si>
  <si>
    <t>Temte, Brandon; Carey, Kyle A.; Spicer, Alexandra; Shah, Nirav; Winslow, Christopher; Gilbert, Emily; Afshar, Majid; Edelson, Dana; Churpek, Matthew</t>
  </si>
  <si>
    <t>Temte, B (corresponding author), Univ Wisconsin, Pulm &amp; Crit Care, Madison, WI 53706 USA.</t>
  </si>
  <si>
    <t>mchurpek@medicine.wisc.edu; aspicer@medicine.wisc.edu; brandon.temte@gmail.com; nshah2@northshore.org; dperes@bsd.uchicago.edu; kcarey@bsd.uchicago.edu; cwinslow@northshore.org; mafshar@medicine.wisc.edu; emgilbert@lumc.edu</t>
  </si>
  <si>
    <t>NIH/ NHLBI [R01-HL157262]</t>
  </si>
  <si>
    <t>NIH/ NHLBI (United States Department of Health &amp; Human Services, National Institutes of Health (NIH) - USA, NIH National Heart Lung &amp; Blood Institute (NHLBI))</t>
  </si>
  <si>
    <t>Funding was provided by an NIH grant (NIH/ NHLBI R01-HL157262).</t>
  </si>
  <si>
    <t>[Temte, Brandon; Spicer, Alexandra; Afshar, Majid; Churpek, Matthew] Univ Wisconsin, Pulm &amp; Crit Care, Madison, WI 53706 USA; [Carey, Kyle A.; Edelson, Dana] Univ Chicago, Dept Med, Chicago, IL USA; [Shah, Nirav; Winslow, Christopher] NorthShore Univ HealthSystem, Evanston, IL USA; [Gilbert, Emily] Loyola Univ Chicago, Chicago, IL USA</t>
  </si>
  <si>
    <t>University of Wisconsin System; University of Wisconsin Madison; University of Chicago; NorthShore University Health System; Loyola University Chicago</t>
  </si>
  <si>
    <t>Development and external validation of a machine learning model to predict high flow nasal cannula failure</t>
  </si>
  <si>
    <t>BMJ OPEN RESPIRATORY RESEARCH</t>
  </si>
  <si>
    <t>Critical Care; Machine Learning</t>
  </si>
  <si>
    <t>HYPOXEMIC RESPIRATORY-FAILURE; ADULT PATIENTS; INTUBATION; MORTALITY; RISK; VENTILATION; THERAPY; OXYGEN; TIME</t>
  </si>
  <si>
    <t>Churpek, Matthew/0000-0002-4030-5250</t>
  </si>
  <si>
    <t>2052-4439</t>
  </si>
  <si>
    <t>BMJ OPEN RESPIR RES</t>
  </si>
  <si>
    <t>BMJ Open Respir. Res.</t>
  </si>
  <si>
    <t>NOV 18 2025</t>
  </si>
  <si>
    <t>e003355</t>
  </si>
  <si>
    <t>10.1136/bmjresp-2025-003355</t>
  </si>
  <si>
    <t>http://dx.doi.org/10.1136/bmjresp-2025-003355</t>
  </si>
  <si>
    <t>C5278</t>
  </si>
  <si>
    <t>41253404</t>
  </si>
  <si>
    <t>WOS:001620615800001</t>
  </si>
  <si>
    <t>Choi, HJ; Lee, G; Shin, SH; Lee, SM; Lee, HC; Sohn, JA; Lee, JA; Kim, HS</t>
  </si>
  <si>
    <t>We hypothesized that incorporating postnatal dynamic factors would enhance the prediction accuracy of bronchopulmonary dysplasia in preterm infants. This retrospective cohort study included neonates born before 32 weeks of gestation at Seoul National University Hospital between 2013 and 2022. The primary outcome was moderate or severe bronchopulmonary dysplasia. We assessed both static perinatal risk factors and dynamic factors, such as respiratory support type, inspired oxygen concentration, and blood gas analysis results within the first 7 days. The model was developed using data from 546 infants born between 2013 and 2021, with internal validation on 75 infants born in 2022. External validation was based on 105 infants recruited at the Boramae Medical Center. The integrated prediction model, combining static and dynamic factors, showed superior predictive performance, with an area under the receiver operating characteristic curve (AUROC) of 0.841 in the development set, outperforming the static perinatal factor model. Internal validation confirmed the robustness of the integrated model (AUROC: 0.912 vs. 0.805, p &lt; 0.0001). The performance was maintained in the external validation (AUROC: 0.814). Incorporating early respiratory support and blood gas analysis into predictive models substantially improved the accuracy of bronchopulmonary dysplasia prediction in preterm infants.</t>
  </si>
  <si>
    <t>Choi, Ho Jung; Lee, Garam; Shin, Seung Han; Lee, Seung Mi; Lee, Hyung-Chul; Sohn, Jin A.; Lee, Jin A.; Kim, Han-suk</t>
  </si>
  <si>
    <t>Shin, SH (corresponding author), Seoul Natl Univ, Coll Med, Dept Pediat, Seoul, South Korea.; Lee, SM (corresponding author), Seoul Natl Univ Hosp, Innovat Med Technol Res Inst, 101 Daehak Ro, Seoul, South Korea.; Shin, SH (corresponding author), Seoul Natl Univ Hosp, Dept Pediat, 101 Daehak Ro, Seoul, South Korea.; Lee, SM (corresponding author), Seoul Natl Univ, Coll Med, Dept Obstet &amp; Gynecol, Seoul, South Korea.; Lee, HC (corresponding author), Seoul Natl Univ, Coll Med, Dept Anesthesiol &amp; Pain Med, Seoul, South Korea.; Lee, HC (corresponding author), Seoul Natl Univ Hosp, Dept Anesthesiol &amp; Pain Med, 101 Doehak Ro, Seoul, South Korea.</t>
  </si>
  <si>
    <t>lbsm@snu.ac.kr; revival421@snu.ac.kr; vital@snu.ac.kr</t>
  </si>
  <si>
    <t>National Research Foundation of Korea (NRF) - Korean Government (MSIT) [RS-2024-00358565]; SNUH Research Fund [0420230350]; Korea Health Technology R&amp;D Project through the Korea Health Industry Development Institute (KHIDI) - Ministry of Health &amp; Welfare, Republic of Korea [HI22C1295]; Institute of Information &amp; communications Technology Planning &amp; Evaluation (IITP) grant - Korea government (MSIT) [RS-2021-II211343]</t>
  </si>
  <si>
    <t>National Research Foundation of Korea (NRF) - Korean Government (MSIT) (National Research Foundation of Korea); SNUH Research Fund; Korea Health Technology R&amp;D Project through the Korea Health Industry Development Institute (KHIDI) - Ministry of Health &amp; Welfare, Republic of Korea; Institute of Information &amp; communications Technology Planning &amp; Evaluation (IITP) grant - Korea government (MSIT) (Institute for Information &amp; Communication Technology Planning &amp; Evaluation (IITP), Republic of Korea)</t>
  </si>
  <si>
    <t>This work was supported by a National Research Foundation of Korea (NRF) Grant funded by the Korean Government (MSIT) (RS-2024-00358565) and the SNUH Research Fund (No. 0420230350). This research was also supported by a grant of the Korea Health Technology R&amp;D Project through the Korea Health Industry Development Institute (KHIDI), funded by the Ministry of Health &amp; Welfare, Republic of Korea (Grant Number: HI22C1295), and also supported by Institute of Information &amp; communications Technology Planning &amp; Evaluation (IITP) grant funded by the Korea government (MSIT) [NO.RS-2021-II211343, Artificial Intelligence Graduate School Program (Seoul National University)]. Funders did not have any additional role in the design and conduct of the study; collection, management, analysis, and interpretation of the data; preparation, review, or approval of the manuscript; and decision to submit the manuscript for publication.</t>
  </si>
  <si>
    <t>[Choi, Ho Jung; Shin, Seung Han; Sohn, Jin A.; Lee, Jin A.; Kim, Han-suk] Seoul Natl Univ, Coll Med, Dept Pediat, Seoul, South Korea; [Lee, Garam; Lee, Seung Mi] Seoul Natl Univ Hosp, Innovat Med Technol Res Inst, 101 Daehak Ro, Seoul, South Korea; [Shin, Seung Han; Kim, Han-suk] Seoul Natl Univ Hosp, Dept Pediat, 101 Daehak Ro, Seoul, South Korea; [Lee, Seung Mi] Seoul Natl Univ, Coll Med, Dept Obstet &amp; Gynecol, Seoul, South Korea; [Lee, Hyung-Chul] Seoul Natl Univ, Coll Med, Dept Anesthesiol &amp; Pain Med, Seoul, South Korea; [Lee, Hyung-Chul] Seoul Natl Univ Hosp, Dept Anesthesiol &amp; Pain Med, 101 Doehak Ro, Seoul, South Korea; [Choi, Ho Jung; Sohn, Jin A.; Lee, Jin A.] Seoul Metropolitan Govt Seoul Natl Univ, Dept Pediat, Boramae Med Ctr, Seoul, South Korea</t>
  </si>
  <si>
    <t>Seoul National University (SNU); Seoul National University (SNU); Seoul National University Hospital; Seoul National University (SNU); Seoul National University Hospital; Seoul National University (SNU); Seoul National University (SNU); Seoul National University Hospital; Seoul National University (SNU); Seoul National University Hospital; Seoul National University (SNU); Seoul National University Hospital</t>
  </si>
  <si>
    <t>Development and external validation of a machine learning model to predict bronchopulmonary dysplasia using dynamic factors</t>
  </si>
  <si>
    <t>SCIENTIFIC REPORTS</t>
  </si>
  <si>
    <t>Bronchopulmonary dysplasia; Prediction model; Machine learning; Preterm infants</t>
  </si>
  <si>
    <t>PRETERM INFANTS</t>
  </si>
  <si>
    <t>Lee, Hyung-Chul/U-1910-2019</t>
  </si>
  <si>
    <t>Choi, Ho Jung/0000-0002-5256-5201; Lee, Seung Mi/0000-0002-2543-0408; Lee, Jin A/0000-0002-9194-0529</t>
  </si>
  <si>
    <t>2045-2322</t>
  </si>
  <si>
    <t>SCI REP-UK</t>
  </si>
  <si>
    <t>Sci Rep</t>
  </si>
  <si>
    <t>APR 19 2025</t>
  </si>
  <si>
    <t>13620</t>
  </si>
  <si>
    <t>10.1038/s41598-025-98087-9</t>
  </si>
  <si>
    <t>http://dx.doi.org/10.1038/s41598-025-98087-9</t>
  </si>
  <si>
    <t>1QK5O</t>
  </si>
  <si>
    <t>40253571</t>
  </si>
  <si>
    <t>WOS:001471192800029</t>
  </si>
  <si>
    <t>He, L; Luo, KL; Wang, R; Wang, GY; Gao, JY; Wang, J; Dong, RR</t>
  </si>
  <si>
    <t>Introduction Preterm birth (PTB) remains a leading cause of neonatal morbidity and mortality worldwide, yet accurate and clinically applicable risk prediction tools during mid-pregnancy are still limited.Methods We developed a machine learning-based model to predict PTB risk using routinely collected clinical and laboratory data obtained during mid-pregnancy. In a derivation cohort, candidate predictors were selected using least absolute shrinkage and selection operator (LASSO) regularization, followed by training and comparison of multiple machine learning algorithms. A light gradient boosting machine (LightGBM) model was selected as the final model. Model performance was evaluated in a temporally independent prospective validation cohort from the same tertiary maternity center in terms of discrimination, calibration, and clinical utility. A screening-oriented risk stratification strategy was applied based on the distribution of predicted probabilities. Model interpretability was assessed using SHapley Additive exPlanations (SHAP) to quantify feature contributions.Results In the internal test set of the derivation cohort, LightGBM demonstrated the best discriminative performance, achieving an area under the receiver operating characteristic curve (AUC) of 0.842. In the prospective validation cohort, the model maintained stable discrimination and good calibration. Using a screening-oriented risk stratification approach, women classified as high risk exhibited a substantially higher incidence of PTB compared with the intermediate- and low-risk groups (31.8% vs. 6.0% and 2.5%, respectively), with clear separation of cumulative PTB incidence across gestational age. Decision curve analysis demonstrated a consistent net benefit across a range of low threshold probabilities. SHAP analysis revealed that inflammatory markers, liver-related biochemical indices, pregnancy complications, and nutritional indicators were key contributors to model predictions, supporting clinical interpretability.Conclusions We developed a machine learning-based model for mid-pregnancy PTB risk prediction and evaluated it in a temporally independent prospective validation cohort from the same tertiary maternity center. The model demonstrated stable discrimination, good calibration, meaningful risk stratification, and transparent interpretability, supporting its potential use as a screening-oriented decision-support tool for targeted antenatal surveillance.</t>
  </si>
  <si>
    <t>He, Liang; Luo, Kailin; Wang, Rong; Wang, Gaoying; Gao, Jianyi; Wang, Jing; Dong, Ruirui</t>
  </si>
  <si>
    <t>Dong, RR (corresponding author), Jiangnan Univ, Affiliated Womens Hosp, Wuxi, Peoples R China.</t>
  </si>
  <si>
    <t>9862023236@jiangnan.edu.cn</t>
  </si>
  <si>
    <t>Basic Research Program of Jiangsu [BK20241759]</t>
  </si>
  <si>
    <t>Basic Research Program of Jiangsu</t>
  </si>
  <si>
    <t>The author(s) declared that financial support was received for this work and/or its publication. This study was supported by the Basic Research Program of Jiangsu (Grant No. BK20241759).</t>
  </si>
  <si>
    <t>[He, Liang; Wang, Rong; Wang, Gaoying; Gao, Jianyi; Wang, Jing; Dong, Ruirui] Jiangnan Univ, Affiliated Womens Hosp, Wuxi, Peoples R China; [Luo, Kailin] Jiangsu Tianyi High Sch, Wuxi, Peoples R China</t>
  </si>
  <si>
    <t>Jiangnan University</t>
  </si>
  <si>
    <t>A machine learning-based risk prediction model for early preterm birth: development and prospective validation</t>
  </si>
  <si>
    <t>machine learning; mid-pregnancy; preterm birth; prospective validation; risk prediction</t>
  </si>
  <si>
    <t>PREGNANCY; MORTALITY; IMPACT</t>
  </si>
  <si>
    <t>JUL 22 2026</t>
  </si>
  <si>
    <t>1888022</t>
  </si>
  <si>
    <t>10.3389/fmed.2026.1888022</t>
  </si>
  <si>
    <t>http://dx.doi.org/10.3389/fmed.2026.1888022</t>
  </si>
  <si>
    <t>ME2KC</t>
  </si>
  <si>
    <t>WOS:001840147000001</t>
  </si>
  <si>
    <t>Churpek, MM; Carey, KA; Snyder, A; Winslow, CJ; Gilbert, E; Shah, NS; Patterson, BW; Afshar, M; Weiss, A; Amin, DN; Rhodes, DJ; Edelson, DP</t>
  </si>
  <si>
    <t>BACKGROUND:Early detection of clinical deterioration using machine-learning early warning scores may improve outcomes. However, most implemented scores were developed using logistic regression, only underwent retrospective validation, and were not tested in important subgroups. OBJECTIVE:The objective of our multicenter retrospective and prospective observational study was to develop and prospectively validate a gradient-boosted machine model (eCARTv5) for identifying clinical deterioration on the wards. DERIVATION COHORT:All adult patients admitted to the inpatient medical-surgical wards at seven hospitals in three health systems for model development (2006-2022). VALIDATION COHORT:All adult patients admitted to the inpatient medical-surgical wards and at 21 hospitals from three health systems for retrospective (2009-2023) and prospective (2023-2024) external validation. PREDICTION MODEL:Predictor variables (demographics, vital signs, documentation, and laboratory values) were used in a gradient-boosted trees algorithm to predict ICU transfer or death in the next 24 hours. The developed model (eCARTv5) was compared with the Modified Early Warning Score (MEWS), the National Early Warning Score (NEWS), and eCARTv2 using the area under the receiver operating characteristic curve (AUROC). RESULTS:The development cohort included 901,491 admissions, the retrospective validation cohort included 1,769,461 admissions, and the prospective validation cohort included 205,946 admissions. In retrospective validation, eCARTv5 had the highest AUROC (0.834; 95% CI, 0.834-0.835), followed by eCARTv2 (0.775 [95% CI, 0.775-0.776]), NEWS (0.766 [95% CI, 0.766-0.767]), and MEWS (0.704 [95% CI, 0.703-0.704]). eCARTv5's performance remained high (AUROC &gt;= 0.80) across a range of patient demographics, clinical conditions, and during prospective validation. CONCLUSION:We developed eCARTv5, which performed better than eCARTv2, NEWS, and MEWS retrospectively, prospectively, and across a range of subgroups. These results served as the foundation for Food and Drug Administration clearance for its use in identifying deterioration in hospitalized ward patients.</t>
  </si>
  <si>
    <t>Churpek, Matthew M.; Carey, Kyle A.; Snyder, Ashley; Winslow, Christopher J.; Gilbert, Emily; Shah, Nirav S.; Patterson, Brian W.; Afshar, Majid; Weiss, Alan; Amin, Devendra N.; Rhodes, Deborah J.; Edelson, Dana P.</t>
  </si>
  <si>
    <t>Churpek, MM (corresponding author), Univ Wisconsin Madison, Dept Med, Madison, WI 53706 USA.; Churpek, MM (corresponding author), Univ Wisconsin Madison, Dept Biostat &amp; Med Informat, Madison, WI 53706 USA.</t>
  </si>
  <si>
    <t>mchurpek@medicine.wisc.edu; ashley@agilemd.com; devendra.amin@baycare.org; Deborah.Rhodes@YNHH.ORG; CWinslow@northshore.org; EMGILBERT@lumc.edu; nshah2@northshore.org; dperes@bsd.uchicago.edu; kcarey@bsd.uchicago.edu; Alan.Weiss@baycare.org; mafshar@medicine.wisc.edu; bpatter@medicine.wisc.edu</t>
  </si>
  <si>
    <t>National Institutes of Health [R01HL157262]; Biomedical Advanced Research and Development Authority (BARDA) [75A50121C00043]</t>
  </si>
  <si>
    <t>National Institutes of Health (United States Department of Health &amp; Human Services, National Institutes of Health (NIH) - USA); Biomedical Advanced Research and Development Authority (BARDA)</t>
  </si>
  <si>
    <t>This work was supported by funding from the National Institutes of Health (principal investigator [PI]: Dr. Churpek; R01HL157262) and Biomedical Advanced Research and Development Authority (BARDA) as part of its Division of Research Innovation and Ventures (DRIVe) under contract number 75A50121C00043 (PI: Dr. Edelson).</t>
  </si>
  <si>
    <t>[Churpek, Matthew M.; Afshar, Majid] Univ Wisconsin Madison, Dept Med, Madison, WI 53706 USA; [Churpek, Matthew M.; Patterson, Brian W.; Afshar, Majid] Univ Wisconsin Madison, Dept Biostat &amp; Med Informat, Madison, WI 53706 USA; [Carey, Kyle A.; Edelson, Dana P.] Univ Chicago, Dept Med, Chicago, IL USA; [Snyder, Ashley; Edelson, Dana P.] AgileMD, San Francisco, CA USA; [Winslow, Christopher J.; Shah, Nirav S.] Endeavor Hlth, Dept Med, Evanston, IL USA; [Gilbert, Emily] Loyola Univ, Dept Med, Med Ctr, Chicago, IL USA; [Patterson, Brian W.] Univ Wisconsin Madison, Dept Emergency Med, Madison, WI USA; [Weiss, Alan; Amin, Devendra N.] BayCare, Clearwater, FL USA; [Rhodes, Deborah J.] Yale Univ, Dept Med, New Haven, CT USA</t>
  </si>
  <si>
    <t>University of Wisconsin System; University of Wisconsin Madison; University of Wisconsin System; University of Wisconsin Madison; University of Chicago; Loyola University Chicago; University of Wisconsin System; University of Wisconsin Madison; Yale University</t>
  </si>
  <si>
    <t>Multicenter Development and Prospective Validation of eCARTv5: A Gradient-Boosted Machine-Learning Early Warning Score</t>
  </si>
  <si>
    <t>CRITICAL CARE EXPLORATIONS</t>
  </si>
  <si>
    <t>artificial Intelligence; clinical deterioration; early warning score; machine learning; rapid response systems</t>
  </si>
  <si>
    <t>CLINICAL DETERIORATION; RISK STRATIFICATION; HOSPITAL MORTALITY; CARDIAC-ARREST; SELECTION; IMPACT</t>
  </si>
  <si>
    <t>Afshar, Majid/AAD-8365-2019; Patterson, Brian/AAS-3091-2021</t>
  </si>
  <si>
    <t>2639-8028</t>
  </si>
  <si>
    <t>CRIT CARE EXPLOR</t>
  </si>
  <si>
    <t>Crit. Care Explor.</t>
  </si>
  <si>
    <t>e1232</t>
  </si>
  <si>
    <t>10.1097/CCE.0000000000001232</t>
  </si>
  <si>
    <t>http://dx.doi.org/10.1097/CCE.0000000000001232</t>
  </si>
  <si>
    <t>0PE9N</t>
  </si>
  <si>
    <t>WOS:001452723600001</t>
  </si>
  <si>
    <t>Wingert, T; Williams, T; Syed, B; Hill, B; Grogan, T; Young, A; Antongiorgi, Z; Salari, V; Joosten, A; Hofer, I; Halperin, E; Cannesson, M; Gabel, E</t>
  </si>
  <si>
    <t>Background: Machine learning prediction models require prospective validation to ensure implementation fidelity and feasibility. Our primary objective was to prospectively validate a previously reported postoperative mortality prediction model in inpatients undergoing surgery. Our secondary objective was to evaluate feasibility of a pilot clinical decision support tool. Methods: We prospectively validated and implemented a random forest machine learning model trained to predict in-hospital mortality using data from a single academic medical centre. A reduced 32-feature model was implemented into the electronic health record (EHR) using a real-time data mart at the same institution. To assess model performance, the area under the receiver operating characteristic curve (AUROC), area under the curve precision-recall (AUCPR), and other performance measures were calculated. To assess feasibility, implementation workflow metrics were evaluated and a survey was administered to anaesthesiologists trained to use the pilot clinical decision support tool. Results: The AUROC for the prospectively implemented model was 0.874 (95% confidence interval [CI] 0.860-0.887), and the AUCPR was 0.111. By comparison, the AUROC for the 58-feature model was 0.925 (95% CI 0.900-0.947), and for ASA physical status the AUROC was 0.814 (95% CI 0.802-0.827) and the AUCPR was 0.103. The implementation demonstrated feasibility through real-time data updates, automated transfer of model outputs to the EHR, and provider survey entries. Conclusions: This prospective validation and EHR implementation of a previously published random forest machine learning model predicting postoperative in-hospital mortality demonstrated acceptable real-world performance of the implemented model and feasibility of integrating such a system into clinical practice.</t>
  </si>
  <si>
    <t>Wingert, Theodora; Williams, Tiffany; Syed, Briana; Hill, Brian; Grogan, Tristan; Young, Andrew; Antongiorgi, Zarah; Salari, Valiollah; Joosten, Alexandre; Hofer, Ira; Halperin, Eran; Cannesson, Maxime; Gabel, Eilon</t>
  </si>
  <si>
    <t>Wingert, T (corresponding author), Univ Calif Los Angeles, Dept Anesthesiol &amp; Perioperat Med, Los Angeles, CA 90095 USA.</t>
  </si>
  <si>
    <t>twingert@mednet.ucla.edu</t>
  </si>
  <si>
    <t>US National Institutes of Health (NIH) [1K01 HL150318]; Edwards Lifesciences; Masimo Corp.; NIH [R01GM117622, R01 NR013012, U54HL119893, 1R01HL144692]</t>
  </si>
  <si>
    <t>US National Institutes of Health (NIH) (United States Department of Health &amp; Human Services, National Institutes of Health (NIH) - USA); Edwards Lifesciences (Edwards Lifesciences); Masimo Corp.; NIH (United States Department of Health &amp; Human Services, National Institutes of Health (NIH) - USA)</t>
  </si>
  <si>
    <t>ThW and AJ are consultants for Edwards Lifesciences. IH is the President of Extrico Health, and receives research support from and is a consultant for Merck. IH's work was funded by US National Institutes of Health (NIH) grant 1K01 HL150318. MC is a consultant for Edwards Lifesciences and Masimo Corp. and has received research funding from Edwards Lifesciences and Masimo Corp. MC is also the founder of Sironis, owns patents, and receives royalties for closed-loop haemodynamic management that have been licensed to Edwards Lifesciences. His department receives funding from the NIH (R01GM117622, R01 NR013012, U54HL119893, and 1R01HL144692) . EH works for United Health Group Optum AI. BH works for Age Bold Inc. The other authors declare that they have no conflicts of interest.</t>
  </si>
  <si>
    <t>[Wingert, Theodora; Williams, Tiffany; Young, Andrew; Antongiorgi, Zarah; Salari, Valiollah; Joosten, Alexandre; Cannesson, Maxime; Gabel, Eilon] Univ Calif Los Angeles, Dept Anesthesiol &amp; Perioperat Med, Los Angeles, CA 90095 USA; [Syed, Briana] Univ Texas Med Branch, John Sealy Sch Med, Galveston, TX USA; [Hill, Brian] Age Bold Inc, Los Angeles, CA USA; [Grogan, Tristan] Univ Calif Los Angeles, David Geffen Sch Med UCLA, Dept Med Stat Core, Los Angeles, CA USA; [Hofer, Ira] Icahn Sch Med Mt Sinai, Dept Anesthesiol Perioperat &amp; Pain Med, New York, NY USA; [Halperin, Eran] Univ Calif Los Angeles, Dept Comp Sci, Los Angeles, CA USA</t>
  </si>
  <si>
    <t>University of California System; University of California Los Angeles; University of Texas System; University of Texas Medical Branch Galveston; University of California System; University of California Los Angeles; University of California Los Angeles Medical Center; David Geffen School of Medicine at UCLA; Icahn School of Medicine at Mount Sinai; University of California System; University of California Los Angeles</t>
  </si>
  <si>
    <t>Prospective validation and real-time implementation of an automated machine learning postoperative mortality prediction model</t>
  </si>
  <si>
    <t>implementation; machine learning; mortality; postoperative outcomes; prospective validation; risk prediction</t>
  </si>
  <si>
    <t>Gabel, Eilon/AAF-9253-2020</t>
  </si>
  <si>
    <t>Wingert, Theodora/0000-0001-7149-9150; Zhao, Jin/0009-0001-3786-4326; Young, Andrew/0000-0002-2849-3367</t>
  </si>
  <si>
    <t>136</t>
  </si>
  <si>
    <t>1822</t>
  </si>
  <si>
    <t>1832</t>
  </si>
  <si>
    <t>10.1016/j.bja.2025.11.042</t>
  </si>
  <si>
    <t>http://dx.doi.org/10.1016/j.bja.2025.11.042</t>
  </si>
  <si>
    <t>JJ1IH</t>
  </si>
  <si>
    <t>41549026</t>
  </si>
  <si>
    <t>WOS:001790555400001</t>
  </si>
  <si>
    <t>Park, J; Han, K; Oh, JS; Chae, HD; Kim, A; Park, SY; Yoo, HJ; Lee, YH</t>
  </si>
  <si>
    <t>Objectives: To evaluate the diagnostic interchangeability of DL-enhanced accelerated lumbar (L)-spine magnetic resonance imaging (MRI) with conventional imaging and to assess the diagnostic agreement and feasibility of vision-language-model (VLM)-based automated reporting. Methods: The Institutional Review Boards oftwo participating institutions approved this prospective study. Seventy patients were enrolled from these two institutions. All the participants underwent both conventional and accelerated L-spine MRI during the same session, resulting in 140 MRI scans. Quantitative analyses included signal-to-noise ratio (SNR) and contrast-to-noise ratio (CNR), whereas qualitative image quality assessments were conducted by four radiologists blinded to the scan type and patient information. The interchangeability between conventional and accelerated MRI with DL-based enhancement protocols was evaluated for five key pathologic findings. Automated structured reports were generated using a commercially available VLM-based spine interpretation software and compared with radiologist consensus reports. Statistical analyses were performed, with p &lt; 0.05 considered statistically significant. Results: Accelerated L-spine MRI with DL-based enhancement reduced the acquisition time by approximately 80-86% when compared with conventional MRI, while maintaining diagnostic interchangeability. Quantitative analyses revealed superior SNRs and CNRs, and qualitative evaluations supported comparable image quality. Automated reporting demonstrated substantial to almost perfect agreement across key pathologies. Conclusions: DL-enhanced accelerated MRI produced high-quality diagnostic images within 2 min, and VLM-based automated reporting demonstrated strong agreement with the radiologists. These findings provide prospective evidence supporting the clinical feasibility of integrating AI into both the acquisition and interpretation workflows in L-spine MRI, with the potential to enhance the efficiency, consistency, and scalability of musculoskeletal imaging.</t>
  </si>
  <si>
    <t>Park, Jiwoo; Han, Kyunghwa; Oh, Ji Seon; Chae, Hee Dong; Kim, Ahram; Park, Si Young; Yoo, Hye Jin; Lee, Young Han</t>
  </si>
  <si>
    <t>Lee, YH (corresponding author), Yonsei Univ, Coll Med, Dept Radiol, 50-1 Yonsei Ro, Seoul 03722, South Korea.</t>
  </si>
  <si>
    <t>sando@yuhs.ac</t>
  </si>
  <si>
    <t>Korea Medical Device Development Fund grant - Korea government (Ministry of Science and ICT); Korea Medical Device Development Fund grant - Korea government (Ministry of Trade, Industry and Energy); Korea Medical Device Development Fund grant - Korea government (Ministry of Health of Food and Drug Safety) [RS-2023-00224382]</t>
  </si>
  <si>
    <t>Korea Medical Device Development Fund grant - Korea government (Ministry of Science and ICT); Korea Medical Device Development Fund grant - Korea government (Ministry of Trade, Industry and Energy); Korea Medical Device Development Fund grant - Korea government (Ministry of Health of Food and Drug Safety)</t>
  </si>
  <si>
    <t>This work was supported by the Korea Medical Device Development Fund grant funded by the Korea government (the Ministry of Science and ICT, the Ministry of Trade, Industry and Energy, the Ministry of Health &amp; Number: of Food and Drug Safety) (Project Number: RS-2023-00224382) .</t>
  </si>
  <si>
    <t>[Park, Jiwoo; Han, Kyunghwa; Lee, Young Han] Yonsei Univ, Res Inst Radiol Sci, Coll Med, Dept Radiol, Seoul, South Korea; [Park, Jiwoo; Han, Kyunghwa; Lee, Young Han] Yonsei Univ, Coll Med, Ctr Clin Imaging Data Sci CCIDS, Seoul, South Korea; [Oh, Ji Seon; Chae, Hee Dong; Yoo, Hye Jin] Seoul Natl Univ Hosp, Dept Radiol, Seoul, South Korea; [Chae, Hee Dong; Yoo, Hye Jin] Seoul Natl Univ, Coll Med, Dept Radiol, Seoul, South Korea; [Kim, Ahram] Yonsei Univ, Grad Sch, Dept Biostat &amp; Comp, Seoul, South Korea; [Park, Si Young] Yonsei Univ, Coll Med, Dept Orthopaed Surg, Seoul, South Korea; [Lee, Young Han] Yonsei Univ, Inst Innovat Digital Healthcare, Seoul, South Korea</t>
  </si>
  <si>
    <t>Yonsei University; Yonsei University Health System; Yonsei University; Yonsei University Health System; Seoul National University (SNU); Seoul National University Hospital; Seoul National University (SNU); Seoul National University Hospital; Yonsei University; Yonsei University; Yonsei University Health System; Yonsei University</t>
  </si>
  <si>
    <t>Prospective evaluation of artificial intelligence (AI) in lumbar spine magnetic resonance imaging (MRI) workflow: from deep learning (DL)-enhanced accelerated acquisition to simultaneous vision-language model (VLM)-based automated report generation</t>
  </si>
  <si>
    <t>Magnetic resonance imaging (MRI); Artificial intelligence (AI); Vision-language model (VLM); Diagnostic interchangeability; Automated report generation</t>
  </si>
  <si>
    <t>PROTOCOL</t>
  </si>
  <si>
    <t>Park, Si Young/0000-0002-1216-901X</t>
  </si>
  <si>
    <t>196</t>
  </si>
  <si>
    <t>112695</t>
  </si>
  <si>
    <t>10.1016/j.ejrad.2026.112695</t>
  </si>
  <si>
    <t>http://dx.doi.org/10.1016/j.ejrad.2026.112695</t>
  </si>
  <si>
    <t>CY8VD</t>
  </si>
  <si>
    <t>41579672</t>
  </si>
  <si>
    <t>WOS:001677700700001</t>
  </si>
  <si>
    <t>Bashiri, FS; Carey, KA; Martin, J; Koyner, JL; Edelson, DP; Gilbert, ER; Mayampurath, A; Afshar, M; Churpek, MM</t>
  </si>
  <si>
    <t>Objectives To compare and externally validate popular deep learning model architectures and data transformation methods for variable-length time series data in 3 clinical tasks (clinical deterioration, severe acute kidney injury [AKI], and suspected infection).Materials and Methods This multicenter retrospective study included admissions at 2 medical centers that spanned 2007-2022. Distinct datasets were created for each clinical task, with 1 site used for training and the other for testing. Three feature engineering methods (normalization, standardization, and piece-wise linear encoding with decision trees [PLE-DTs]) and 3 architectures (long short-term memory/gated recurrent unit [LSTM/GRU], temporal convolutional network, and time-distributed wrapper with convolutional neural network [TDW-CNN]) were compared in each clinical task. Model discrimination was evaluated using the area under the precision-recall curve (AUPRC) and the area under the receiver operating characteristic curve (AUROC).Results The study comprised 373 825 admissions for training and 256 128 admissions for testing. LSTM/GRU models tied with TDW-CNN models with both obtaining the highest mean AUPRC in 2 tasks, and LSTM/GRU had the highest mean AUROC across all tasks (deterioration: 0.81, AKI: 0.92, infection: 0.87). PLE-DT with LSTM/GRU achieved the highest AUPRC in all tasks.Discussion When externally validated in 3 clinical tasks, the LSTM/GRU model architecture with PLE-DT transformed data demonstrated the highest AUPRC in all tasks. Multiple models achieved similar performance when evaluated using AUROC.Conclusion The LSTM architecture performs as well or better than some newer architectures, and PLE-DT may enhance the AUPRC in variable-length time series data for predicting clinical outcomes during external validation.</t>
  </si>
  <si>
    <t>Bashiri, Fereshteh S.; Carey, Kyle A.; Martin, Jennie; Koyner, Jay L.; Edelson, Dana P.; Gilbert, Emily R.; Mayampurath, Anoop; Afshar, Majid; Churpek, Matthew M.</t>
  </si>
  <si>
    <t>Churpek, MM (corresponding author), Univ Wisconsin Madison, Dept Med, 600 Highland Ave, Madison, WI 53792 USA.; Churpek, MM (corresponding author), Univ Wisconsin Madison, Dept Biostat &amp; Med Informat, 600 Highland Ave, Madison, WI 53792 USA.</t>
  </si>
  <si>
    <t>National Institutes of Health (NIH), National Institute of General Medical Sciences [R35-13362546]; NIH National Heart, Lung, and Blood Institute [R01HL157262]; NIH National Institute of Diabetes, Digestive and Kidney Diseases [R01-DK126933A]</t>
  </si>
  <si>
    <t>National Institutes of Health (NIH), National Institute of General Medical Sciences (United States Department of Health &amp; Human Services, National Institutes of Health (NIH) - USA, NIH National Institute of General Medical Sciences (NIGMS)); NIH National Heart, Lung, and Blood Institute (United States Department of Health &amp; Human Services, National Institutes of Health (NIH) - USA, NIH National Heart Lung &amp; Blood Institute (NHLBI)); NIH National Institute of Diabetes, Digestive and Kidney Diseases (United States Department of Health &amp; Human Services, National Institutes of Health (NIH) - USA, NIH National Institute of Diabetes &amp; Digestive &amp; Kidney Diseases (NIDDK))</t>
  </si>
  <si>
    <t>This work was supported by the National Institutes of Health (NIH), National Institute of General Medical Sciences grant number R35-13362546 (M.M.C.), NIH National Heart, Lung, and Blood Institute grant numbers R01HL157262 (M. M.C.), and NIH National Institute of Diabetes, Digestive and Kidney Diseases grant number R01-DK126933A (M.M.C.).</t>
  </si>
  <si>
    <t>[Bashiri, Fereshteh S.; Martin, Jennie; Mayampurath, Anoop; Afshar, Majid; Churpek, Matthew M.] Univ Wisconsin Madison, Dept Med, Madison, WI 53792 USA; [Carey, Kyle A.; Koyner, Jay L.; Edelson, Dana P.] Univ Chicago, Dept Med, Chicago, IL 60637 USA; [Gilbert, Emily R.] Loyola Univ, Dept Med, Chicago, IL 60153 USA; [Mayampurath, Anoop; Afshar, Majid; Churpek, Matthew M.] Univ Wisconsin Madison, Dept Biostat &amp; Med Informat, Madison, WI 53726 USA; [Churpek, Matthew M.] Univ Wisconsin Madison, Dept Med, 600 Highland Ave, Madison, WI 53792 USA; [Churpek, Matthew M.] Univ Wisconsin Madison, Dept Biostat &amp; Med Informat, 600 Highland Ave, Madison, WI 53792 USA</t>
  </si>
  <si>
    <t>University of Wisconsin Madison; University of Wisconsin System; University of Wisconsin Madison; University of Chicago; University of Wisconsin System; University of Wisconsin Madison</t>
  </si>
  <si>
    <t>Development and external validation of deep learning clinical prediction models using variable-length time series data</t>
  </si>
  <si>
    <t>JOURNAL OF THE AMERICAN MEDICAL INFORMATICS ASSOCIATION</t>
  </si>
  <si>
    <t>variable-length time series; deep learning; AI in medicine</t>
  </si>
  <si>
    <t>IMPLEMENTATION; CRITERIA; AREAS; LSTM</t>
  </si>
  <si>
    <t>Bashiri, Fereshteh/T-3941-2019; Afshar, Majid/AAD-8365-2019</t>
  </si>
  <si>
    <t>1067-5027</t>
  </si>
  <si>
    <t>1527-974X</t>
  </si>
  <si>
    <t>J AM MED INFORM ASSN</t>
  </si>
  <si>
    <t>J. Am. Med. Inf. Assoc.</t>
  </si>
  <si>
    <t>MAY 20 2024</t>
  </si>
  <si>
    <t>1322</t>
  </si>
  <si>
    <t>1330</t>
  </si>
  <si>
    <t>10.1093/jamia/ocae088</t>
  </si>
  <si>
    <t>http://dx.doi.org/10.1093/jamia/ocae088</t>
  </si>
  <si>
    <t>Computer Science, Information Systems; Computer Science, Interdisciplinary Applications; Health Care Sciences &amp; Services; Information Science &amp; Library Science; Medical Informatics</t>
  </si>
  <si>
    <t>Computer Science; Health Care Sciences &amp; Services; Information Science &amp; Library Science; Medical Informatics</t>
  </si>
  <si>
    <t>RK8S6</t>
  </si>
  <si>
    <t>38679906</t>
  </si>
  <si>
    <t>WOS:001209033200001</t>
  </si>
  <si>
    <t>García-García, HM; Bulant, CA; Boroni, GA; Clausse, A; Engstrom, T; Lemos, PA; Yap, NAL; Cap, M; Iglesias, JF; van Geuns, R; Lang, IM; Spirk, D; Häner, JD; Koskinas, KC; Kakizaki, R; Ueki, Y; Siontis, GCM; Bourantas, CV; Blanco, PJ; Räber, L</t>
  </si>
  <si>
    <t>BACKGROUND: Predicting the progression/regression of coronary plaque burden is challenging. AIMS: We aimed to develop a deep learning model to forecast changes in percent atheroma volume (Delta PAV) using intravascular ultrasound (IVUS). METHODS: We analysed data from IBIS-4 and PACMAN-AMI. Core lab measurements of plaque burden were available from IVUS pullbacks. Each model consists of a bidirectional Long Short-Term Memory (biLSTM) layer followed by two fully connected layers with one neuron each, resulting in both a classification for input progression/ regression and an estimation of the Delta PAV. RESULTS: For the derivation and validation, a total of 1,960 regions of interest (ROIs) from the IBIS-4 dataset were used. The mean +/- standard deviation of the model accuracy was 0.85 +/- 0.02, the Matthews correlation coefficient was 0.70 +/- 0.04, and the F1 score was 0.85 +/- 0.02 for both progression and regression classes. In the testing (external validation) process with the PACMAN-AMI dataset, 5,283 ROIs were utilised. The mean triangle PAV was-0.31 +/- 5.63, for which 2,665 featured regression with a mean triangle PAV of-4.57 +/- 3.73, and 2,618 presented progression with a mean triangle PAV of 4.02 +/- 3.55, representing 49.6% of plaque progression prevalence. The predictive performance across the 100 trained models in the testing dataset showed an accuracy of 0.84, a Matthews correlation coefficient of 0.68, and an F1 score for the progression and regression classes of 0.84. CONCLUSIONS: This is the first deep learning model capable of detecting changes in plaque progression by analysing the rate of plaque burden change between adjacent frames.</t>
  </si>
  <si>
    <t>Garcia-Garcia, Hector M.; Bulant, Carlos A.; Boroni, Gustavo A.; Clausse, Alejandro; Engstrom, Thomas; Lemos, Pedro A.; Yap, Nathan A. Lecaros; Cap, Murat; Iglesias, Juan F.; van Geuns, Robert; Lang, Irene M.; Spirk, David; Haner, Jonas D.; Koskinas, Konstantinos C.; Kakizaki, Ryota; Ueki, Yasushi; Siontis, George C. M.; Bourantas, Cristos, V; Blanco, Pablo J.; Raber, Lorenz</t>
  </si>
  <si>
    <t>García-García, HM (corresponding author), MedStar Washington Hosp Ctr, MedStar Cardiovasc Res Network, Div Intervent Cardiol, 110 Irving St,Suite 4B-1, Washington, DC 20010 USA.</t>
  </si>
  <si>
    <t>hect2701@gmail.com</t>
  </si>
  <si>
    <t>[Garcia-Garcia, Hector M.] MedStar Washington Hosp Ctr, Intervent Cardiol Dept, Washington, DC USA; [Bulant, Carlos A.; Boroni, Gustavo A.; Clausse, Alejandro] Univ Nacl Ctr Prov Buenos Aires UNICEN, Inst Pladema, Tandil, Argentina; [Bulant, Carlos A.; Boroni, Gustavo A.; Clausse, Alejandro] Consejo Nacl Invest Cient &amp; Tecn CONICET, Tandil, Argentina; [Engstrom, Thomas] Copenhagen Univ Hosp, Dept Cardiol, Rigshosp, Copenhagen, Denmark; [Lemos, Pedro A.] Hosp Israelita Albert Einstein, Sao Paulo, Brazil; [Lemos, Pedro A.] Univ Autonoma Chile, Fac Hlth Sci, Providencia, Chile; [Yap, Nathan A. Lecaros; Cap, Murat; Bourantas, Cristos, V] Queen Mary Univ London, William Harvey Res Inst, Device &amp; Innovat Ctr, London, England; [Iglesias, Juan F.] Geneva Univ Hosp, Dept Cardiol, Geneva, Switzerland; [van Geuns, Robert] Radboud UMC, Dept Cardiol, Nijmegen, Netherlands; [Lang, Irene M.] Med Univ Vienna, Dept Cardiol, Vienna, Austria; [Spirk, David] Bern Univ Hosp, Dept Pharmacol, Bern, Switzerland; [Spirk, David] Sanofi, Geneva, Switzerland; [Haner, Jonas D.; Koskinas, Konstantinos C.; Kakizaki, Ryota; Ueki, Yasushi; Siontis, George C. M.; Raber, Lorenz] Univ Bern, Bern Univ Hosp, Dept Cardiol, Inselspital, Bern, Switzerland; [Blanco, Pablo J.] LNCC MCTI, Natl Lab Sci Comp, Petropolis, RJ, Brazil</t>
  </si>
  <si>
    <t>MedStar Washington Hospital Center; Rigshospitalet; University of Copenhagen; Copenhagen University Hospital; Hospital Israelita Albert Einstein; Universidad Autonoma de Chile; University of London; Queen Mary University London; University of Geneva; Radboud University Nijmegen; Medical University of Vienna; University Hospital Vienna; University of Bern; University Hospital of Bern; University of Bern; University Hospital of Bern; Laboratorio Nacional de Computacao Cientifica (LNCC)</t>
  </si>
  <si>
    <t>Derivation and external validation of a deep learning model to predict changes in coronary plaque burden</t>
  </si>
  <si>
    <t>EUROINTERVENTION</t>
  </si>
  <si>
    <t>coronary artery disease; deep learning models; intravascular ultrasound</t>
  </si>
  <si>
    <t>Iglesias, Juan F./ABB-1115-2020; Koskinas, Konstantinos/IUQ-1965-2023; Kakizaki, Ryota/PKR-5527-2026; Bulant, Carlos/K-1624-2019; Lemos, Pedro/G-5758-2013; Engstrom, Thomas/HTS-4546-2023; van Geuns, Robert/AAR-6386-2021; Häner, Jonas/H-7662-2019; Garcia-Garcia, Hector/AAG-7471-2020</t>
  </si>
  <si>
    <t>EUROPA EDITION</t>
  </si>
  <si>
    <t>TOULOUSE CEDEX 6</t>
  </si>
  <si>
    <t>19 ALLEES JEAN JAURES B P 61508, TOULOUSE CEDEX 6, 31015, FRANCE</t>
  </si>
  <si>
    <t>1774-024X</t>
  </si>
  <si>
    <t>1969-6213</t>
  </si>
  <si>
    <t>EuroIntervention</t>
  </si>
  <si>
    <t>e499</t>
  </si>
  <si>
    <t>e507</t>
  </si>
  <si>
    <t>10.4244/EIJ-D-25-01352</t>
  </si>
  <si>
    <t>http://dx.doi.org/10.4244/EIJ-D-25-01352</t>
  </si>
  <si>
    <t>JC9DL</t>
  </si>
  <si>
    <t>42077033</t>
  </si>
  <si>
    <t>WOS:001786335800005</t>
  </si>
  <si>
    <t>Dontchos, BN; Yala, A; Barzilay, R; Xiang, J; Lehman, CD</t>
  </si>
  <si>
    <t>Rationale and Objectives: Federal legislation requires patient notification of dense mammographic breast tissue because increased density is a marker of breast cancer risk and can limit the sensitivity of mammography. As previously described, we clinically implemented our deep learning model at the academic breast imaging practice where the model was developed with high clinical acceptance. Our objective was to externally validate our deep learning model on radiologist breast density assessments in a community breast imaging practice.Materials and Methods: Our deep learning model was implemented at a dedicated breast imaging practice staffed by both academic and community breast imaging radiologists in October 2018. Deep learning model assessment of mammographic breast density was presented to the radiologist during routine clinical practice at the time of mammogram interpretation. We identified 2174 consecutive screening mammograms after implementation of the deep learning model. Radiologist agreement with the model's assessment was measured and compared across radiologist groups.Results: Both academic and community radiologists had high clinical acceptance of the deep learning model's density prediction, with 94.9% (academic) and 90.7% (community) acceptance for dense versus nondense categories (p &lt; 0.001). The proportion of mammograms assessed as dense by all radiologists decreased from 47.0% before deep learning model implementation to 41.0% after deep learning model implementation (p &lt; 0.001).Conclusion: Our deep learning model had a high clinical acceptance rate among both academic and community radiologists and reduced the proportion of mammograms assessed as dense. This is an important step to validating our deep learning model prior to potential widespread implementation.</t>
  </si>
  <si>
    <t>Dontchos, Brian N.; Yala, Adam; Barzilay, Regina; Xiang, Justin; Lehman, Constance D.</t>
  </si>
  <si>
    <t>Dontchos, BN (corresponding author), Massachusetts Gen Hosp, 55 Fruit St,WAC 240, Boston, MA 02114 USA.</t>
  </si>
  <si>
    <t>bdontchos@mgh.harvard.edu</t>
  </si>
  <si>
    <t>[Dontchos, Brian N.; Lehman, Constance D.] Massachusetts Gen Hosp, 55 Fruit St,WAC 240, Boston, MA 02114 USA; [Yala, Adam; Barzilay, Regina; Xiang, Justin] MIT, 77 Massachusetts Ave, Cambridge, MA 02139 USA</t>
  </si>
  <si>
    <t>Harvard University; Harvard University Medical Affiliates; Massachusetts General Hospital; Massachusetts Institute of Technology (MIT)</t>
  </si>
  <si>
    <t>External Validation of a Deep Learning Model for Predicting Mammographic Breast Density in Routine Clinical Practice</t>
  </si>
  <si>
    <t>ACADEMIC RADIOLOGY</t>
  </si>
  <si>
    <t>Breast Density; Mammography; Deep Learning</t>
  </si>
  <si>
    <t>RISK; RADIOLOGISTS; LEGISLATION; CLASSIFICATION; VARIABILITY; ACCURACY</t>
  </si>
  <si>
    <t>Kumachov, Anton/0009-0008-7048-5409</t>
  </si>
  <si>
    <t>1076-6332</t>
  </si>
  <si>
    <t>1878-4046</t>
  </si>
  <si>
    <t>ACAD RADIOL</t>
  </si>
  <si>
    <t>Acad. Radiol.</t>
  </si>
  <si>
    <t>APR 2021</t>
  </si>
  <si>
    <t>475</t>
  </si>
  <si>
    <t>480</t>
  </si>
  <si>
    <t>10.1016/j.acra.2019.12.012</t>
  </si>
  <si>
    <t>http://dx.doi.org/10.1016/j.acra.2019.12.012</t>
  </si>
  <si>
    <t>RV1UY</t>
  </si>
  <si>
    <t>32089465</t>
  </si>
  <si>
    <t>WOS:000645627000008</t>
  </si>
  <si>
    <t>Lea, WWI; Hong, SJ; Nam, HK; Kang, WY; Yang, ZP; Noh, EJ</t>
  </si>
  <si>
    <t>Artificial intelligence (AI) is increasingly being used in bone-age (BA) assessment due to its complicated and lengthy nature. We aimed to evaluate the clinical performance of a commercially available deep learning (DL)-based software for BA assessment using a real-world data. From Nov. 2018 to Feb. 2019, 474 children (35 boys, 439 girls, age 4-17 years) were enrolled. We compared the BA estimated by DL software (DL-BA) with that independently estimated by 3 reviewers (R1: Musculoskeletal radiologist, R2: Radiology resident, R3: Pediatric endocrinologist) using the traditional Greulich-Pyle atlas, then to his/her chronological age (CA). A paired t-test, Pearson's correlation coefficient, Bland-Altman plot, mean absolute error (MAE) and root mean square error (RMSE) were used for the statistical analysis. The intraclass correlation coefficient (ICC) was used for inter-rater variation. There were significant differences between DL-BA and each reviewer's BA (P &lt; 0.025), but the correlation was good with one another (r = 0.983, P &lt; 0.025). RMSE (MAE) values were 10.09 (7.21), 10.76 (7.88) and 13.06 (10.06) months between DL-BA and R1, R2, R3 BA. Compared with the CA, RMSE (MAE) values were 13.54 (11.06), 15.18 (12.11), 16.19 (12.78) and 19.53 (17.71) months for DL-BA, R1, R2, R3 BA, respectively. Bland-Altman plots revealed the software and reviewers' tendency to overestimate the BA in general. ICC values between 3 reviewers were 0.97, 0.85 and 0.86, and the overall ICC value was 0.93. The BA estimated by DL-based software showed statistically similar, or even better performance than that of reviewers' compared to the chronological age in the real world clinic.</t>
  </si>
  <si>
    <t>Lea, Winnah Wu-in; Hong, Suk-Joo; Nam, Hyo-Kyoung; Kang, Woo-Young; Yang, Ze-Pa; Noh, Eun-Jin</t>
  </si>
  <si>
    <t>Hong, SJ (corresponding author), Korea Univ, Guro Hosp, Dept Radiol, Coll Med, Seoul, South Korea.</t>
  </si>
  <si>
    <t>hongsj@korea.ac.kr</t>
  </si>
  <si>
    <t>MSIT (Ministry of Science and ICT), Korea, under the ICT Creative Consilience program [IITP-2021-0-01819]</t>
  </si>
  <si>
    <t>MSIT (Ministry of Science and ICT), Korea, under the ICT Creative Consilience program (Ministry of Science &amp; ICT (MMSTI))</t>
  </si>
  <si>
    <t>This research was supported by the MSIT (Ministry of Science and ICT), Korea, under the ICT Creative Consilience program (IITP-2021-0-01819) supervised by the IITP (Institute for Information &amp; communications Technology Planning &amp; Evaluation).</t>
  </si>
  <si>
    <t>[Lea, Winnah Wu-in; Hong, Suk-Joo; Kang, Woo-Young] Korea Univ, Guro Hosp, Dept Radiol, Coll Med, Seoul, South Korea; [Nam, Hyo-Kyoung] Korea Univ, Guro Hosp, Dept Pediat Endocrinol, Coll Med, Seoul, South Korea; [Yang, Ze-Pa; Noh, Eun-Jin] Korea Univ, Guro Hosp, Smart Hlth Care Ctr, Coll Med, Seoul, South Korea</t>
  </si>
  <si>
    <t>Korea University; Korea University Medicine (KU Medicine); Korea University; Korea University Medicine (KU Medicine); Korea University; Korea University Medicine (KU Medicine)</t>
  </si>
  <si>
    <t>External validation of deep learning-based bone-age software: a preliminary study with real world data</t>
  </si>
  <si>
    <t>NAM, HYO-KYOUNG/JTV-1018-2023; Yang, Zepa/GVT-9696-2022</t>
  </si>
  <si>
    <t>Hong, Suk Joo/0000-0002-3923-1426</t>
  </si>
  <si>
    <t>JAN 24 2022</t>
  </si>
  <si>
    <t>1232</t>
  </si>
  <si>
    <t>10.1038/s41598-022-05282-z</t>
  </si>
  <si>
    <t>http://dx.doi.org/10.1038/s41598-022-05282-z</t>
  </si>
  <si>
    <t>YM6RP</t>
  </si>
  <si>
    <t>35075207</t>
  </si>
  <si>
    <t>WOS:000746700700020</t>
  </si>
  <si>
    <t>Li, RM; Han, QM; Zeng, T; Wen, BB; Zheng, ZK; Bao, XJ; Huang, J</t>
  </si>
  <si>
    <t>Primary myelofibrosis (PMF) is a heterogeneous bone marrow disorder, and substantial evidence indicates the involvement of inflammatory mediators in its progression. However, a diagnostic model based on inflammation-related genes has not yet been established. The aim of this study was to identify specific inflammation-related genes (IRGs) with potential value in myelofibrosis diagnosis and risk prediction. Transcriptomic data from the Gene Expression Omnibus (GEO) database were analysed to identify inflammation-related differentially expressed genes (DEGs). Machine learning approaches, including the least absolute shrinkage and selection operator (LASSO) and random forest, were used to select hub genes. A nomogram was constructed and validated externally using independent GEO datasets and local sequencing data. Immune cell infiltration and functional enrichment were also investigated. HBEGF, TIMP1 and PSEN1 show significant differences in expression between normal individuals and those with PMF. A nomogram based on three genes was established to assess the risk of PMF in healthy individuals. The ROC curve revealed that the three hub genes have outstanding diagnostic value for this disease (AUC = 0.994; 95% CI: 0.985-1.000); the results were subsequently validated in an external validation set (AUC = 0.807; 95% CI: 0.723-0.891), and a sequencing dataset from the First Affiliated Hospital of Zhejiang University (AUC = 0.982; 95% CI: 0.841-1). Enrichment analyses implicated cancer-related and immune pathways, and the model genes correlated significantly with immune cell infiltration and function. We developed and validated a robust three gene diagnostic model for PMF based on inflammation-related genes, offering a noninvasive molecular tool with potential clinical utility for auxiliary diagnosis.</t>
  </si>
  <si>
    <t>Li, Rumeng; Han, Qinmei; Zeng, Tian; Wen, Bingbing; Zheng, Zhikang; Bao, Xiaojing; Huang, Jian</t>
  </si>
  <si>
    <t>Huang, J (corresponding author), Zhejiang Univ, Sch Med, Affiliated Hosp 1, Dept Haematol, Hangzhou, Zhejiang, Peoples R China.; Huang, J (corresponding author), Zhejiang Prov Clin Res Ctr Haematol Disorders, Hangzhou 310003, Zhejiang, Peoples R China.</t>
  </si>
  <si>
    <t>househuang@zju.edu.cn</t>
  </si>
  <si>
    <t>the Key R&amp;D Program of Zhejiang [(No. 2022C03137)]; the National Natural Science Foundation of China [No. 82570191)]</t>
  </si>
  <si>
    <t>the Key R&amp;D Program of Zhejiang; the National Natural Science Foundation of China (National Natural Science Foundation of China (NSFC))</t>
  </si>
  <si>
    <t>This research was supported by the National Natural Science Foundation of China (No. 82570191) and the Zhejiang Provincial Health High-level Innovative Talent Project (2022-2026).</t>
  </si>
  <si>
    <t>[Li, Rumeng; Han, Qinmei; Zeng, Tian; Wen, Bingbing; Zheng, Zhikang; Bao, Xiaojing; Huang, Jian] Zhejiang Univ, Sch Med, Affiliated Hosp 1, Dept Haematol, Hangzhou, Zhejiang, Peoples R China; [Huang, Jian] Zhejiang Prov Clin Res Ctr Haematol Disorders, Hangzhou 310003, Zhejiang, Peoples R China</t>
  </si>
  <si>
    <t>Zhejiang University</t>
  </si>
  <si>
    <t>Machine learning identifies inflammation-related diagnostic biomarkers for primary myelofibrosis with clinical validation</t>
  </si>
  <si>
    <t>Primary myelofibrosis; Inflammation-related genes; Diagnostic biomarkers; Machine learning; Immune microenvironment</t>
  </si>
  <si>
    <t>KYOTO ENCYCLOPEDIA; GENES; CANCER; CELLS; CLASSIFICATION; KEGG</t>
  </si>
  <si>
    <t>NOV 20 2025</t>
  </si>
  <si>
    <t>40986</t>
  </si>
  <si>
    <t>10.1038/s41598-025-24756-4</t>
  </si>
  <si>
    <t>http://dx.doi.org/10.1038/s41598-025-24756-4</t>
  </si>
  <si>
    <t>C5069</t>
  </si>
  <si>
    <t>41266415</t>
  </si>
  <si>
    <t>WOS:001620594700042</t>
  </si>
  <si>
    <t>Sun, M; Sun, XL; Wang, F; Liu, L</t>
  </si>
  <si>
    <t>Background Diabetic peripheral neuropathy (DPN) is a common and debilitating complication of type 2 diabetes mellitus (T2DM), significantly impacting patients' quality of life and increasing healthcare burdens. Early prediction and intervention are critical to mitigating its impact.Methods This study analyzed 1,544 diabetic patients from the First Affiliated Hospital of Shandong First Medical University, who were randomly divided into a training cohort (n = 1,082) and a testing cohort (n = 462) using a 7:3 split ratio. Feature selection was performed using both Boruta and LASSO algorithms, and the intersection of the selected variables was used as the final predictor set. Eight key predictors were identified from 23 variables, including diabetes duration, uric acid, HbA1c, NLR, smoking status, SCR, LDH, and hypertension. Nine machine learning models were developed and compared for DPN risk prediction.Results Stochastic Gradient Boosting (SGBT) demonstrated the best performance (training AUC: 0.933, 95% CI: 0.921-0.946; testing AUC: 0.811, 95% CI: 0.776-0.843). Shapley Additive Explanations (SHAP) analysis provided interpretability, highlighting the clinical importance of diabetes duration and HbA1c among other predictors.Conclusion This study establishes a robust predictive tool for early DPN detection, laying the foundation for improved prevention and management strategies.</t>
  </si>
  <si>
    <t>Sun, Meng; Sun, Xingling; Wang, Fei; Liu, Li</t>
  </si>
  <si>
    <t>Liu, L (corresponding author), Shandong First Med Univ, Affiliated Hosp 1, Dept Neurosurg, Jinan, Shandong, Peoples R China.; Wang, F; Liu, L (corresponding author), Shandong Prov Qianfoshan Hosp, Jinan, Shandong, Peoples R China.; Wang, F (corresponding author), Shandong First Med Univ, Dept Nursing, Affiliated Hosp 1, Jinan, Shandong, Peoples R China.</t>
  </si>
  <si>
    <t>278093921@qq.com; neuronpu@163.com</t>
  </si>
  <si>
    <t>[Sun, Meng; Liu, Li] Shandong First Med Univ, Affiliated Hosp 1, Dept Neurosurg, Jinan, Shandong, Peoples R China; [Sun, Meng; Sun, Xingling; Wang, Fei; Liu, Li] Shandong Prov Qianfoshan Hosp, Jinan, Shandong, Peoples R China; [Sun, Xingling; Wang, Fei] Shandong First Med Univ, Dept Nursing, Affiliated Hosp 1, Jinan, Shandong, Peoples R China</t>
  </si>
  <si>
    <t>Shandong First Medical University &amp; Shandong Academy of Medical Sciences; Shandong First Medical University &amp; Shandong Academy of Medical Sciences; Shandong First Medical University &amp; Shandong Academy of Medical Sciences</t>
  </si>
  <si>
    <t>Machine learning-based prediction of diabetic peripheral neuropathy: model development and clinical validation</t>
  </si>
  <si>
    <t>diabetic peripheral neuropathy; machine learning; interpretable; clinical data; risk prediction model</t>
  </si>
  <si>
    <t>RISK; NEPHROPATHY; PREVENTION; A1C</t>
  </si>
  <si>
    <t>JUN 5 2025</t>
  </si>
  <si>
    <t>1614657</t>
  </si>
  <si>
    <t>10.3389/fendo.2025.1614657</t>
  </si>
  <si>
    <t>http://dx.doi.org/10.3389/fendo.2025.1614657</t>
  </si>
  <si>
    <t>3XH1W</t>
  </si>
  <si>
    <t>40538804</t>
  </si>
  <si>
    <t>WOS:001511212400001</t>
  </si>
  <si>
    <t>Liu, X; Li, MY; Liu, X; Luo, YT; Yang, D; Hui, OY; He, JL; Xia, JY; Xiao, F</t>
  </si>
  <si>
    <t>Introduction Sepsis is a global health threat that has a high incidence and mortality rate. Early prediction of sepsis onset can drive effective interventions and improve patients' outcome.Methods Data were collected retrospectively from a cohort of 2,329 adult patients with positive bacteria cultures from a tertiary hospital in China between October 1, 2019 and September 30, 2020. Thirty six clinical features were selected as inputs for the models. We trained models in predicting sepsis by machine learning (ML) methods, including logistic regression, decision tree, random forest (RF), multi-layer perceptron, and light gradient boosting. We evaluated the performance of the five ML models and the evaluation metrics were: area under the ROC curve (AUC), accuracy, F1-score, sensitivity and specificity. The data of another cohort of 2,286 patients between October 1, 2020 and April 1, 2022 were used to validate the performance of the model performing best in the in the internal validation set. Shapley additive explanations (SHAP) method was applied to evaluate feature importance and explain the predictions of this model.Results Of the five machine learning models developed, the RF model demonstrated the best performance in terms of AUC (0.818), F1 value (0.38), and sensitivity (0.746). The RF model also has a comparable AUC (0.771) in the external validation set. The SHAP method identified procalcitonin, albumin, prothrombin time, and sex as the important variables contributing to the prediction of sepsis.Discussion The RF model we developed showed the greatest potential for early prediction of sepsis in admitted patients, which could aid clinicians in their decision-making process. Our findings also suggested that male patients with bacterial infections and high procalcitonin levels, lower albumin levels, or prolonged prothrombin times were more likely to develop sepsis.</t>
  </si>
  <si>
    <t>Liu, Xi; Li, Meiyi; Liu, Xu; Luo, Yuting; Yang, Dong; Hui, Ouyang; He, Jiaoling; Xia, Jinyu; Xiao, Fei</t>
  </si>
  <si>
    <t>Xia, JY; Xiao, F (corresponding author), Sun Yat Sen Univ, Affiliated Hosp 5, Dept Infect Dis, Zhuhai, Peoples R China.; Xiao, F (corresponding author), Sun Yat sen Univ, Affiliated Hosp 5, Guangdong Prov Key Lab Biomed Imaging, Zhuhai, Peoples R China.; Xiao, F (corresponding author), Sun Yat sen Univ, Affiliated Hosp 5, Guangdong Prov Engn Res Ctr Mol Imaging, Zhuhai, Peoples R China.</t>
  </si>
  <si>
    <t>xiajinyu@sysu.edu.cn; xiaof35@sysu.edu.cn</t>
  </si>
  <si>
    <t>National Natural Science Foundation of China [82101843, 72204275, 82172241, 82341066]; Guangdong Basic and Applied Basic Research Foundation [2023A1515220226, 2021A1515110364]; China Postdoctoral Science Foundation [2022M723580]; Science and technology plan project in the field of social development of Zhuhai [2420004000241]</t>
  </si>
  <si>
    <t>National Natural Science Foundation of China (National Natural Science Foundation of China (NSFC)); Guangdong Basic and Applied Basic Research Foundation (Guangdong Basic and Applied Basic Research Foundation); China Postdoctoral Science Foundation (China Postdoctoral Science Foundation); Science and technology plan project in the field of social development of Zhuhai</t>
  </si>
  <si>
    <t>The author(s) declare that financial support was received for the research, authorship, and/or publication of this article. This study was funded by grants from the National Natural Science Foundation of China (grant numbers 82101843 to XiL, 72204275 to XuL, 82172241 and 82341066 to FX); Guangdong Basic and Applied Basic Research Foundation (grant number 2023A1515220226 to XiL, 2021A1515110364 to XuL); China Postdoctoral Science Foundation (grant number 2022M723580 to XuL); and Science and technology plan project in the field of social development of Zhuhai (2420004000241 to XiL).</t>
  </si>
  <si>
    <t>[Liu, Xi; Li, Meiyi; Liu, Xu; Luo, Yuting; Hui, Ouyang; He, Jiaoling; Xia, Jinyu; Xiao, Fei] Sun Yat Sen Univ, Affiliated Hosp 5, Dept Infect Dis, Zhuhai, Peoples R China; [Yang, Dong] Guangzhou AID Cloud Technol, Guangzhou, Peoples R China; [Xiao, Fei] Sun Yat sen Univ, Affiliated Hosp 5, Guangdong Prov Key Lab Biomed Imaging, Zhuhai, Peoples R China; [Xiao, Fei] Sun Yat sen Univ, Affiliated Hosp 5, Guangdong Prov Engn Res Ctr Mol Imaging, Zhuhai, Peoples R China</t>
  </si>
  <si>
    <t>Sun Yat Sen University; Sun Yat Sen University; Sun Yat Sen University</t>
  </si>
  <si>
    <t>Clinical validation and optimization of machine learning models for early prediction of sepsis</t>
  </si>
  <si>
    <t>sepsis; machine learning; artificial intelligence; prediction model; infectious disease</t>
  </si>
  <si>
    <t>SEPTIC SHOCK; MORTALITY</t>
  </si>
  <si>
    <t>Xia, Jinyu/MDT-6844-2025; Xiao, Fei/OJU-3805-2025; he, jiaoling/OSI-8384-2025</t>
  </si>
  <si>
    <t>Xiao, Fei/0000-0001-7353-2700</t>
  </si>
  <si>
    <t>FEB 5 2025</t>
  </si>
  <si>
    <t>1521660</t>
  </si>
  <si>
    <t>10.3389/fmed.2025.1521660</t>
  </si>
  <si>
    <t>http://dx.doi.org/10.3389/fmed.2025.1521660</t>
  </si>
  <si>
    <t>X4F1I</t>
  </si>
  <si>
    <t>39975676</t>
  </si>
  <si>
    <t>WOS:001424918300001</t>
  </si>
  <si>
    <t>Zhao, MX; Meng, N; Cheung, JPY; Yu, CX; Lu, PY; Zhang, T</t>
  </si>
  <si>
    <t>The Cobb angle (CA) serves as the principal method for assessing spinal deformity, but manual measurements of the CA are time-consuming and susceptible to inter- and intra-observer variability. While learning-based methods, such as SpineHRNet+, have demonstrated potential in automating CA measurement, their accuracy can be influenced by the severity of spinal deformity, image quality, relative position of rib and vertebrae, etc. Our aim is to create a reliable learning-based approach that provides consistent and highly accurate measurements of the CA from posteroanterior (PA) X-rays, surpassing the state-of-the-art method. To accomplish this, we introduce SpineHRformer, which identifies anatomical landmarks, including the vertices of endplates from the 7th cervical vertebra (C7) to the 5th lumbar vertebra (L5) and the end vertebrae with different output heads, enabling the calculation of CAs. Within our SpineHRformer, a backbone HRNet first extracts multi-scale features from the input X-ray, while transformer blocks extract local and global features from the HRNet outputs. Subsequently, an output head to generate heatmaps of the endplate landmarks or end vertebra landmarks facilitates the computation of CAs. We used a dataset of 1934 PA X-rays with diverse degrees of spinal deformity and image quality, following an 8:2 ratio to train and test the model. The experimental results indicate that SpineHRformer outperforms SpineHRNet+ in landmark detection (Mean Euclidean Distance: 2.47 pixels vs. 2.74 pixels), CA prediction (Pearson correlation coefficient: 0.86 vs. 0.83), and severity grading (sensitivity: normal-mild; 0.93 vs. 0.74, moderate; 0.74 vs. 0.77, severe; 0.74 vs. 0.7). Our approach demonstrates greater robustness and accuracy compared to SpineHRNet+, offering substantial potential for improving the efficiency and reliability of CA measurements in clinical settings.</t>
  </si>
  <si>
    <t>Zhao, Moxin; Meng, Nan; Cheung, Jason Pui Yin; Yu, Chenxi; Lu, Pengyu; Zhang, Teng</t>
  </si>
  <si>
    <t>Zhang, T (corresponding author), Univ Hong Kong, Dept Orthopaed &amp; Traumatol, Pokfulam, Hong Kong, Peoples R China.</t>
  </si>
  <si>
    <t>pylu@hku.hk; nanmeng@hku.hk; cheungjp@hku.hk; tgzhang@hku.hk; moxin@connect.hku.hk; ychxhku@hku.hk</t>
  </si>
  <si>
    <t>RGC Research Impact Fund</t>
  </si>
  <si>
    <t>[Zhao, Moxin; Meng, Nan; Cheung, Jason Pui Yin; Yu, Chenxi; Lu, Pengyu; Zhang, Teng] Univ Hong Kong, Dept Orthopaed &amp; Traumatol, Pokfulam, Hong Kong, Peoples R China</t>
  </si>
  <si>
    <t>SpineHRformer: A Transformer-Based Deep Learning Model for Automatic Spine Deformity Assessment with Prospective Validation</t>
  </si>
  <si>
    <t>BIOENGINEERING-BASEL</t>
  </si>
  <si>
    <t>HRNet; transformer; Cobb angle automatic measurement; endplate detection; end vertebrae detection</t>
  </si>
  <si>
    <t>Cheung, Jason Pui Yin/AAJ-2016-2020; Meng, Nan/AAZ-1622-2020</t>
  </si>
  <si>
    <t>Cheung, Jason Pui Yin/0000-0002-7052-0875; Meng, Nan/0000-0003-2821-7474; Zhao, Moxin/0000-0002-6577-4520</t>
  </si>
  <si>
    <t>2306-5354</t>
  </si>
  <si>
    <t>Bioengineering-Basel</t>
  </si>
  <si>
    <t>1333</t>
  </si>
  <si>
    <t>10.3390/bioengineering10111333</t>
  </si>
  <si>
    <t>http://dx.doi.org/10.3390/bioengineering10111333</t>
  </si>
  <si>
    <t>Biotechnology &amp; Applied Microbiology; Engineering, Biomedical</t>
  </si>
  <si>
    <t>Biotechnology &amp; Applied Microbiology; Engineering</t>
  </si>
  <si>
    <t>AK7E5</t>
  </si>
  <si>
    <t>38002457</t>
  </si>
  <si>
    <t>WOS:001118417100001</t>
  </si>
  <si>
    <t>Kamuntavicius, G; Prat, A; Paquet, T; Bastas, O; Aty, HA; Sun, Q; Andersen, CB; Harman, J; Siladi, ME; Rines, DR; Flatters, SJL; Tal, R; Norvaisas, P</t>
  </si>
  <si>
    <t>BackgroundTarget identification and hit identification can be transformed through the application of biomedical knowledge analysis, AI-driven virtual screening and robotic cloud lab systems. However there are few prospective studies that evaluate the efficacy of such integrated approaches.ResultsWe synergistically integrate our in-house-developed target evaluation (SpectraView) and deep-learning-driven virtual screening (HydraScreen) tools with an automated robotic cloud lab designed explicitly for ultra-high-throughput screening, enabling us to validate these platforms experimentally. By employing our target evaluation tool to select IRAK1 as the focal point of our investigation, we prospectively validate our structure-based deep learning model. We can identify 23.8% of all IRAK1 hits within the top 1% of ranked compounds. The model outperforms traditional virtual screening techniques and offers advanced features such as ligand pose confidence scoring. Simultaneously, we identify three potent (nanomolar) scaffolds from our compound library, 2 of which represent novel candidates for IRAK1 and hold promise for future development.ConclusionThis study provides compelling evidence for SpectraView and HydraScreen to provide a significant acceleration in the processes of target identification and hit discovery. By leveraging Ro5's HydraScreen and Strateos' automated labs in hit identification for IRAK1, we show how AI-driven virtual screening with HydraScreen could offer high hit discovery rates and reduce experimental costs.Scientific contributionWe present an innovative platform that leverages Knowledge graph-based biomedical data analytics and AI-driven virtual screening integrated with robotic cloud labs. Through an unbiased, prospective evaluation we show the reliability and robustness of HydraScreen in virtual and high-throughput screening for hit identification in IRAK1. Our platforms and innovative tools can expedite the early stages of drug discovery.</t>
  </si>
  <si>
    <t>Kamuntavicius, Gintautas; Prat, Alvaro; Paquet, Tanya; Bastas, Orestis; Aty, Hisham Abdel; Sun, Qing; Andersen, Carsten B.; Harman, John; Siladi, Marc E.; Rines, Daniel R.; Flatters, Sarah J. L.; Tal, Roy; Norvaisas, Povilas</t>
  </si>
  <si>
    <t>Kamuntavicius, G; Prat, A; Flatters, SJL; Tal, R; Norvaisas, P (corresponding author), AI Chem, Ro5,2801 Gateway Dr, Irving, TX 75063 USA.</t>
  </si>
  <si>
    <t>pnorvaisas@ro5.ai; rtal@ro5.ai; gkamuntavicius@ro5.ai; aprat@ro5.ai; sflatters@ro5.ai</t>
  </si>
  <si>
    <t>Ro5; Strateos</t>
  </si>
  <si>
    <t>This project was funded jointly by Ro5 and Strateos.</t>
  </si>
  <si>
    <t>[Kamuntavicius, Gintautas; Prat, Alvaro; Paquet, Tanya; Bastas, Orestis; Aty, Hisham Abdel; Flatters, Sarah J. L.; Tal, Roy; Norvaisas, Povilas] AI Chem, Ro5,2801 Gateway Dr, Irving, TX 75063 USA; [Sun, Qing; Andersen, Carsten B.; Harman, John; Siladi, Marc E.; Rines, Daniel R.] Strateos, 3565 Haven Ave Suite 3, Menlo Pk, CA 94025 USA</t>
  </si>
  <si>
    <t>Accelerated hit identification with target evaluation, deep learning and automated labs: prospective validation in IRAK1</t>
  </si>
  <si>
    <t>JOURNAL OF CHEMINFORMATICS</t>
  </si>
  <si>
    <t>Computational chemistry; Artificial intelligence; Machine learning; Knowledge graph; Deep learning; Drug discovery; SBDD; MLSF; Docking; High-throughput screening; Hit identification; Virtual screening; Automated labs; IRAK1; Interleukin 1 receptor associated kinase</t>
  </si>
  <si>
    <t>ACCURATE DOCKING; DRUG; DISCOVERY; INHIBITOR; GLIDE</t>
  </si>
  <si>
    <t>Sun, Qing/GQB-5235-2022; Flatters, Sarah Jane Louise/C-4436-2008</t>
  </si>
  <si>
    <t>Flatters, Sarah Jane Louise/0000-0001-7129-3670</t>
  </si>
  <si>
    <t>1758-2946</t>
  </si>
  <si>
    <t>J CHEMINFORMATICS</t>
  </si>
  <si>
    <t>J. Cheminformatics</t>
  </si>
  <si>
    <t>NOV 14 2024</t>
  </si>
  <si>
    <t>10.1186/s13321-024-00914-0</t>
  </si>
  <si>
    <t>http://dx.doi.org/10.1186/s13321-024-00914-0</t>
  </si>
  <si>
    <t>Chemistry, Multidisciplinary; Computer Science, Information Systems; Computer Science, Interdisciplinary Applications</t>
  </si>
  <si>
    <t>Chemistry; Computer Science</t>
  </si>
  <si>
    <t>M0T6X</t>
  </si>
  <si>
    <t>39543721</t>
  </si>
  <si>
    <t>WOS:001354761100002</t>
  </si>
  <si>
    <t>Shashikumar, SP; Wardi, G; Paul, P; Carlile, M; Brenner, LN; Hibbert, KA; North, CM; Mukerji, S; Robbins, G; Shao, YP; Westover, B; Nemati, S; Malhotra, A</t>
  </si>
  <si>
    <t>BACKGROUND: Objective and early identification of hospitalized patients, and particularly those with novel coronavirus disease 2019 (COVID-19), who may require mechanical ventilation (MV) may aid in delivering timely treatment.RESEARCH QUESTION: Can a transparent deep learning (DL) model predict the need for MV in hospitalized patients and those with COVID-19 up to 24 h in advance?STUDY DESIGN AND METHODS: We trained and externally validated a transparent DL algorithm to predict the future need for MV in hospitalized patients, including those with COVID-19, using commonly available data in electronic health records. Additionally, commonly used clinical criteria (heart rate, oxygen saturation, respiratory rate, FIO2, and pH) were used to assess future need for MV. Performance of the algorithm was evaluated using the area under receiver operating characteristic curve (AUC), sensitivity, specificity, and positive predictive value.RESULTS: We obtained data from more than 30,000 ICU patients (including more than 700 patients with COVID-19) from two academic medical centers. The performance of the model with a 24-h prediction horizon at the development and validation sites was comparable (AUC, 0.895 vs 0.882, respectively), providing significant improvement over traditional clinical criteria (P&lt;.001). Prospective validation of the algorithm among patients with COVID-19 yielded AUCs in the range of 0.918 to 0.943.INTERPRETATION: A transparent deep learning algorithm improves on traditional clinical criteria to predict the need for MV in hospitalized patients, including in those with COVID-19. Such an algorithm may help clinicians to optimize timing of tracheal intubation, to allocate resources and staff better, and to improve patient care.</t>
  </si>
  <si>
    <t>Shashikumar, Supreeth P.; Wardi, Gabriel; Paul, Paulina; Carlile, Morgan; Brenner, Laura N.; Hibbert, Kathryn A.; North, Crystal M.; Mukerji, Shibani; Robbins, Gregory; Shao, Yu-Ping; Westover, Brandon; Nemati, Shamim; Malhotra, Atul</t>
  </si>
  <si>
    <t>Malhotra, A (corresponding author), Univ Calif San Diego, Div Pulm Crit Care &amp; Sleep Med, La Jolla, CA 92093 USA.</t>
  </si>
  <si>
    <t>amalhotra@health.ucsd.edu</t>
  </si>
  <si>
    <t>National Institutes of Health (NIH) National Library of Medicine [R56LM013517]; NIH [K01ES025445, 1R01NS102190, 1R01NS102574, 1R01NS107291, 1RF1AG064312, R01 HL085188, K24 HL132105, T32 HL134632, R01 AG063925, R01 HL148436, R21 HL121794, R01 HL 119201, R01 HL081823, K23MH115812]; Biomedical Advanced Research and Development Authority [HHS0100201900015C]; Gordon and Betty Moore Foundation [GBMF9052]; Harvard Medical School Eleanor and Miles Shore Foundation; Glenn Foundation for Medical Research; American Federation for Aging Research through a Breakthroughs in Gerontology Grant; American Academy of Sleep Medicine through an AASM Foundation Strategic Research Award; Department of Defense from Moberg ICU Solutions, Inc.; National Foundation of Emergency Medicine; Gordon and Betty Moore Foundation (GBMF) [GBMF9052] Funding Source: Gordon and Betty Moore Foundation (GBMF); National Heart Lung and Blood Institute [T32HL134632, R01HL148436, K23HL154863, R01HL154926] Funding Source: NIH RePORTER; National Institute of Mental Health [K23MH115812] Funding Source: NIH RePORTER; National Institute of Neurological Disorders and Stroke [R01NS107291, R01NS102574, R01NS102190] Funding Source: NIH RePORTER; National Institute on Aging [R01AG063925] Funding Source: NIH RePORTER</t>
  </si>
  <si>
    <t>National Institutes of Health (NIH) National Library of Medicine; NIH (United States Department of Health &amp; Human Services, National Institutes of Health (NIH) - USA, Office of the Administrator (NIH)); Biomedical Advanced Research and Development Authority; Gordon and Betty Moore Foundation (Gordon &amp; Betty Moore Foundation); Harvard Medical School Eleanor and Miles Shore Foundation; Glenn Foundation for Medical Research; American Federation for Aging Research through a Breakthroughs in Gerontology Grant; American Academy of Sleep Medicine through an AASM Foundation Strategic Research Award; Department of Defense from Moberg ICU Solutions, Inc.; National Foundation of Emergency Medicine; Gordon and Betty Moore Foundation (GBMF) (Gordon &amp; Betty Moore Foundation); National Heart Lung and Blood Institute (United States Department of Health &amp; Human Services, National Institutes of Health (NIH) - USA, NIH National Heart Lung &amp; Blood Institute (NHLBI)); National Institute of Mental Health (United States Department of Health &amp; Human Services, National Institutes of Health (NIH) - USA, NIH National Institute of Mental Health (NIMH)); National Institute of Neurological Disorders and Stroke (United States Department of Health &amp; Human Services, National Institutes of Health (NIH) - USA, NIH National Institute of Neurological Disorders &amp; Stroke (NINDS)); National Institute on Aging (United States Department of Health &amp; Human Services, National Institutes of Health (NIH) - USA, NIH National Institute on Aging (NIA))</t>
  </si>
  <si>
    <t>S. N. is supported by the National Institutes of Health (NIH) National Library of Medicine [Grant R56LM013517] and by NIH [Grant K01ES025445], the Biomedical Advanced Research and Development Authority [Grant HHS0100201900015C], and the Gordon and Betty Moore Foundation [Grant GBMF9052]. M. B. W. is supported by the NIH [Grants 1R01NS102190, 1R01NS102574, 1R01NS107291, and 1RF1AG064312]. A. M. is supported by the NIH [Grants R01 HL085188, K24 HL132105, T32 HL134632, R01 AG063925, R01 HL148436, R21 HL121794, R01 HL 119201, and R01 HL081823]. S. S. M. is funded by the NIH [Grant K23MH115812] and the Harvard Medical School Eleanor and Miles Shore Foundation. M. B. W. is supported by the Glenn Foundation for Medical Research and the American Federation for Aging Research through a Breakthroughs in Gerontology Grant; the American Academy of Sleep Medicine through an AASM Foundation Strategic Research Award; the Department of Defense through a subcontract from Moberg ICU Solutions, Inc., and by the NIH [Grants 1R01NS102190, 1R01NS102574, 1R01NS107291, and 1RF1AG064312). G. W. is supported by the National Foundation of Emergency Medicine and funding from the Gordon and Betty Moore Foundation [Grant GBMF9052].</t>
  </si>
  <si>
    <t>[Shashikumar, Supreeth P.; Paul, Paulina; Nemati, Shamim] Univ Calif San Diego, Dept Biomed Informat, La Jolla, CA 92093 USA; [Wardi, Gabriel; Carlile, Morgan] Univ Calif San Diego, Dept Emergency Med, La Jolla, CA 92093 USA; [Wardi, Gabriel; Malhotra, Atul] Univ Calif San Diego, Div Pulm Crit Care &amp; Sleep Med, La Jolla, CA 92093 USA; [Brenner, Laura N.; Hibbert, Kathryn A.; North, Crystal M.] Massachusetts Gen Hosp, Div Pulm &amp; Crit Care Med, Boston, MA 02114 USA; [Mukerji, Shibani; Shao, Yu-Ping; Westover, Brandon] Massachusetts Gen Hosp, Dept Neurol, Boston, MA 02114 USA; [Robbins, Gregory] Massachusetts Gen Hosp, Div Infect Dis, Boston, MA 02114 USA</t>
  </si>
  <si>
    <t>University of California System; University of California San Diego; University of California System; University of California San Diego; University of California System; University of California San Diego; Harvard University; Harvard University Medical Affiliates; Massachusetts General Hospital; Harvard University; Harvard University Medical Affiliates; Massachusetts General Hospital; Harvard University; Harvard University Medical Affiliates; Massachusetts General Hospital</t>
  </si>
  <si>
    <t>Development and Prospective Validation of a Deep Learning Algorithm for Predicting Need for Mechanical Ventilation</t>
  </si>
  <si>
    <t>CHEST</t>
  </si>
  <si>
    <t>artificial intelligence; artificial respiration; coronavirus; deep learning; lung</t>
  </si>
  <si>
    <t>CORONAVIRUS DISEASE 2019; CLINICAL CHARACTERISTICS; ARTIFICIAL-INTELLIGENCE; COVID-19; OUTCOMES; MODEL</t>
  </si>
  <si>
    <t>Robbins, Gregory/F-7988-2011; Shashikumar, Supreeth/ACC-0800-2022; Mukerji, Shibani/T-2303-2019</t>
  </si>
  <si>
    <t>Westover, M. Brandon/0000-0003-4803-312X; Robbins, Gregory/0000-0001-7545-5817; Mukerji, Shibani/0000-0002-5677-6954; Carlile, Morgan/0000-0001-9664-721X</t>
  </si>
  <si>
    <t>0012-3692</t>
  </si>
  <si>
    <t>1931-3543</t>
  </si>
  <si>
    <t>Chest</t>
  </si>
  <si>
    <t>2264</t>
  </si>
  <si>
    <t>2273</t>
  </si>
  <si>
    <t>10.1016/j.chest.2020.12.009</t>
  </si>
  <si>
    <t>http://dx.doi.org/10.1016/j.chest.2020.12.009</t>
  </si>
  <si>
    <t>Critical Care Medicine; Respiratory System</t>
  </si>
  <si>
    <t>General &amp; Internal Medicine; Respiratory System</t>
  </si>
  <si>
    <t>SP9XG</t>
  </si>
  <si>
    <t>33345948</t>
  </si>
  <si>
    <t>WOS:000660015400049</t>
  </si>
  <si>
    <t>Xiong, Y; Xi, W; Zhang, GL; Luo, XY; Xiao, L; Gao, JB; Wang, R; Wang, K; Zhao, Y; Sun, Q; Wang, ZL; Guo, JM; Qu, L; Hou, YY; Zhao, D; Wang, S</t>
  </si>
  <si>
    <t>Background The rapid advancement of digital pathology has opened unprecedented opportunities for intelligent diagnosis in renal cell tumor. However, there remains a significant gap in the availability of reliable deep learning models capable of comprehensive kidney cancer detection, classification, grading, and survival prediction. Method This study retrospectively analyzed 11,135 whole-slide images (WSIs) from 7033 patients with renal tumor, sourced from four medical centers and two public cohorts. Histopathological representations were extracted using the foundation model Prov-GigaPath. A full-stack renal tumor diagnosis and prognosis framework was developed by combining fully supervised learning and weakly supervised multi-instance learning to enable both regional characterization and patient-level inference. Results The deep learning model demonstrated high accuracy in identifying normal tissue (AUC = 0.990), tumor tissue (AUC = 0.982), necrosis tissue (AUC = 0.994), sarcomatoid differentiation (AUC = 0.967), and pseudocapsule tissue (AUC = 0.990) across various pathological types of renal cell tumor. For nine major subtypes of renal cell tumor, classification AUC reached 0.956-0.998 across multi-center validation cohorts. WHO/ISUP nuclear grade prediction for clear cell renal cell carcinoma (ccRCC) and papillary renal cell carcinoma (pRCC) achieved an AUC of 0.867. A whole-slide-derived pan-renal cell tumor pathological risk score independently predicted overall survival and significantly outperformed WHO/ISUP grading in prognostic stratification (p &lt; 0.001). Conclusions We developed and validated a comprehensive AI framework integrating tissue-region detection, renal tumor subtype classification, nuclear grading, and survival prediction. These findings support its potential as a decision-support tool for renal tumor pathology, while prospective workflow-based studies are warranted to determine its clinical utility and impact on pathologist performance.</t>
  </si>
  <si>
    <t>Xiong, Ying; Xi, Wei; Zhang, Gelei; Luo, Xiaoyuan; Xiao, Li; Gao, Jianbo; Wang, Run; Wang, Kang; Zhao, Yun; Sun, Qi; Wang, Zilong; Guo, Jianming; Qu, Le; Hou, Yingyong; Zhao, Di; Wang, Shuo</t>
  </si>
  <si>
    <t>Guo, JM (corresponding author), Fudan Univ, Zhongshan Hosp, Dept Urol, Shanghai, Peoples R China.; Wang, S (corresponding author), Fudan Univ, Digital Med Res Ctr, Sch Basic Med Sci, Shanghai, Peoples R China.; Qu, L (corresponding author), Nanjing Univ, Jinling Hosp, Affiliated Hosp,Med Sch, Dept Urol, Nanjing, Peoples R China.; Hou, YY (corresponding author), Fudan Univ, Zhongshan Hosp, Dept Pathol, Shanghai, Peoples R China.; Zhao, D (corresponding author), Nanjing Univ, Sch Robot &amp; Automat, Suzhou, Peoples R China.</t>
  </si>
  <si>
    <t>hou.yingyong@zs-hospital.sh.cn; septsoul@hotmail.com; shuowang10@fudan.edu.cn; dizhao@nju.edu.cn; guo.jianming@zs-hospital.sh.cn</t>
  </si>
  <si>
    <t>the Excellent Youth Science Foundation of Fujian Provincial Natural Science Foundation [No. 2026D016]; National Natural Science Foundation of China [81902563, 62573320]</t>
  </si>
  <si>
    <t>the Excellent Youth Science Foundation of Fujian Provincial Natural Science Foundation; National Natural Science Foundation of China (National Natural Science Foundation of China (NSFC))</t>
  </si>
  <si>
    <t>This study was funded by grants from National Natural Science Foundation of China [81974393 (J. Guo), 62573320 (D. Zhao), 62501166 (S. Wang)], International Science and Technology Cooperation Program under the 2023 Shanghai Action Plan for Science [23410710400(S. Wang)] and Shanghai Municipal Education Commission Project for Promoting Research Paradigm Reform and Empowering Disciplinary Advancement through Artificial Intelligence [24RGZNC01 (S. Wang)]. This work was also supported by the Excellent Youth Science Foundation of Fujian Provincial Natural Science Foundation of China [Grant No. 2026D016 (Y. Xiong)]. All these study sponsors have no roles in the study design, in the collection, analysis and interpretation of data.</t>
  </si>
  <si>
    <t>[Xiong, Ying; Xi, Wei; Guo, Jianming] Fudan Univ, Zhongshan Hosp, Dept Urol, Shanghai, Peoples R China; [Xiong, Ying] Fudan Univ, Zhongshan Hosp Xiamen, Dept Urol, Xiamen, Peoples R China; [Zhang, Gelei] Tongji Univ, Dept Control Sci &amp; Engn, Shanghai, Peoples R China; [Luo, Xiaoyuan; Wang, Kang; Wang, Shuo] Fudan Univ, Digital Med Res Ctr, Sch Basic Med Sci, Shanghai, Peoples R China; [Xiao, Li; Zhao, Yun] Fudan Univ, Huadong Hosp, Dept Pathol, Shanghai, Peoples R China; [Gao, Jianbo] Peoples Hosp Lincang, Dept Urol, Lincang, Yunnan, Peoples R China; [Wang, Run] Sir Run Run Shaw Hosp, Dept Pathol, Hangzhou, Peoples R China; [Sun, Qi] Fudan Univ, Zhongshan Hosp, Dept Pathol, Xiamen Branch, Xiamen, Peoples R China; [Wang, Zilong] Microsoft Res Asia, Shanghai, Peoples R China; [Qu, Le] Nanjing Univ, Jinling Hosp, Affiliated Hosp,Med Sch, Dept Urol, Nanjing, Peoples R China; [Hou, Yingyong] Fudan Univ, Zhongshan Hosp, Dept Pathol, Shanghai, Peoples R China; [Zhao, Di] Nanjing Univ, Sch Robot &amp; Automat, Suzhou, Peoples R China</t>
  </si>
  <si>
    <t>Fudan University; Fudan University; Tongji University; Fudan University; Fudan University; Zhejiang University; Fudan University; Microsoft; Microsoft Research Asia; Microsoft China; Nanjing University; Fudan University; Nanjing University</t>
  </si>
  <si>
    <t>Artificial intelligence empowers full-stack histopathological diagnosis and prognosis of renal cell tumor: a multi-center study with external validation</t>
  </si>
  <si>
    <t>BMC MEDICINE</t>
  </si>
  <si>
    <t>Artificial intelligence; Digital pathology; Renal cell tumor; Diagnosis; Prognosis</t>
  </si>
  <si>
    <t>GRADING SYSTEM; CARCINOMA; PAPILLARY</t>
  </si>
  <si>
    <t>1741-7015</t>
  </si>
  <si>
    <t>BMC MED</t>
  </si>
  <si>
    <t>BMC Med.</t>
  </si>
  <si>
    <t>AUG 4 2026</t>
  </si>
  <si>
    <t>408</t>
  </si>
  <si>
    <t>10.1186/s12916-026-05110-5</t>
  </si>
  <si>
    <t>http://dx.doi.org/10.1186/s12916-026-05110-5</t>
  </si>
  <si>
    <t>MC5ZG</t>
  </si>
  <si>
    <t>42547870</t>
  </si>
  <si>
    <t>WOS:001839031200001</t>
  </si>
  <si>
    <t>Archer, H; Reine, S; Alshaikhsalama, A; Wells, J; Kohli, A; Vazquez, L; Hummer, A; DiFranco, MD; Ljuhar, R; Xi, Y; Chhabra, A</t>
  </si>
  <si>
    <t>AimsHip dysplasia (HD) leads to premature osteoarthritis. Timely detection and correction of HD has been shown to improve pain, functional status, and hip longevity. Several time-consuming radiological measurements are currently used to confirm HD. An artificial intelligence (AI) software named HIPPO automatically locates anatomical landmarks on anteroposterior pelvis radiographs and performs the needed measurements. The primary aim of this study was to assess the reliability of this tool as compared to multi-reader evaluation in clinically proven cases of adult HD. The secondary aims were to assess the time savings achieved and evaluate inter-reader assessment.MethodsA consecutive preoperative sample of 130 HD patients (256 hips) was used. This cohort included 82.3% females (n = 107) and 17.7% males (n = 23) with median patient age of 28.6 years (interquartile range (IQR) 22.5 to 37.2). Three trained readers' measurements were compared to AI outputs of lateral centre-edge angle (LCEA), caput-collum-diaphyseal (CCD) angle, pelvic obliquity, Tonnis angle, Sharp's angle, and femoral head coverage. Intraclass correlation coefficients (ICC) and Bland-Altman analyses were obtained.ResultsAmong 256 hips with AI outputs, all six hip AI measurements were successfully obtained. The AI-reader correlations were generally good (ICC 0.60 to 0.74) to excellent (ICC &gt; 0.75). There was lower agreement for CCD angle measurement. Most widely used measurements for HD diagnosis (LCEA and Tonnis angle) demonstrated good to excellent inter-method reliability (ICC 0.71 to 0.86 and 0.82 to 0.90, respectively). The median reading time for the three readers and AI was 212 (IQR 197 to 230), 131 (IQR 126 to 147), 734 (IQR 690 to 786), and 41 (IQR 38 to 44) seconds, respectively.ConclusionThis study showed that AI-based software demonstrated reliable radiological assessment of patients with HD with significant interpretation-related time savings.</t>
  </si>
  <si>
    <t>Archer, H.; Reine, S.; Alshaikhsalama, A.; Wells, J.; Kohli, A.; Vazquez, L.; Hummer, A.; DiFranco, M. D.; Ljuhar, R.; Xi, Y.; Chhabra, A.</t>
  </si>
  <si>
    <t>Wells, J (corresponding author), Univ Texas Southwestern Med Ctr Dallas, Dallas, TX 75390 USA.; Wells, J (corresponding author), Univ Texas Southwestern Med Ctr Dallas, Orthopaed Surg, Dallas, TX 75390 USA.</t>
  </si>
  <si>
    <t>jobuwells@gmail.com</t>
  </si>
  <si>
    <t>Once Upon a Time Research Grant</t>
  </si>
  <si>
    <t>The open access funding for this study was provided through the Once Upon a Time Research Grant.</t>
  </si>
  <si>
    <t>[Archer, H.; Reine, S.; Alshaikhsalama, A.; Wells, J.; Kohli, A.; Vazquez, L.; Hummer, A.; DiFranco, M. D.; Ljuhar, R.; Xi, Y.; Chhabra, A.] Univ Texas Southwestern Med Ctr Dallas, Dallas, TX 75390 USA; [Wells, J.] Univ Texas Southwestern Med Ctr Dallas, Orthopaed Surg, Dallas, TX 75390 USA; [Kohli, A.] Univ Texas Southwestern Med Ctr Dallas, Radiol, Dallas, TX 75390 USA; [Chhabra, A.] Univ Texas Southwestern Med Ctr Dallas, Musculoskeletal Radiol, Dallas, TX 75390 USA</t>
  </si>
  <si>
    <t>University of Texas System; University of Texas Southwestern Medical Center; University of Texas System; University of Texas Southwestern Medical Center; University of Texas System; University of Texas Southwestern Medical Center; University of Texas System; University of Texas Southwestern Medical Center</t>
  </si>
  <si>
    <t>Artificial intelligence-generated hip radiological measurements are fast and adequate for reliable assessment of hip dysplasia AN EXTERNAL VALIDATION STUDY</t>
  </si>
  <si>
    <t>BONE &amp; JOINT OPEN</t>
  </si>
  <si>
    <t>Hip dysplasia; Centre-edge angle; Radiographs; Deep learning; Artificial intelligence</t>
  </si>
  <si>
    <t>OSTEOARTHRITIS; LENGTH; PAIN</t>
  </si>
  <si>
    <t>Hummer, Allan/JWP-4815-2024; /A-2839-2019; DiFranco, Matthew/M-3567-2015</t>
  </si>
  <si>
    <t>Alshaikhsalama, Ahmed/0000-0001-9465-8994; Chhabra, Avneesh/0000-0002-0718-3802; DiFranco, Matthew/0000-0002-5844-1154; Wells, Joel/0000-0002-4784-2665; Reine, Seth/0000-0001-5886-4889; Archer, Holden/0000-0002-1178-933X</t>
  </si>
  <si>
    <t>BRITISH EDITORIAL SOC BONE &amp; JOINT SURGERY</t>
  </si>
  <si>
    <t>22 BUCKINGHAM ST, LONDON, WC2N 6ET, ENGLAND</t>
  </si>
  <si>
    <t>2633-1462</t>
  </si>
  <si>
    <t>BONE JOINT OPEN</t>
  </si>
  <si>
    <t>Bone Joint Open</t>
  </si>
  <si>
    <t>877</t>
  </si>
  <si>
    <t>884</t>
  </si>
  <si>
    <t>10.1302/2633-1462.311.BJO-2022-0125.R1</t>
  </si>
  <si>
    <t>http://dx.doi.org/10.1302/2633-1462.311.BJO-2022-0125.R1</t>
  </si>
  <si>
    <t>7S8EB</t>
  </si>
  <si>
    <t>36373773</t>
  </si>
  <si>
    <t>WOS:000910982600004</t>
  </si>
  <si>
    <t>Neumayr, J; Frenkel, E; Schwarzmaier, J; Ammar, N; Kessler, A; Schwendicke, F; Kühnisch, J; Dujic, H</t>
  </si>
  <si>
    <t>Objectives: This ex vivo diagnostic study aimed to externally validate an open-access artificial intelligence (AI)based model for the detection, classification, localisation and segmentation of enamel/molar incisor hypomineralisation (EH/MIH). Methods: An independent sample of web images showing teeth with (n = 277) and without (n = 178) EH/MIH was evaluated by a workgroup of dentists whose consensus served as the reference standard. Then, an AI-based model was used for the detection of EH/MIH, followed by automated classification and segmentation of the findings (test method). The accuracy (ACC), sensitivity (SE), specificity (SP) and area under the curve (AUC) were determined. Furthermore, the correctness of EH/MIH lesion localisation and segmentation was evaluated. Results: An overall ACC of 94.3 % was achieved for image-based detection of EH/MIH. Cross-classification of the AI-based class prediction and the reference standard resulted in an agreement of 89.2 % for all diagnostic decisions (n = 594), with an ACC between 91.4 % and 97.8 %. The corresponding SE and SP values ranged from 81.7 % to 92.8 % and 91.9 % to 98.7 %, respectively. The AUC varied between 0.894 and 0.945. Image size had only a limited impact on diagnostic performance. The AI-based model correctly predicted EH/MIH localisation in 97.3 % of cases. For the detected lesions, segmentation was fully correct in 63.4 % of all cases and partially correct in 33.9 %. Conclusions: This study documented the promising diagnostic performance of an open-access AI tool in the detection and classification of EH/MIH in external images. Clinical significance: Externally validated AI-based diagnostic methods could facilitate the detection of EH/MIH lesions in dental photographs.</t>
  </si>
  <si>
    <t>Neumayr, Julia; Frenkel, Elisabeth; Schwarzmaier, Julia; Ammar, Nour; Kessler, Andreas; Schwendicke, Falk; Kuehnisch, Jan; Dujic, Helena</t>
  </si>
  <si>
    <t>Kühnisch, J (corresponding author), LMU, LMU Univ Hosp, Dept Conservat Dent &amp; Periodontol, Klin Ludwig Maximillians,Klin Zahnerhaltung Parodo, Goethestr 70, D-80336 Munich, Germany.</t>
  </si>
  <si>
    <t>[Neumayr, Julia; Frenkel, Elisabeth; Schwarzmaier, Julia; Ammar, Nour; Kessler, Andreas; Schwendicke, Falk; Kuehnisch, Jan; Dujic, Helena] LMU, LMU Univ Hosp, Dept Conservat Dent &amp; Periodontol, Klin Ludwig Maximillians,Klin Zahnerhaltung Parodo, Goethestr 70, D-80336 Munich, Germany; [Kessler, Andreas] Univ Freiburg, Fac Med, Ctr Dent Med, Dept Prosthet Dent,Med Ctr, Freiburg, Germany</t>
  </si>
  <si>
    <t>External validation of an artificial intelligence-based method for the detection and classification of molar incisor hypomineralisation in dental photographs</t>
  </si>
  <si>
    <t>JOURNAL OF DENTISTRY</t>
  </si>
  <si>
    <t>Enamel hypomineralisation; Diagnosis; Validation study; Artificial intelligence</t>
  </si>
  <si>
    <t>Kessler, Andreas/QMQ-7995-2026; Ammar, Nour/AAV-7367-2021; KÃ¼hnisch, Jan/HCI-7122-2022</t>
  </si>
  <si>
    <t>Kessler, Andreas/0000-0003-3024-2425; Ammar, Nour/0000-0002-7654-2493; Neumayr, Julia/0009-0009-5847-5838; Dujic, Helena/0000-0002-9829-4427</t>
  </si>
  <si>
    <t>0300-5712</t>
  </si>
  <si>
    <t>1879-176X</t>
  </si>
  <si>
    <t>J DENT</t>
  </si>
  <si>
    <t>J. Dent.</t>
  </si>
  <si>
    <t>SEP 2024</t>
  </si>
  <si>
    <t>148</t>
  </si>
  <si>
    <t>105228</t>
  </si>
  <si>
    <t>10.1016/j.jdent.2024.105228</t>
  </si>
  <si>
    <t>http://dx.doi.org/10.1016/j.jdent.2024.105228</t>
  </si>
  <si>
    <t>YS8H9</t>
  </si>
  <si>
    <t>38972447</t>
  </si>
  <si>
    <t>WOS:001270564000001</t>
  </si>
  <si>
    <t>Juliao, ELD; Adiverci, GC; Fagundes, FB; Leite, AF; Neves, FS; de Freitas, DQ; Fontenele, RC; Jacobs, R; Haiter-Neto, F; de-Azevedo-Vaz, SL</t>
  </si>
  <si>
    <t>Objective: To evaluate the generalizability of an artificial intelligence (AI)-based software for automated segmentation of posterior teeth in cone beam CT (CBCT) scans and to identify the variables that influence the need for refinement of automatic segmentations (AS). Methods: A total of 190 scans from 190 patients, acquired using 5 CBCT systems were imported into the Virtual Patient Creator (Relu, Leuven, Belgium) for AS. Two dental surgeons qualitatively assessed the segmentations of posterior teeth and refined those requiring correction. Manual segmentation (MS) of 20% of the sample was performed using Mimics software (Materialise, Leuven, Belgium). Performance was analyzed through voxel-by-voxel and surface-based comparisons, in addition to the evaluation of time efficiency. Associations between independent variables and the need for refinement were analyzed using mixed logistic regression (alpha = 5%). Results: Among the 1005 teeth evaluated, only 12.7% required refinement. Age and the presence of brackets were significant predictors (P &lt; .001). The unexplained variability was attributed mainly to the patients, with minimal influence from the CBCT systems. AS showed agreement with refined segmentations (R-AI) (IoU: 0.93-0.96; DSC: 0.96-0.98; precision: 0.99-1.00; recall: 0.94-0.96; accuracy: 0.98-0.99; MAD: 0.05-0.07; RMSE: 0.06-0.14) and excellent performance compared to MS (IoU: 0.94; DSC: 0.97; precision: 0.98; recall: 0.95; accuracy: 0.98; MAD: 0.05; RMSE: 0.09). AS was more time-efficient (12 [AIQ: 5]) compared to R-AI (202 [AIQ: 334]) and MS (1726 [AIQ: 863]). Conclusion: The AI-based software demonstrated high accuracy and generalizability for automated segmentation of posterior teeth in CBCT scans.</t>
  </si>
  <si>
    <t>Juliao, Erielma Lomba Dias; Adiverci, Gabriel Cunha; Fagundes, Fernanda Bulhoes; Leite, Andre Ferreira; Neves, Frederico Sampaio; de Freitas, Deborah Queiroz; Fontenele, Rocharles Cavalcante; Jacobs, Reinhilde; Haiter-Neto, Francisco; de-Azevedo-Vaz, Sergio Lins</t>
  </si>
  <si>
    <t>Juliao, ELD (corresponding author), Univ Estadual Campinas, Piracicaba Dent Sch, Dept Oral Diag, BR-13414903 Piracicaba, SP, Brazil.</t>
  </si>
  <si>
    <t>erielma.lomba@outlook.com</t>
  </si>
  <si>
    <t>The Brazilian National Council for Scientific and Technological Development (CNPq) supported the research [#407853/2023-5]; Gabriel Cunha Adiverci a scholarship; Andr Ferreira Leite, Deborah Queiroz de Freitas, Francisco Haiter Neto, and Sergio Lins de Azevedo Vaz a scholarship; Coordenao de Aperfeioamento de Pessoal de Nivel Superior (CAPES)-Finance [001]</t>
  </si>
  <si>
    <t>The Brazilian National Council for Scientific and Technological Development (CNPq) supported the research (Conselho Nacional de Desenvolvimento Cientifico e Tecnologico (CNPQ), Fundacao de Apoio a Pesquisa do Distrito Federal (FAPDF)); Gabriel Cunha Adiverci a scholarship; Andr Ferreira Leite, Deborah Queiroz de Freitas, Francisco Haiter Neto, and Sergio Lins de Azevedo Vaz a scholarship; Coordenao de Aperfeioamento de Pessoal de Nivel Superior (CAPES)-Finance (Coordenacao de Aperfeicoamento de Pessoal de Nivel Superior (CAPES))</t>
  </si>
  <si>
    <t>This research was supported in part by Coordenac &amp; atilde;o de Aperfeicoamento de Pessoal de Nivel Superior (CAPES)-Finance code 001. The Foundation for Research and Innovation Support of Espirito Santo (FAPES) provided Gabriel Cunha Adiverci a scholarship. The Brazilian National Council for Scientific and Technological Development (CNPq) supported the research (#407853/2023-5) and provided Andre Ferreira Leite, Deborah Queiroz de Freitas, Francisco Haiter Neto, and Sergio Lins de Azevedo Vaz a scholarship.</t>
  </si>
  <si>
    <t>[Juliao, Erielma Lomba Dias; Fagundes, Fernanda Bulhoes; de Freitas, Deborah Queiroz; Haiter-Neto, Francisco; de-Azevedo-Vaz, Sergio Lins] Univ Estadual Campinas, Piracicaba Dent Sch, Dept Oral Diag, BR-13414903 Piracicaba, SP, Brazil; [Adiverci, Gabriel Cunha; de-Azevedo-Vaz, Sergio Lins] Univ Fed Espirito Santo, Dent Sci Grad Program, BR-29047105 Vitoria, ES, Brazil; [Leite, Andre Ferreira] Univ Brasilia, Dept Dent, BR-70910900 Brasilia, DF, Brazil; [Neves, Frederico Sampaio] Univ Fed Bahia, Sch Dent, Dept Propaedeut &amp; Integrated Clin, Div Oral Radiol, BR-40110150 Salvador, BA, Brazil; [Fontenele, Rocharles Cavalcante] Univ Sao Paulo, Sch Dent Ribeirao Preto, Dept Stomatol Publ Oral Hlth &amp; Forens Dent, Div Oral Radiol, BR-14040904 Ribeirao Preto, Brazil; [Jacobs, Reinhilde] Katholieke Univ Leuven, Fac Med, Dept Imaging &amp; Pathol, OMFS IMPATH Res Grp, B-3000 Leuven, Belgium; [Jacobs, Reinhilde] Univ Hosp Leuven, Dept Oral &amp; Maxillofacial Surg, B-3000 Leuven, Belgium; [Jacobs, Reinhilde] Karolinska Inst, Dept Dent Med, SE-14104 Stockholm, Sweden</t>
  </si>
  <si>
    <t>Universidade Estadual de Campinas; Universidade Federal do Espirito Santo; Universidade de Brasilia; Universidade Federal da Bahia; Universidade de Sao Paulo; KU Leuven; KU Leuven; University Hospital Leuven; Karolinska Institutet</t>
  </si>
  <si>
    <t>Analysis of the generalizability of an artificial intelligence-based software for tomographic segmentation of posterior teeth-an external validation study</t>
  </si>
  <si>
    <t>artificial intelligence; convolutional neural network; deep learning; cone beam CT; tooth</t>
  </si>
  <si>
    <t>Freitas, Deborah/D-6963-2012; Fontenele, Rocharles/AFI-1128-2022; de-Azevedo-Vaz, Sergio/B-4206-2013; Leite, Andre/AAG-1575-2020; Neto, Francisco/AAW-8334-2020</t>
  </si>
  <si>
    <t>Cunha, Gabriel/0009-0004-1668-327X; Julião, Erielma/0000-0003-1715-1887</t>
  </si>
  <si>
    <t>10.1093/dmfr/twag018</t>
  </si>
  <si>
    <t>http://dx.doi.org/10.1093/dmfr/twag018</t>
  </si>
  <si>
    <t>KH5VN</t>
  </si>
  <si>
    <t>41965067</t>
  </si>
  <si>
    <t>WOS:001743512600001</t>
  </si>
  <si>
    <t>Karnuta, JM; Murphy, MP; Luu, BC; Ryan, MJ; Haeberle, HS; Brown, NM; Iorio, R; Chen, AF; Ramkumar, PN</t>
  </si>
  <si>
    <t>Background: The surgical management of complications after total hip arthroplasty (THA) necessitates accurate identification of the femoral implant manufacturer and model. Automated image processing using deep learning has been previously developed and internally validated; however, external validation is necessary prior to responsible application of artificial intelligence (AI)-based technologies.Methods: We trained, validated, and externally tested a deep learning system to classify femoral-sided THA implants as one of the 8 models from 2 manufacturers derived from 2,954 original, deidentified, retrospectively collected anteroposterior plain radiographs across 3 academic referral centers and 13 surgeons. From these radiographs, 2,117 were used for training, 249 for validation, and 588 for external testing. Augmentation was applied to the training set (n 1/4 2,117,000) to increase model robustness. Performance was evaluated by area under the receiver operating characteristic curve, sensitivity, specificity, and accuracy. Implant identification processing speed was calculated.Results: The training and testing sets were drawn from statistically different populations of implants (P &lt; .001). After 1,000 training epochs by the deep learning system, the system discriminated 8 implant models with a mean area under the receiver operating characteristic curve of 0.991, accuracy of 97.9%, sensitivity of 88.6%, and specificity of 98.9% in the external testing dataset of 588 anteroposterior radiographs. The software classified implants at a mean speed of 0.02 seconds per image.Conclusion: An AI-based software demonstrated excellent internal and external validation. Although continued surveillance is necessary with implant library expansion, this software represents responsible and meaningful clinical application of AI with immediate potential to globally scale and assist in preoperative planning prior to revision THA. (c) 2022 Elsevier Inc. All rights reserved.</t>
  </si>
  <si>
    <t>Karnuta, Jaret M.; Murphy, Michael P.; Luu, Bryan C.; Ryan, Michael J.; Haeberle, Heather S.; Brown, Nicholas M.; Iorio, Richard; Chen, Antonia F.; Ramkumar, Prem N.</t>
  </si>
  <si>
    <t>Ramkumar, PN (corresponding author), Brigham &amp; Womens Hosp, Dept Orthopaed Surg, 75 Francis St, Boston, MA 02115 USA.</t>
  </si>
  <si>
    <t>[Karnuta, Jaret M.; Luu, Bryan C.; Ryan, Michael J.; Haeberle, Heather S.; Ramkumar, Prem N.] Orthopaed Intelligence LLC, Orthopaed Machine Learning Lab, Cleveland Hts, OH USA; [Karnuta, Jaret M.] Univ Penn, Dept Orthopaed Surg, Philadelphia, PA USA; [Murphy, Michael P.; Brown, Nicholas M.] Loyola Univ, Med Ctr, Dept Orthopaed Surg &amp; Rehabil, Chicago, IL USA; [Luu, Bryan C.] Baylor Coll Med, Dept Orthopaed Surg, Houston, TX USA; [Haeberle, Heather S.; Ramkumar, Prem N.] Hosp Special Surg, Sports Med Inst, New York, NY USA; [Iorio, Richard; Chen, Antonia F.; Ramkumar, Prem N.] Brigham &amp; Womens Hosp, Dept Orthopaed Surg, 75 Francis St, Boston, MA 02115 USA</t>
  </si>
  <si>
    <t>University of Pennsylvania; Pennsylvania Medicine; Loyola University Chicago; Baylor College of Medicine; Harvard University; Harvard University Medical Affiliates; Brigham &amp; Women's Hospital</t>
  </si>
  <si>
    <t>Artificial Intelligence for Automated Implant Identification in Total Hip Arthroplasty: A Multicenter External Validation Study Exceeding Two Million Plain Radiographs</t>
  </si>
  <si>
    <t>JOURNAL OF ARTHROPLASTY</t>
  </si>
  <si>
    <t>total hip arthroplasty; revision arthroplasty; machine learning; implant identification; artificial intelligence</t>
  </si>
  <si>
    <t>MACHINE LEARNING ALGORITHMS; TOTAL JOINT ARTHROPLASTY</t>
  </si>
  <si>
    <t>Haeberle, Heather/KOM-7583-2024</t>
  </si>
  <si>
    <t>CHURCHILL LIVINGSTONE INC MEDICAL PUBLISHERS</t>
  </si>
  <si>
    <t>CURTIS CENTER, INDEPENDENCE SQUARE WEST, PHILADELPHIA, PA 19106-3399 USA</t>
  </si>
  <si>
    <t>0883-5403</t>
  </si>
  <si>
    <t>1532-8406</t>
  </si>
  <si>
    <t>J ARTHROPLASTY</t>
  </si>
  <si>
    <t>J. Arthroplast.</t>
  </si>
  <si>
    <t>OCT 2023</t>
  </si>
  <si>
    <t>1998</t>
  </si>
  <si>
    <t>+</t>
  </si>
  <si>
    <t>10.1016/j.arth.2022.03.002</t>
  </si>
  <si>
    <t>http://dx.doi.org/10.1016/j.arth.2022.03.002</t>
  </si>
  <si>
    <t>U4AS8</t>
  </si>
  <si>
    <t>35271974</t>
  </si>
  <si>
    <t>WOS:001084244100001</t>
  </si>
  <si>
    <t>Karnuta, JM; Shaikh, HJF; Murphy, MP; Brown, NM; Pearle, AD; Nawabi, DH; Chen, AF; Ramkumar, PN</t>
  </si>
  <si>
    <t>Background: Surgical management of complications following knee arthroplasty demands accurate and timely identification of implant manufacturer and model. Automated image processing using deep machine learning has been previously developed and internally validated; however, external validation is essential prior to scaling clinical implementation for generalizability.Methods: We trained, validated, and externally tested a deep learning system to classify knee arthroplasty systems as one of the 9 models from 4 manufacturers derived from 4,724 original, retrospectively collected anteroposterior plain knee radiographs across 3 academic referral centers. From these radiographs, 3,568 were used for training, 412 for validation, and 744 for external testing. Augmentation was applied to the training set (n 1/4 3,568,000) to increase model robustness. Performance was determined by the area under the receiver operating characteristic curve, sensitivity, specificity, and accuracy. Implant identification processing speed was calculated. The training and testing sets were drawn from statistically different populations of implants (P &lt; .001).Results: After 1,000 training epochs by the deep learning system, the system discriminated 9 implant models with a mean area under the receiver operating characteristic curve of 0.989, accuracy of 97.4%, sensitivity of 89.2%, and specificity of 99.0% in the external testing dataset of 744 anteroposterior radiographs. The software classified implants at a mean speed of 0.02 seconds per image.Conclusion: An artificial intelligence-based software for identifying knee arthroplasty implants demonstrated excellent internal and external validation. Although continued surveillance is necessary with implant library expansion, this software represents a responsible and meaningful clinical application of artificial intelligence with immediate potential to globally scale and assist in preoperative planning prior to revision knee arthroplasty.(c) 2023 Elsevier Inc. All rights reserved.</t>
  </si>
  <si>
    <t>Karnuta, Jaret M.; Shaikh, Hashim J. F.; Murphy, Michael P.; Brown, Nicholas M.; Pearle, Andrew D.; Nawabi, Danyal H.; Chen, Antonia F.; Ramkumar, Prem N.</t>
  </si>
  <si>
    <t>Ramkumar, PN (corresponding author), Hosp Special Surg, New York, NY USA.; Ramkumar, PN (corresponding author), Hosp Special Surg, 535 E 70th St, New York, NY 10021 USA.</t>
  </si>
  <si>
    <t>[Karnuta, Jaret M.] Univ Penn, Philadelphia, PA USA; [Shaikh, Hashim J. F.] Univ Rochester, Med Ctr, Rochester, NY USA; [Murphy, Michael P.; Brown, Nicholas M.] Loyola Med, Chicago, IL USA; [Pearle, Andrew D.; Nawabi, Danyal H.; Ramkumar, Prem N.] Hosp Special Surg, New York, NY USA; [Chen, Antonia F.] Brigham &amp; Womens Hosp, Boston, MA USA; [Ramkumar, Prem N.] Long Beach Orthopaed Inst, Long Beach, CA USA; [Ramkumar, Prem N.] Hosp Special Surg, 535 E 70th St, New York, NY 10021 USA</t>
  </si>
  <si>
    <t>University of Pennsylvania; University of Rochester; Harvard University; Harvard University Medical Affiliates; Brigham &amp; Women's Hospital</t>
  </si>
  <si>
    <t>Artificial Intelligence for Automated Implant Identification in Knee Arthroplasty: A Multicenter External Validation Study Exceeding 3.5 Million Plain Radiographs</t>
  </si>
  <si>
    <t>artificial intelligence; implant identification; machine learning; revision arthroplasty; knee arthroplasty</t>
  </si>
  <si>
    <t>REVISION; HIP</t>
  </si>
  <si>
    <t>2004</t>
  </si>
  <si>
    <t>2008</t>
  </si>
  <si>
    <t>10.1016/j.arth.2023.03.039</t>
  </si>
  <si>
    <t>http://dx.doi.org/10.1016/j.arth.2023.03.039</t>
  </si>
  <si>
    <t>U2PC2</t>
  </si>
  <si>
    <t>36940755</t>
  </si>
  <si>
    <t>WOS:001083264200001</t>
  </si>
  <si>
    <t>Horvat, N; Veeraraghavan, H; Nahas, CSR; Bates, DDB; Ferreira, FR; Zheng, JT; Capanu, M; Fuqua, JL; Fernandes, MC; Sosa, RE; Jayaprakasam, VS; Cerri, GG; Nahas, SC; Petkovska, I</t>
  </si>
  <si>
    <t>Purpose To evaluate an MRI-based radiomic texture classifier alone and combined with radiologist qualitative assessment in predicting pathological complete response (pCR) using restaging MRI with internal training and external validation.Methods Consecutive patients with locally advanced rectal cancer (LARC) who underwent neoadjuvant therapy followed by total mesorectal excision from March 2012 to February 2016 (Memorial Sloan Kettering Cancer Center/internal dataset, n = 114, 41% female, median age = 55) and July 2014 to October 2015 (Instituto do Cancer do Estado de Sao Paulo/external dataset, n = 50, 52% female, median age = 64.5) were retrospectively included. Two radiologists (R1, senior; R2, junior) independently evaluated restaging MRI, classifying patients (radiological complete response vs radiological partial response). Model A (n = 33 texture features), model B (n = 91 features including texture, shape, and edge features), and two combination models (model A + B + R1, model A + B + R2) were constructed. Pathology served as the reference standard for neoadjuvant treatment response. Comparison of the classifiers' AUCs on the external set was done using DeLong's test.Results Models A and B had similar discriminative ability (P = 0 .3; Model B AUC = 83%, 95% CI 70%-97%). Combined models increased inter-reader agreement compared with radiologist-only interpretation (x=0.82, 95% CI 0.70-0.89 vs k=0.25, 95% CI 0.11-0.61). The combined model slightly increased junior radiologist specificity, positive predictive value, and negative predictive values (93% vs 90%, 57% vs 50%, and 91% vs 90%, respectively).Conclusion We developed and externally validated a combined model using radiomics and radiologist qualitative assessment, which improved inter-reader agreement and slightly increased the diagnostic performance of the junior radiologist in predicting pCR after neoadjuvant treatment in patients with LARC.[GRAPHICS].</t>
  </si>
  <si>
    <t>Horvat, Natally; Veeraraghavan, Harini; Nahas, Caio S. R.; Bates, David D. B.; Ferreira, Felipe R.; Zheng, Junting; Capanu, Marinela; Fuqua, James L.; Fernandes, Maria Clara; Sosa, Ramon E.; Jayaprakasam, Vetri Sudar; Cerri, Giovanni G.; Nahas, Sergio C.; Petkovska, Iva</t>
  </si>
  <si>
    <t>Petkovska, I (corresponding author), Mem Sloan Kettering Canc Ctr, Dept Radiol, 1275 York Ave,Box 29, New York, NY 10065 USA.</t>
  </si>
  <si>
    <t>petkovsi@mskcc.org</t>
  </si>
  <si>
    <t>NIH/NCI Cancer Center Support Grant [P30 CA008748]; National Cancer Institute [P30CA008748] Funding Source: NIH RePORTER</t>
  </si>
  <si>
    <t>NIH/NCI Cancer Center Support Grant; National Cancer Institute (United States Department of Health &amp; Human Services, National Institutes of Health (NIH) - USA, NIH National Cancer Institute (NCI))</t>
  </si>
  <si>
    <t>This study was funded in part through the NIH/NCI Cancer Center Support Grant P30 CA008748.</t>
  </si>
  <si>
    <t>[Horvat, Natally; Bates, David D. B.; Fuqua, James L.; Fernandes, Maria Clara; Sosa, Ramon E.; Jayaprakasam, Vetri Sudar; Petkovska, Iva] Mem Sloan Kettering Canc Ctr, Dept Radiol, 1275 York Ave,Box 29, New York, NY 10065 USA; [Horvat, Natally; Ferreira, Felipe R.; Cerri, Giovanni G.] Univ Sao Paulo, Dept Radiol, Sao Paulo, SP, Brazil; [Veeraraghavan, Harini] Mem Sloan Kettering Canc Ctr, Dept Med Phys, 1275 York Ave, New York, NY 10021 USA; [Nahas, Caio S. R.; Nahas, Sergio C.] Univ Sao Paulo, Dept Surg, Sao Paulo, SP, Brazil; [Zheng, Junting; Capanu, Marinela] Mem Sloan Kettering Canc Ctr, Dept Epidemiol &amp; Biostat, 1275 York Ave, New York, NY 10021 USA</t>
  </si>
  <si>
    <t>Memorial Sloan Kettering Cancer Center; Universidade de Sao Paulo; Memorial Sloan Kettering Cancer Center; Universidade de Sao Paulo; Memorial Sloan Kettering Cancer Center</t>
  </si>
  <si>
    <t>Combined artificial intelligence and radiologist model for predicting rectal cancer treatment response from magnetic resonance imaging: an external validation study</t>
  </si>
  <si>
    <t>ABDOMINAL RADIOLOGY</t>
  </si>
  <si>
    <t>Rectal cancer; Neoadjuvant therapy; Magnetic resonance imaging; Artificial intelligence; Watchful waiting</t>
  </si>
  <si>
    <t>PATHOLOGICAL COMPLETE RESPONSE; NEOADJUVANT CHEMORADIOTHERAPY; TUMORAL RESPONSE; TEXTURE ANALYSIS; MRI; RADIOMICS; CHEMORADIATION; AGREEMENT</t>
  </si>
  <si>
    <t>Capanu, Marinela/NFT-3625-2025; Jayaprakasam, Vetri Sudar/AAZ-1354-2021; Veeraraghavan, Harini/M-1986-2018; Nahas, Caio/A-3065-2013; Cerri, Giovanni/P-4900-2015</t>
  </si>
  <si>
    <t>Veeraraghavan, Harini/0000-0002-4054-5529; Horvat, Natally/0000-0001-8849-5789</t>
  </si>
  <si>
    <t>2366-004X</t>
  </si>
  <si>
    <t>2366-0058</t>
  </si>
  <si>
    <t>ABDOM RADIOL</t>
  </si>
  <si>
    <t>Abdom. Radiol.</t>
  </si>
  <si>
    <t>2770</t>
  </si>
  <si>
    <t>2782</t>
  </si>
  <si>
    <t>10.1007/s00261-022-03572-8</t>
  </si>
  <si>
    <t>http://dx.doi.org/10.1007/s00261-022-03572-8</t>
  </si>
  <si>
    <t>3B7YX</t>
  </si>
  <si>
    <t>35710951</t>
  </si>
  <si>
    <t>WOS:000811958400001</t>
  </si>
  <si>
    <t>Long, QG; Tian, Y; Pan, BY; Xu, ZC; Zhang, WQ; Xu, LB; Fan, WH; Pan, TT; Gong, NJ</t>
  </si>
  <si>
    <t>PurposeTo investigate the effects of the deep learning model RaDynPET on fourfold reduced-count whole-body PET examinations.MethodsA total of 120 patients (84 internal cohorts and 36 external cohorts) undergoing 18F-FDG PET/CT examinations were enrolled. PET images were reconstructed using OSEM algorithm with 120-s (G120) and 30-s (G30) list-mode data. RaDynPET was developed to generate enhanced images (R30) from G30. Two experienced nuclear medicine physicians independently evaluated subjective image quality using a 5-point Likert scale. Standardized uptake values (SUV), standard deviations, liver signal-to-noise ratio (SNR), lesion tumor-to-background ratio (TBR), and contrast-to-noise ratio (CNR) were compared. Subgroup analyses evaluated performance across demographics, and lesion detectability were evaluated using external datasets. RaDynPET was also compared to other deep learning methods.ResultsIn internal cohorts, R30 demonstrated significantly higher image quality scores than G30 and G120. R30 showed excellent agreement with G120 for liver and lesion SUV values and surpassed G120 in liver SNR and CNR. Liver SNR and CNR of R30 were comparable to G120 in thin group, and the CNR of R30 was comparable to G120 in young age group. In external cohorts, R30 maintained strong SUV agreement with G120, with lesion-level sensitivity and specificity of 95.45% and 98.41%, respectively. There was no statistical difference in lesion detection between R30 and G120. RaDynPET achieved the highest PSNR and SSIM among deep learning methods.ConclusionThe RaDynPET model effectively restored high image quality while maintaining SUV agreement for 18F-FDG PET scans acquired in 25% of the standard acquisition time.</t>
  </si>
  <si>
    <t>Long, Qigang; Tian, Yan; Pan, Boyang; Xu, Zhenchun; Zhang, Wenqian; Xu, Libo; Fan, Wenhuan; Pan, Taotao; Gong, Nan-Jie</t>
  </si>
  <si>
    <t>Pan, TT (corresponding author), Zunyi Med Univ, Sch Med Informat Engn, Zunyi 563000, Peoples R China.; Gong, NJ (corresponding author), East China Normal Univ, Sch Phys &amp; Elect Sci, Shanghai Key Lab Magnet Resonance, Shanghai 200062, Peoples R China.; Gong, NJ (corresponding author), East China Normal Univ, Inst Magnet Resonance &amp; Mol Imaging Med, Shanghai 200062, Peoples R China.</t>
  </si>
  <si>
    <t>pttwss@163.com; nanjie.gong@gmail.com</t>
  </si>
  <si>
    <t>Guizhou Provincial Youth Science and Technology Talents Growth Project [[2024]138]; Second Affiliated Hospital of Chongqing Medical University - Project of Youth Science and Technology Talent Growth Guizhou Provincial Department of Education [3502Z202373090]; Xiamen Natural Science Foundation [HZ[2022]384]; Project of Science and Technology Planning of Zunyi City</t>
  </si>
  <si>
    <t>Guizhou Provincial Youth Science and Technology Talents Growth Project; Second Affiliated Hospital of Chongqing Medical University - Project of Youth Science and Technology Talent Growth Guizhou Provincial Department of Education; Xiamen Natural Science Foundation; Project of Science and Technology Planning of Zunyi City</t>
  </si>
  <si>
    <t>The authors would like to thank Gengbiao Yuan, the head of Department of Nuclear Medicine, The Second Affiliated Hospital of Chongqing Medical University for supporting related to this work. This research was funded by the Project of Youth Science and Technology Talent Growth Guizhou Provincial Department of Education (No. [2024]138), Xiamen Natural Science Foundation (Grant No. 3502Z202373090), and the Project of Science and Technology Planning of Zunyi City (No. HZ[2022]384). The authors acknowledge the support received from the foundation.</t>
  </si>
  <si>
    <t>[Long, Qigang; Pan, Taotao] Zunyi Med Univ, Sch Med Informat Engn, Zunyi 563000, Peoples R China; [Tian, Yan; Xu, Zhenchun; Zhang, Wenqian] Chongqing Med Univ, Dept Nucl Med, Affiliated Hosp 2, Chongqing 400010, Peoples R China; [Pan, Boyang] Tsinghua Cross Strait Res Inst, Lab Intelligent Med Imaging, Xiamen 361000, Peoples R China; [Xu, Libo] RadioDynam Med, Shanghai 200333, Peoples R China; [Fan, Wenhuan] Chongqing Univ, Chongqing Gen Hosp, Dept Nucl Med, Chongqing 400013, Peoples R China; [Gong, Nan-Jie] East China Normal Univ, Sch Phys &amp; Elect Sci, Shanghai Key Lab Magnet Resonance, Shanghai 200062, Peoples R China; [Gong, Nan-Jie] East China Normal Univ, Inst Magnet Resonance &amp; Mol Imaging Med, Shanghai 200062, Peoples R China</t>
  </si>
  <si>
    <t>Zunyi Medical University; Chongqing Medical University; Chongqing University; East China Normal University; East China Normal University</t>
  </si>
  <si>
    <t>Clinical validation of a deep learning model for low-count PET image enhancement</t>
  </si>
  <si>
    <t>EUROPEAN JOURNAL OF NUCLEAR MEDICINE AND MOLECULAR IMAGING</t>
  </si>
  <si>
    <t>PET/CT; Deep learning; Image enhancement; Low-count; Image quality</t>
  </si>
  <si>
    <t>Long, Qigang/JVO-4512-2024; Gong, Nan-Jie/H-8002-2012</t>
  </si>
  <si>
    <t>Long, Qigang/0009-0004-1208-9396; Gong, Nan-Jie/0000-0001-9249-413X</t>
  </si>
  <si>
    <t>1619-7070</t>
  </si>
  <si>
    <t>1619-7089</t>
  </si>
  <si>
    <t>EUR J NUCL MED MOL I</t>
  </si>
  <si>
    <t>Eur. J. Nucl. Med. Mol. Imaging</t>
  </si>
  <si>
    <t>4972</t>
  </si>
  <si>
    <t>4984</t>
  </si>
  <si>
    <t>10.1007/s00259-025-07370-4</t>
  </si>
  <si>
    <t>http://dx.doi.org/10.1007/s00259-025-07370-4</t>
  </si>
  <si>
    <t>9KQ2N</t>
  </si>
  <si>
    <t>40471320</t>
  </si>
  <si>
    <t>WOS:001502665200001</t>
  </si>
  <si>
    <t>Yang, CD; Wang, J; Verniani, L; Ghalehei, M; Chen, LE; Lin, KY</t>
  </si>
  <si>
    <t>Purpose: To validate a convolutional neural network (CNN) -based smartphone application for the identification of glaucoma eye drop medications in patients with normal and impaired vision. Methods: Sixty-eight patients with visual acuity (VA) of 20/70 or worse in at least one eye who presented to an academic glaucoma clinic from January 2021 through August 2022 were included. Non -English-speaking patients were excluded. Enrolled subjects participated in an activity in which they identified a predetermined and preordered set of six topical glaucoma medications, first without the CNN and then with the CNN for a total of six sequential measurements per subject. Responses to a standardized survey were collected during and after the activity. Primary quantitative outcomes were medication identification accuracy and time. Primary qualitative outcomes were subjective ratings of ease of smartphone application use. Results: Topical glaucoma medication identification accuracy (OR = 12.005, P &lt; 0.001) and time (OR = 0.007, P &lt; 0.001) both independently improved with CNN use. CNN use significantly improved medication accuracy in patients with glaucoma (OR = 4.771, P = 0.036) or VA &lt;= 20/70 in at least one eye (OR = 4.463, P = 0.013) and medication identification time in patients with glaucoma (OR = 0.065, P = 0.017). CNN use had a significant positive association with subject-reported ease of medication identification (X-2 (1) = 66.117, P &lt; 0.001). Conclusion: Our CNN -based smartphone application is efficacious at improving glaucoma eye drop identification accuracy and time. This tool can be used in the outpatient setting to avert preventable vision loss by improving medication adherence in patients with glaucoma.</t>
  </si>
  <si>
    <t>Yang, Christopher D.; Wang, Jasmine; Verniani, Ludovico; Ghalehei, Melika; Chen, Lauren E.; Lin, Ken Y.</t>
  </si>
  <si>
    <t>Lin, KY (corresponding author), Gavin Herbert Eye Inst, Irvine, CA 92697 USA.</t>
  </si>
  <si>
    <t>linky@hs.uci.edu</t>
  </si>
  <si>
    <t>Institute for Clinical and Translational Science of the National Institutes of Health [T35DK128788]; Mentoring for Advancement of Physician Scientists (MAPS); American Glaucoma Society; Research to Prevent Blindness</t>
  </si>
  <si>
    <t>Institute for Clinical and Translational Science of the National Institutes of Health; Mentoring for Advancement of Physician Scientists (MAPS); American Glaucoma Society; Research to Prevent Blindness (Research to Prevent Blindness (RPB))</t>
  </si>
  <si>
    <t>The research reported in this manuscript was supported by the Institute for Clinical and Translational Science of the National Institutes of Health under award number T35DK128788. KYL also received funding from the Mentoring for Advancement of Physician Scientists (MAPS) as well as the Clinician Scientist Award grants from the American Glaucoma Society. The authors also acknowledge a Research to Prevent Blindness unrestricted departmental grant. The content in this manuscript is solely the responsibility of the authors and does not represent the official views of the National Institutes of Health, the American Glaucoma Society, or Research to Prevent Blindness.</t>
  </si>
  <si>
    <t>[Yang, Christopher D.; Wang, Jasmine; Lin, Ken Y.] Univ Calif Irvine, Sch Med, Irvine, CA USA; [Yang, Christopher D.; Wang, Jasmine; Ghalehei, Melika; Chen, Lauren E.; Lin, Ken Y.] UC Irvine, Gavin Herbert Eye Inst, Dept Ophthalmol, Irvine, CA USA; [Verniani, Ludovico] UC Irvine, Dept Comp Sci, Irvine, CA USA; [Lin, Ken Y.] UC Irvine, Dept Biomed Engn, Irvine, CA USA</t>
  </si>
  <si>
    <t>University of California System; University of California Irvine; University of California System; University of California Irvine; University of California System; University of California Irvine; University of California System; University of California Irvine</t>
  </si>
  <si>
    <t>Clinical Validation of a Handheld Deep Learning Tool for Identification of Glaucoma Medications</t>
  </si>
  <si>
    <t>JOURNAL OF OPHTHALMIC &amp; VISION RESEARCH</t>
  </si>
  <si>
    <t>Convolutional Neural Network; Deep Learning; Glaucoma; Medication Tools</t>
  </si>
  <si>
    <t>ADHERENCE</t>
  </si>
  <si>
    <t>Ghalehei, Melika/0009-0002-9036-626X; Yang, Christopher/0000-0002-2090-1880; Lin, Ken/0000-0002-6467-7219; Wang, Jasmine/0009-0002-1171-6445</t>
  </si>
  <si>
    <t>KNOWLEDGE E</t>
  </si>
  <si>
    <t>DUBAI</t>
  </si>
  <si>
    <t>OFF 4401, JUMEIRAH BAY X2 TOWER, JUMEIRAH LAKES TOWERS JLT, PO BOX 488239, DUBAI, 00000, U ARAB EMIRATES</t>
  </si>
  <si>
    <t>2008-2010</t>
  </si>
  <si>
    <t>2008-322X</t>
  </si>
  <si>
    <t>J OPHTHAL VIS RES</t>
  </si>
  <si>
    <t>J. Ophthal. Vis. Res.</t>
  </si>
  <si>
    <t>APR-JUN 2024</t>
  </si>
  <si>
    <t>182</t>
  </si>
  <si>
    <t>10.18502/jovr.v19i2.13983</t>
  </si>
  <si>
    <t>http://dx.doi.org/10.18502/jovr.v19i2.13983</t>
  </si>
  <si>
    <t>WC9J2</t>
  </si>
  <si>
    <t>39055502</t>
  </si>
  <si>
    <t>WOS:001252785100005</t>
  </si>
  <si>
    <t>Guo, DM; Liu, XN; Wang, DW; Tang, XF; Qin, YG</t>
  </si>
  <si>
    <t>BackgroundAccurately diagnosing supraspinatus tears based on magnetic resonance imaging (MRI) is challenging and time-combusting due to the experience level variability of the musculoskeletal radiologists and orthopedic surgeons. We developed a deep learning-based model for automatically diagnosing supraspinatus tears (STs) using shoulder MRI and validated its feasibility in clinical practice.Materials and methodsA total of 701 shoulder MRI data (2804 images) were retrospectively collected for model training and internal test. An additional 69 shoulder MRIs (276 images) were collected from patients who underwent shoulder arthroplasty and constituted the surgery test set for clinical validation. Two advanced convolutional neural networks (CNN) based on Xception were trained and optimized to detect STs. The diagnostic performance of the CNN was evaluated according to its sensitivity, specificity, precision, accuracy, and F1 score. Subgroup analyses were performed to verify its robustness, and we also compared the CNN's performance with that of 4 radiologists and 4 orthopedic surgeons on the surgery and internal test sets.ResultsOptimal diagnostic performance was achieved on the 2D model, from which F1-scores of 0.824 and 0.75, and areas under the ROC curves of 0.921 (95% confidence interval, 0.841-1.000) and 0.882 (0.817-0.947) were observed on the surgery and internal test sets. For the subgroup analysis, the 2D CNN model demonstrated a sensitivity of 0.33-1.000 and 0.625-1.000 for different degrees of tears on the surgery and internal test sets, and there was no significant performance difference between 1.5 and 3.0 T data. Compared with eight clinicians, the 2D CNN model exhibited better diagnostic performance than the junior clinicians and was equivalent to senior clinicians.ConclusionsThe proposed 2D CNN model realized the adequate and efficient automatic diagnoses of STs, which achieved a comparable performance of junior musculoskeletal radiologists and orthopedic surgeons. It might be conducive to assisting poor-experienced radiologists, especially in community scenarios lacking consulting experts.</t>
  </si>
  <si>
    <t>Guo, Deming; Liu, Xiaoning; Wang, Dawei; Tang, Xiongfeng; Qin, Yanguo</t>
  </si>
  <si>
    <t>Tang, XF; Qin, YG (corresponding author), Second Hosp Jilin Univ, Orthopaed Med Ctr, Changchun 130041, Peoples R China.; Tang, XF; Qin, YG (corresponding author), Jilin Prov Key Lab Orhtopead, Changchun, Peoples R China.</t>
  </si>
  <si>
    <t>qinyg@jlu.edu.cn; tangxf921@gmail.com</t>
  </si>
  <si>
    <t>Graduate Innovation Program of Jilin University [NO.2023CX122, NO.2022054] Funding Source: Medline; The National Natural Science Foundation of China [U21A20390] Funding Source: Medline; The Special Foundation for Science and Technology Innovation of Jilin [20200601001JC] Funding Source: Medline; The 2023 Science and Technology Project of Jilin Provincial Department of Education [JJKH20231226KJ] Funding Source: Medline; The Health Service Capacity Building Projects of Jilin Province [05KA001026009002] Funding Source: Medline</t>
  </si>
  <si>
    <t>Graduate Innovation Program of Jilin University (Jilin University); The National Natural Science Foundation of China (National Natural Science Foundation of China (NSFC)); The Special Foundation for Science and Technology Innovation of Jilin; The 2023 Science and Technology Project of Jilin Provincial Department of Education; The Health Service Capacity Building Projects of Jilin Province</t>
  </si>
  <si>
    <t>[Guo, Deming; Liu, Xiaoning; Tang, Xiongfeng; Qin, Yanguo] Second Hosp Jilin Univ, Orthopaed Med Ctr, Changchun 130041, Peoples R China; [Wang, Dawei] Beijing Infervis Technol Co Ltd, Beijing, Peoples R China; [Guo, Deming; Tang, Xiongfeng; Qin, Yanguo] Jilin Prov Key Lab Orhtopead, Changchun, Peoples R China</t>
  </si>
  <si>
    <t>Jilin University</t>
  </si>
  <si>
    <t>Development and clinical validation of deep learning for auto-diagnosis of supraspinatus tears</t>
  </si>
  <si>
    <t>JOURNAL OF ORTHOPAEDIC SURGERY AND RESEARCH</t>
  </si>
  <si>
    <t>Supraspinatus tears; Convolutional neural network; Two-dimensional model; Diagnostic performance and efficiency</t>
  </si>
  <si>
    <t>ROTATOR CUFF TEARS; MRI; REPAIR</t>
  </si>
  <si>
    <t>Guo, Deming/GVU-2678-2022</t>
  </si>
  <si>
    <t>Guo, Deming/0009-0009-7919-076X</t>
  </si>
  <si>
    <t>1749-799X</t>
  </si>
  <si>
    <t>J ORTHOP SURG RES</t>
  </si>
  <si>
    <t>J. Orthop. Surg. Res.</t>
  </si>
  <si>
    <t>JUN 13 2023</t>
  </si>
  <si>
    <t>10.1186/s13018-023-03909-z</t>
  </si>
  <si>
    <t>http://dx.doi.org/10.1186/s13018-023-03909-z</t>
  </si>
  <si>
    <t>J1VM4</t>
  </si>
  <si>
    <t>37308995</t>
  </si>
  <si>
    <t>WOS:001007558000001</t>
  </si>
  <si>
    <t>Anzai, T; Hirata, K; Muraoka, N; Kato, K; Kudo, K</t>
  </si>
  <si>
    <t>Global longitudinal strain (GLS) is a well-established prognostic marker for the early detection of cancer therapy-related cardiac dysfunction (CTRCD). We previously developed machine learning (ML) models to predict reduced GLS (Low-GLS, defined as absolute GLS &lt; 16%) from conventional echocardiographic parameters in patients with cancer. This study aimed to externally validate the performance and generalizability of the previously developed ML models in an independent cohort. This multicenter study included patients from the Tokyo Metropolitan Tama Medical Center (TMC, n = 1484) and Shizuoka Cancer Center (SCC, n = 141) who underwent echocardiography with GLS measurements before or after anticancer chemotherapy. The exclusion criterion was left ventricular ejection fraction &lt; 50%. Low-GLS was predicted using 25 conventional echocardiographic parameters. The previously developed ML models (Random Forest, Extra Trees, and CatBoost) were directly applied, without retraining, to an independent external validation cohort from SCC. A conventional logistic regression model was included as a reference for comparison. Model performance was assessed using the area under the receiver operating characteristic curve (AUC), and other metrics. In the internal validation cohort, the ML models demonstrated discriminative comparable performance (AUCs 0.722-0.748), whereas logistic regression achieved an AUC of 0.729. In the external validation cohort, performance was generally preserved; the Random Forest model demonstrated the highest discriminative ability (AUC 0.772), while the remaining models achieved AUCs of 0.725-0.746. Logistic regression achieved an AUC of 0.738. ML models trained on conventional echocardiographic parameters retained moderate predictive ability for reduced GLS upon external validation.</t>
  </si>
  <si>
    <t>Anzai, Tagayasu; Hirata, Kenji; Muraoka, Nao; Kato, Ken; Kudo, Kohsuke</t>
  </si>
  <si>
    <t>Anzai, T (corresponding author), Shizuoka Canc Ctr, Div Cardiooncol, Shizuoka, Japan.; Anzai, T (corresponding author), Tokyo Metropolitan Tama Med Ctr, Dept Cardiol, Tokyo, Japan.; Anzai, T (corresponding author), Hokkaido Univ, Fac Med, Clin AI Human Resources Dev Program CLAP, Sapporo, Japan.</t>
  </si>
  <si>
    <t>tagayasu@hawaii.edu</t>
  </si>
  <si>
    <t>[Anzai, Tagayasu; Muraoka, Nao] Shizuoka Canc Ctr, Div Cardiooncol, Shizuoka, Japan; [Anzai, Tagayasu; Kato, Ken] Tokyo Metropolitan Tama Med Ctr, Dept Cardiol, Tokyo, Japan; [Anzai, Tagayasu; Hirata, Kenji; Kudo, Kohsuke] Hokkaido Univ, Fac Med, Clin AI Human Resources Dev Program CLAP, Sapporo, Japan; [Hirata, Kenji; Kudo, Kohsuke] Hokkaido Univ, Fac Med, Dept Diagnost Imaging, Sapporo, Japan; [Hirata, Kenji; Kudo, Kohsuke] Hokkaido Univ Hosp, Med AI Res &amp; Dev Ctr, Sapporo, Japan; [Hirata, Kenji; Kudo, Kohsuke] Hokkaido Univ, Healthcare AIX Innovat Ctr HAIXIC, Sapporo, Japan; [Hirata, Kenji] Hokkaido Univ, Fac Med, Div AI Support Med Res, Sapporo, Japan; [Kudo, Kohsuke] Hokkaido Univ, Fac Med, Dept Diagnost &amp; Intervent Radiol, Sapporo, Japan</t>
  </si>
  <si>
    <t>Shizuoka Cancer Center; Hokkaido University; Hokkaido University; Hokkaido University; Hokkaido University; Hokkaido University; Hokkaido University</t>
  </si>
  <si>
    <t>External validation of machine learning models predicting global longitudinal strain from conventional echocardiography in patients with cancer</t>
  </si>
  <si>
    <t>INTERNATIONAL JOURNAL OF CARDIOVASCULAR IMAGING</t>
  </si>
  <si>
    <t>Global longitudinal strain; cancer therapy-related cardiac dysfunction; automated machine learning; Echocardiography</t>
  </si>
  <si>
    <t>1569-5794</t>
  </si>
  <si>
    <t>1875-8312</t>
  </si>
  <si>
    <t>INT J CARDIOVAS IMAG</t>
  </si>
  <si>
    <t>Int. J. Cardiovasc. Imaging</t>
  </si>
  <si>
    <t>10.1007/s10554-026-03787-6</t>
  </si>
  <si>
    <t>http://dx.doi.org/10.1007/s10554-026-03787-6</t>
  </si>
  <si>
    <t>Cardiac &amp; Cardiovascular Systems; Radiology, Nuclear Medicine &amp; Medical Imaging</t>
  </si>
  <si>
    <t>Cardiovascular System &amp; Cardiology; Radiology, Nuclear Medicine &amp; Medical Imaging</t>
  </si>
  <si>
    <t>LZ9NJ</t>
  </si>
  <si>
    <t>42530822</t>
  </si>
  <si>
    <t>WOS:001837231700001</t>
  </si>
  <si>
    <t>van der Gun, GJ; Selles, RW; Brunner, IC; Lundquist, CB</t>
  </si>
  <si>
    <t>Background: Reliable prediction of upper-limb recovery after stroke can support rehabilitation planning, yet few prognostic models have been tested beyond their development cohorts. External validation is essential to establish the clinical reliability of these methods.Objective: To externally validate a previously developed machine learning model for predicting 6-month upper-limb capacity after stroke, measured by the Action Research Arm Test (ARAT).Methods: The model was developed on a multicentre Dutch cohort of first-ever ischaemic stroke patients and validated in an independent Danish prospective cohort, including both ischaemic and haemorrhagic strokes. Predictions were generated from baseline assessments at 2 weeks post-stroke. Model performance was evaluated using the median absolute error (MedAE) and calibration analysis.Results: The validation cohort comprised 80 patients assessed at 14 +/- 4 days post-stroke. Overall prediction error was comparable between the validation and development cohorts (MedAE = 5.7 [IQR 1.9-15.1] vs 3.9 [IQR 1.1-13.0]; P = 0.12). Calibration was close to ideal for predicted ARAT scores above 40. In contrast, lower predicted ranges showed systematic underprediction, reflecting variable outcomes in severely impaired patients, a pattern similar to that observed in the development cohort.Conclusions: In an independent validation cohort, the machine learning model performed similarly to its development cohort but showed clinically relevant miscalibration in patients with low predicted ARAT scores. Inclusion of additional predictors is required to improve reliability in severely impaired patients before subsequent steps toward clinical implementation can be considered.</t>
  </si>
  <si>
    <t>van der Gun, G. J.; Selles, R. W.; Brunner, I. C.; Lundquist, C. Biering</t>
  </si>
  <si>
    <t>van der Gun, GJ (corresponding author), Univ Med Ctr Rotterdam, Dept Rehabil Med, Erasmus MC, NL-3015 GD Rotterdam, Netherlands.</t>
  </si>
  <si>
    <t>g.vandergun@erasmusmc.nl</t>
  </si>
  <si>
    <t>Philips Medical Systems Nederland B.V; Dutch Ministry of Economic Affairs and Climate Policy (EZK) [LTP KIC 2020-2023]; Dutch Research Council (NWO); ROBUST: Trustworthy AI-based Systems for Sustainable Growth [KICH3.LTP.20.006]</t>
  </si>
  <si>
    <t>Philips Medical Systems Nederland B.V; Dutch Ministry of Economic Affairs and Climate Policy (EZK); Dutch Research Council (NWO) (Netherlands Organization for Scientific Research (NWO)); ROBUST: Trustworthy AI-based Systems for Sustainable Growth</t>
  </si>
  <si>
    <t>The authors disclosed receipt of the following financial support for the research, authorship, and/or publication of this article: This publication is part of the project ROBUST: Trustworthy AI-based Systems for Sustainable Growth with project number KICH3.LTP.20.006, which is (partly) financed by the Dutch Research Council (NWO), Philips Medical Systems Nederland B.V., and the Dutch Ministry of Economic Affairs and Climate Policy (EZK) under the program LTP KIC 2020-2023.</t>
  </si>
  <si>
    <t>[van der Gun, G. J.; Selles, R. W.] Univ Med Ctr Rotterdam, Dept Rehabil Med, Erasmus MC, NL-3015 GD Rotterdam, Netherlands; [Selles, R. W.] Univ Med Ctr Rotterdam, Dept Plast Reconstruct &amp; Hand Surg, Erasmus MC, Rotterdam, Netherlands; [Brunner, I. C.; Lundquist, C. Biering] Hammel Neurorehabil Ctr, Hammel, Denmark; [Brunner, I. C.; Lundquist, C. Biering] Univ Res Clin, Hammel, Denmark; [Brunner, I. C.] Aarhus Univ, Dept Clin Med, Aarhus, Denmark</t>
  </si>
  <si>
    <t>Erasmus University Rotterdam; Erasmus MC; Erasmus University Rotterdam; Erasmus MC; Aarhus University</t>
  </si>
  <si>
    <t>ICAI Stroke Lab</t>
  </si>
  <si>
    <t>External Validation of a Machine Learning Model for the Early Prediction of Upper-Limb Recovery After Stroke</t>
  </si>
  <si>
    <t>NEUROREHABILITATION AND NEURAL REPAIR</t>
  </si>
  <si>
    <t>stroke; upper extremity; recovery of function; predictive learning models; boosting machine learning algorithms; validation study</t>
  </si>
  <si>
    <t>MOTOR RECOVERY; ALGORITHM; SCORE; PREP2</t>
  </si>
  <si>
    <t>SAGE PUBLICATIONS INC</t>
  </si>
  <si>
    <t>THOUSAND OAKS</t>
  </si>
  <si>
    <t>2455 TELLER RD, THOUSAND OAKS, CA 91320 USA</t>
  </si>
  <si>
    <t>1545-9683</t>
  </si>
  <si>
    <t>1552-6844</t>
  </si>
  <si>
    <t>NEUROREHAB NEURAL RE</t>
  </si>
  <si>
    <t>Neurorehabil. Neural Repair</t>
  </si>
  <si>
    <t>10.1177/15459683261469091</t>
  </si>
  <si>
    <t>http://dx.doi.org/10.1177/15459683261469091</t>
  </si>
  <si>
    <t>Clinical Neurology; Rehabilitation</t>
  </si>
  <si>
    <t>Neurosciences &amp; Neurology; Rehabilitation</t>
  </si>
  <si>
    <t>MB5UY</t>
  </si>
  <si>
    <t>42544432</t>
  </si>
  <si>
    <t>WOS:001838339500001</t>
  </si>
  <si>
    <t>Caprili, G; Calamita, AG; Novi, M; Campanacci, DA; Nicoletti, S</t>
  </si>
  <si>
    <t>Background: The integration of machine learning in orthopedic surgery, including shoulder procedures, has garnered increasing interest. This retrospective analysis aims to externally validate a predictive analytics platform within a patient cohort undergoing reverse total shoulder arthroplasty for eccentric or concentric glenohumeral osteoarthritis. Methods: Ninety patients who underwent reverse total shoulder arthroplasty at our institution in 2022 were selected for this study. Patients were divided into 2 groups based on the type of implant (50 Exactech Equinoxe and 40 Zimmer Biomet Comprehensive). Preoperative evaluations included 19 variables per the tool requirements (demographics, diagnosis, comorbidities, patient-reported pain and function, and range of motion). The study compared the tool's outcome predictions with postoperative outcomes at 3-6 months, 1 year, and 2 years postsurgery for visual analog scale and active range of movement. We also quantified the mean absolute error (MAE) separately in the 2 groups and compared it to the MAE from the internal validation of the same tool. Results: Significant improvements in visual analog scale, active forward elevation, active abduction, and active external rotation met the minimal clinically important difference at 3-6 months, 1 year, and 2 years in both implant groups. Additionally, a modest improvement in active internal rotation was observed in both cohorts. In terms of MAE, we found a higher error than the internal validation only for forward elevation at 3-6 months in group 2 and a lower error in all the other outcome measures at all time points for both groups. Conclusion: The predictive analytics platform demonstrated a lower or similar MAE than the internal validation for both groups. Notably, we found that the tool's predictions are generalizable to another shoulder prosthesis, even though it was not trained on that particular product. This tool holds promise for aiding clinicians in managing patient expectations. (c) 2025 The Authors. Published by Elsevier Inc. on behalf of American Shoulder and Elbow Surgeons. This is an open access article under the CC BY license (http://creativecommons.org/licenses/by/4.0/).</t>
  </si>
  <si>
    <t>Caprili, Gianluca; Calamita, Andrea G.; Novi, Michele; Campanacci, Domenico A.; Nicoletti, Simone</t>
  </si>
  <si>
    <t>Caprili, G (corresponding author), San Pietro Igneo Hosp, Prosthet Orthoped, Piazza Spartaco Lavagnini 5, I-50054 Fucecchio, FI, Italy.</t>
  </si>
  <si>
    <t>gianluca.caprili@uslcentro.toscana.it</t>
  </si>
  <si>
    <t>received any financial payments or other benefits from any commercial entity related to the subject of this article.</t>
  </si>
  <si>
    <t>[Caprili, Gianluca; Calamita, Andrea G.; Novi, Michele; Nicoletti, Simone] San Pietro Igneo Hosp, Prosthet Orthoped, Piazza Spartaco Lavagnini 5, I-50054 Fucecchio, FI, Italy; [Campanacci, Domenico A.] Careggi Univ Hosp, Dept Orthopaed Oncol, Florence, Italy</t>
  </si>
  <si>
    <t>University of Florence; Azienda Ospedaliero Universitaria Careggi</t>
  </si>
  <si>
    <t>Assessing the accuracy of a machine learning prediction for 2 different shoulder prostheses: an external validation study</t>
  </si>
  <si>
    <t>JSES INTERNATIONAL</t>
  </si>
  <si>
    <t>Reverse shoulder; Machine learning; Outcome prediction; Artificial intelligence; External validation; Glenohumeral osteoarthritis</t>
  </si>
  <si>
    <t>CLINICAL-OUTCOMES; ARTHROPLASTY</t>
  </si>
  <si>
    <t>CAMPANACCI, DOMENICO/Q-3862-2019; /M-2214-2018</t>
  </si>
  <si>
    <t>Caprili, Gianluca/0009-0006-2722-6087</t>
  </si>
  <si>
    <t>2666-6383</t>
  </si>
  <si>
    <t>JSES INT</t>
  </si>
  <si>
    <t>JSES Int.</t>
  </si>
  <si>
    <t>1352</t>
  </si>
  <si>
    <t>1356</t>
  </si>
  <si>
    <t>10.1016/j.jseint.2025.04.024</t>
  </si>
  <si>
    <t>http://dx.doi.org/10.1016/j.jseint.2025.04.024</t>
  </si>
  <si>
    <t>Orthopedics; Surgery</t>
  </si>
  <si>
    <t>Q4300</t>
  </si>
  <si>
    <t>40958998</t>
  </si>
  <si>
    <t>WOS:001634580300001</t>
  </si>
  <si>
    <t>Yoon, JG; Heo, J; Kim, M; Park, YJ; Choi, MH; Song, J; Wyi, K; Kim, H; Duchenne, O; Eom, S; Tsoy, Y</t>
  </si>
  <si>
    <t>The major challenge in the diagnosis of disseminated intravascular coagulation (DIC) comes from the lack of specific biomarkers, leading to developing composite scoring systems. DIC scores are simple and rapidly applicable. However, optimal fibrin-related markers and their cut-off values remain to be defined, requiring optimization for use. The aim of this study is to optimize the use of DIC-related parameters through machine learning (ML)approach. Further, we evaluated whether this approach could provide a diagnostic value in DIC diagnosis. For this, 46 DIC-related parameters were investigated for both clinical findings and laboratory results. We retrospectively reviewed 656 DIC-suspected cases at an initial order for full DIC profile and labeled their evaluation results (Set 1; DIC, n = 228; non-DIC, n = 428). Several ML algorithms were tested, and an artificial neural network (ANN) model was established via independent training and testing using 32 selected parameters. This model was externally validated from a different hospital with 217 DIC-suspected cases (Set 2; DIC, n = 80; non-DIC, n = 137). The ANN model represented higher AUC values than the three scoring systems in both set 1 (ANN 0.981; ISTH 0.945; JMHW 0.943; and JAAM 0.928) and set 2 (AUC ANN 0.968; ISTH 0.946). Additionally, the relative importance of the 32 parameters was evaluated. Most parameters had contextual importance, however, their importance in ML-approach was different from the traditional scoring system. Our study demonstrates that ML could optimize the use of clinical parameters with robustness for DIC diagnosis. We believe that this approach could play a supportive role in physicians' medical decision by integrated into electrical health record system. Further prospective validation is required to assess the clinical consequence of ML-approach and their clinical benefit.</t>
  </si>
  <si>
    <t>Yoon, Jihoon G.; Heo, JoonNyung; Kim, Minkyu; Park, Yu Jin; Choi, Min Hyuk; Song, Jaewoo; Wyi, Kangsan; Kim, Hakbeen; Duchenne, Olivier; Eom, Soowon; Tsoy, Yury</t>
  </si>
  <si>
    <t>Yoon, JG (corresponding author), Yonsei Univ, Dept Lab Med, Coll Med, Seoul, South Korea.; Yoon, JG (corresponding author), Yonsei Univ, Dept Pharmacol, Coll Med, Seoul, South Korea.</t>
  </si>
  <si>
    <t>joonji422@yuhs.ac</t>
  </si>
  <si>
    <t>commercial company Solidware Inc.</t>
  </si>
  <si>
    <t>The commercial company Solidware Inc. provided support in the form of salaries for authors MK, YT, KW, HK, OD and SE but did not have any additional role in the study design, data collection and analysis, decision to publish, or preparation of the manuscript. The specific roles of these authors are articulated in the 'author contributions' section.</t>
  </si>
  <si>
    <t>[Yoon, Jihoon G.; Park, Yu Jin; Choi, Min Hyuk; Song, Jaewoo] Yonsei Univ, Dept Lab Med, Coll Med, Seoul, South Korea; [Yoon, Jihoon G.] Yonsei Univ, Dept Pharmacol, Coll Med, Seoul, South Korea; [Heo, JoonNyung] Yonsei Univ, Dept Neurol, Coll Med, Seoul, South Korea; [Kim, Minkyu; Wyi, Kangsan; Kim, Hakbeen; Duchenne, Olivier; Eom, Soowon; Tsoy, Yury] Solidware Inc, Seoul, South Korea</t>
  </si>
  <si>
    <t>Yonsei University; Yonsei University Health System; Yonsei University; Yonsei University Health System; Yonsei University; Yonsei University Health System</t>
  </si>
  <si>
    <t>Machine learning-based diagnosis for disseminated intravascular coagulation (DIC): Development, external validation, and comparison to scoring systems</t>
  </si>
  <si>
    <t>PLOS ONE</t>
  </si>
  <si>
    <t>ARTIFICIAL NEURAL-NETWORKS; INTERNATIONAL SOCIETY; D-DIMER; DIABETIC-RETINOPATHY; HEMOSTASIS ISTH; OVERT; THROMBOSIS; CRITERIA; CLASSIFICATION; MARKER</t>
  </si>
  <si>
    <t>Choi, Min Hyuk/IXD-8972-2023; Yoon, Jihoon/KWT-9070-2024; Heo, JoonNyung/ABI-5389-2020</t>
  </si>
  <si>
    <t>Choi, Min Hyuk/0000-0001-9801-9874; Yoon, Jihoon/0000-0002-4401-7803; Song, Jaewoo/0000-0002-1877-5731; Heo, JoonNyung/0000-0001-6287-6348</t>
  </si>
  <si>
    <t>PUBLIC LIBRARY SCIENCE</t>
  </si>
  <si>
    <t>SAN FRANCISCO</t>
  </si>
  <si>
    <t>1160 BATTERY STREET, STE 100, SAN FRANCISCO, CA 94111 USA</t>
  </si>
  <si>
    <t>1932-6203</t>
  </si>
  <si>
    <t>PLoS One</t>
  </si>
  <si>
    <t>MAY 2 2018</t>
  </si>
  <si>
    <t>2018</t>
  </si>
  <si>
    <t>e0195861</t>
  </si>
  <si>
    <t>10.1371/journal.pone.0195861</t>
  </si>
  <si>
    <t>http://dx.doi.org/10.1371/journal.pone.0195861</t>
  </si>
  <si>
    <t>GE5SH</t>
  </si>
  <si>
    <t>29718941</t>
  </si>
  <si>
    <t>WOS:000431281900035</t>
  </si>
  <si>
    <t>Huang, QX; Feng, M; Chen, ZW; Zhang, J; Feng, ZC</t>
  </si>
  <si>
    <t>Purpose: This study aimed to investigate the association between blood inflammatory markers, including C-reactive protein (CRP) and interleukin-6 (IL-6), and the short-term prognosis of pneumoconiosis, and to develop a multifactorial prediction model.&lt;br /&gt; Patients and Methods: Clinical data of 813 pneumoconiosis patients admitted to two regional tertiary hospitals from October 2016 to August 2023 were retrospectively collected and randomly divided into a training set (n=568) and an external validation set (n=245). Variables were screened by least absolute shrinkage and selection operator (LASSO) regression, a multifactorial logistic regression column-line graph model was constructed, and the relationship between risk factors and prognosis was analyzed by multifactorial Cox regression and Kaplan-Meier survival curves. The model performance was verified by consistency index (C index), receiver operating characteristic (ROC) curve, calibration curve, decision curve analysis (DCA) and clinical impact curve (CIC).&lt;br /&gt; Results: The mean age was 62.1 years in the training set and 63.3 years in the validation set, with mortality rates of 11.1% and 11.9%, respectively. LASSO regression identified age, dust exposure duration, dyspnea, blood oxygen saturation (SpO(2)), neutrophil count, CRP, and IL-6 as predictors. CRP (OR=1.028, 95% CI: 1.016- 1.040) and IL-6 (OR=1.020, 95% CI: 1.010- 1.030) were independent risk factors for poor short-term prognosis (both P&lt; 0.001), consistent with Cox analysis. The model demonstrated excellent discrimination with AUCs of 0.905 in the training set and 0.920 in the validation set. Calibration showed good agreement between predicted and observed risks (Hosmer-Lemeshow P&gt; 0.05). DCA and CIC indicated high clinical value. High CRP/IL-6 levels were associated with significantly reduced survival (log-rank P&lt; 0.001).&lt;br /&gt; Conclusion: The prediction model based on CRP, IL-6, and clinical characteristics effectively identifies pneumoconiosis patients at high risk of short-term poor prognosis, providing a reliable basis for early intervention due to its high discriminatory power and clinical applicability.</t>
  </si>
  <si>
    <t>Huang, Qiuxiang; Feng, Mei; Chen, Ziwei; Zhang, Jian; Feng, Zhencheng</t>
  </si>
  <si>
    <t>Feng, ZC (corresponding author), Jinan Univ, Guangzhou Red Cross Hosp, Dept Orthoped, Guangzhou 510220, Peoples R China.</t>
  </si>
  <si>
    <t>fengzhencheng966@126.com</t>
  </si>
  <si>
    <t>Guangzhou Health Science and Technology General Guidance Program [20231A010013]; Guangzhou Municipal Science and Technology Bureau [2025A03J3379]</t>
  </si>
  <si>
    <t>Guangzhou Health Science and Technology General Guidance Program; Guangzhou Municipal Science and Technology Bureau</t>
  </si>
  <si>
    <t>Funding This work was supported by Guangzhou Health Science and Technology General Guidance Program (Grant Number 20251A010037) to Qx H, and Guangzhou Municipal Science and Technology Bureau (Grant Number 2025A03J3379) , Guangzhou Health Science and Technology General Guidance Program (Grant Number 20231A010013) to Zc.F.</t>
  </si>
  <si>
    <t>[Huang, Qiuxiang; Chen, Ziwei] Guangzhou Twelfth Peoples Hosp, Dept Resp Med, Guangzhou 510620, Peoples R China; [Feng, Mei] Hengyang Tradit Chinese Med Hosp, Dept Occupat Dis, Hengyang 421009, Peoples R China; [Zhang, Jian] Hengyang Tradit Chinese Med Hosp, Dept Resp Med, Hengyang 421009, Peoples R China; [Feng, Zhencheng] Jinan Univ, Guangzhou Red Cross Hosp, Dept Orthoped, Guangzhou 510220, Peoples R China</t>
  </si>
  <si>
    <t>Jinan University</t>
  </si>
  <si>
    <t>Blood Marker-Based Machine Learning Model for Survival Prediction in Patients with Pneumoconiosis: Construction and External Validation</t>
  </si>
  <si>
    <t>JOURNAL OF INFLAMMATION RESEARCH</t>
  </si>
  <si>
    <t>pneumoconiosis; C-reactive protein; interleukin-6; prediction model; inflammation</t>
  </si>
  <si>
    <t>IL-6</t>
  </si>
  <si>
    <t>zhencheng, feng/ADA-2388-2022</t>
  </si>
  <si>
    <t>1178-7031</t>
  </si>
  <si>
    <t>J INFLAMM RES</t>
  </si>
  <si>
    <t>J. Inflamm. Res.</t>
  </si>
  <si>
    <t>S555051</t>
  </si>
  <si>
    <t>10.2147/JIR.S555051</t>
  </si>
  <si>
    <t>http://dx.doi.org/10.2147/JIR.S555051</t>
  </si>
  <si>
    <t>EL0IY</t>
  </si>
  <si>
    <t>41778094</t>
  </si>
  <si>
    <t>WOS:001703601500001</t>
  </si>
  <si>
    <t>Mari, T; Asgard, O; Henderson, J; Hewitt, D; Brown, C; Stancak, A; Fallon, N</t>
  </si>
  <si>
    <t>Discrimination of pain intensity using machine learning (ML) and electroencephalography (EEG) has significant potential for clinical applications, especially in scenarios where self-report is unsuitable. However, existing research is limited due to a lack of external validation (assessing performance using novel data). We aimed for the first external validation study for pain intensity classification with EEG. Pneumatic pressure stimuli were delivered to the fingernail bed at high and low pain intensities during two independent EEG experiments with healthy participants. Study one (n=25) was utilised for training and cross-validation. Study two (n=15) was used for external validation one (identical stimulation parameters to study one) and external validation two (new stimulation parameters). Time-frequency features of peri-stimulus EEG were computed on a single-trial basis for all electrodes. ML training and analysis were performed on a subset of features, identified through feature selection, which were distributed across scalp electrodes and included frontal, central, and parietal regions. Results demonstrated that ML models outperformed chance. The Random Forest (RF) achieved the greatest accuracies of 73.18, 68.32 and 60.42% for cross-validation, external validation one and two, respectively. Importantly, this research is the first to externally validate ML and EEG for the classification of intensity during experimental pain, demonstrating promising performance which generalises to novel samples and paradigms. These findings offer the most rigorous estimates of ML's clinical potential for pain classification.</t>
  </si>
  <si>
    <t>Mari, Tyler; Asgard, Oda; Henderson, Jessica; Hewitt, Danielle; Brown, Christopher; Stancak, Andrej; Fallon, Nicholas</t>
  </si>
  <si>
    <t>Mari, T (corresponding author), Univ Liverpool, Inst Populat Hlth, Dept Psychol, 2-21 Eleanor Rathbone Bldg,Bedford St South, Liverpool L69 7ZA, Merseyside, England.</t>
  </si>
  <si>
    <t>Tyler.Mari@liverpool.ac.uk</t>
  </si>
  <si>
    <t>[Mari, Tyler; Asgard, Oda; Henderson, Jessica; Hewitt, Danielle; Brown, Christopher; Stancak, Andrej; Fallon, Nicholas] Univ Liverpool, Inst Populat Hlth, Dept Psychol, 2-21 Eleanor Rathbone Bldg,Bedford St South, Liverpool L69 7ZA, Merseyside, England</t>
  </si>
  <si>
    <t>University of Liverpool</t>
  </si>
  <si>
    <t>External validation of binary machine learning models for pain intensity perception classification from EEG in healthy individuals</t>
  </si>
  <si>
    <t>SOMATOSENSORY CORTEX; FACIAL EXPRESSIONS; PREDICTION MODELS; K-FOLD; BRAIN; ELECTROENCEPHALOGRAPHY; CALIBRATION; OSCILLATIONS; PERFORMANCE; BIOMARKERS</t>
  </si>
  <si>
    <t>Fallon, Nicholas/ABE-4242-2021; Henderson, Jessica/GQA-4039-2022; Hewitt, Danielle/HTN-0478-2023</t>
  </si>
  <si>
    <t>Henderson, Jessica/0000-0002-3816-5084; Hewitt, Danielle/0000-0003-2245-4962; Brown, Christopher/0000-0003-1414-2635; Mari, Tyler/0000-0001-9062-5175</t>
  </si>
  <si>
    <t>JAN 5 2023</t>
  </si>
  <si>
    <t>242</t>
  </si>
  <si>
    <t>10.1038/s41598-022-27298-1</t>
  </si>
  <si>
    <t>http://dx.doi.org/10.1038/s41598-022-27298-1</t>
  </si>
  <si>
    <t>8Y5IZ</t>
  </si>
  <si>
    <t>36604453</t>
  </si>
  <si>
    <t>WOS:000932732000052</t>
  </si>
  <si>
    <t>Lu, YT; Chao, HJ; Chiang, YC; Chen, HY</t>
  </si>
  <si>
    <t>Background: Machine learning offers new solutions for predicting life-threatening, unpredictable amiodarone-induced thyroid dysfunction. Traditional regression approaches for adverse-effect prediction without time-series consideration of features have yielded suboptimal predictions. Machine learning algorithms with multiple data sets at different time points may generate better performance in predicting adverse effects.Objective: We aimed to develop and validate machine learning models for forecasting individualized amiodarone-induced thyroid dysfunction risk and to optimize a machine learning-based risk stratification scheme with a resampling method and readjustment of the clinically derived decision thresholds.Methods: This study developed machine learning models using multicenter, delinked electronic health records. It included patients receiving amiodarone from January 2013 to December 2017. The training set was composed of data from Taipei Medical University Hospital and Wan Fang Hospital, while data from Taipei Medical University Shuang Ho Hospital were used as the external test set. The study collected stationary features at baseline and dynamic features at the first, second, third, sixth, ninth, 12th, 15th, 18th, and 21st months after amiodarone initiation. We used 16 machine learning models, including extreme gradient boosting, adaptive boosting, k-nearest neighbor, and logistic regression models, along with an original resampling method and 3 other resampling methods, including oversampling with the borderline-synthesized minority oversampling technique, undersampling-edited nearest neighbor, and over-and undersampling hybrid methods. The model performance was compared based on accuracy; Precision, recall, F1-score, geometric mean, area under the curve of the receiver operating characteristic curve (AUROC), and the area under the precision-recall curve (AUPRC). Feature importance was determined by the best model. The decision threshold was readjusted to identify the best cutoff value and a Kaplan-Meier survival analysis was performed.Results: The training set contained 4075 patients from Taipei Medical University Hospital and Wan Fang Hospital, of whom 583 (14.3%) developed amiodarone-induced thyroid dysfunction, while the external test set included 2422 patients from Taipei Medical University Shuang Ho Hospital, of whom 275 (11.4%) developed amiodarone-induced thyroid dysfunction. The extreme gradient boosting oversampling machine learning model demonstrated the best predictive outcomes among all 16 models. The accuracy; Precision, recall, F1-score, G-mean, AUPRC, and AUROC were 0.923, 0.632, 0.756, 0.688, 0.845, 0.751, and 0.934, respectively. After readjusting the cutoff, the best value was 0.627, and the F1-score reached 0.699. The best threshold was able to classify 286 of 2422 patients (11.8%) as high-risk subjects, among which 275 were true-positive patients in the testing set. A shorter treatment duration; higher levels of thyroid-stimulating hormone and high-density lipoprotein cholesterol; and lower levels of free thyroxin, alkaline phosphatase, and low-density lipoprotein were the most important features.Conclusions: Machine learning models combined with resampling methods can predict amiodarone-induced thyroid dysfunction and serve as a support tool for individualized risk prediction and clinical decision support.</t>
  </si>
  <si>
    <t>Lu, Ya-Ting; Chao, Horng-Jiun; Chiang, Yi-Chun; Chen, Hsiang-Yin</t>
  </si>
  <si>
    <t>Chen, HY (corresponding author), Taipei Med Univ, Sch Pharm, Dept Clin Pharm, R714,7th Floor,Hlth &amp; Sci Bldg,250 Wuxing St, Taipei 110, Taiwan.</t>
  </si>
  <si>
    <t>shawn@tmu.edu.tw</t>
  </si>
  <si>
    <t>[Lu, Ya-Ting; Chao, Horng-Jiun; Chiang, Yi-Chun; Chen, Hsiang-Yin] Taipei Med Univ, Sch Pharm, Dept Clin Pharm, Taipei, Taiwan; [Chiang, Yi-Chun; Chen, Hsiang-Yin] Taipei Med Univ, Wan Fang Hosp, Dept Pharm, Taipei, Taiwan; [Chen, Hsiang-Yin] Taipei Med Univ, Sch Pharm, Dept Clin Pharm, R714,7th Floor,Hlth &amp; Sci Bldg,250 Wuxing St, Taipei 110, Taiwan</t>
  </si>
  <si>
    <t>Taipei Medical University; Taipei Medical University; Taipei Municipal WanFang Hospital; Taipei Medical University</t>
  </si>
  <si>
    <t>Explainable Machine Learning Techniques To Predict Amiodarone-Induced Thyroid Dysfunction Risk: Multicenter, Retrospective Study With External Validation</t>
  </si>
  <si>
    <t>JOURNAL OF MEDICAL INTERNET RESEARCH</t>
  </si>
  <si>
    <t>amiodarone; thyroid dysfunction; machine learning; oversampling; extreme gradient boosting; adverse effect; resampling; thyroid; predict; risk</t>
  </si>
  <si>
    <t>INDUCED HYPOTHYROIDISM; INDUCED THYROTOXICOSIS; FOLLOW-UP; ALGORITHMS; GUIDELINES; MANAGEMENT; SMOTE; HYPOTENSION; MODELS; AREA</t>
  </si>
  <si>
    <t>Lu, Ya-Ting/0000-0001-5206-8021; Chao, Horng-Jiun/0000-0002-6151-6946</t>
  </si>
  <si>
    <t>1439-4456</t>
  </si>
  <si>
    <t>1438-8871</t>
  </si>
  <si>
    <t>J MED INTERNET RES</t>
  </si>
  <si>
    <t>J. Med. Internet Res.</t>
  </si>
  <si>
    <t>FEB 7 2023</t>
  </si>
  <si>
    <t>e43734</t>
  </si>
  <si>
    <t>10.2196/43734</t>
  </si>
  <si>
    <t>http://dx.doi.org/10.2196/43734</t>
  </si>
  <si>
    <t>J4CA4</t>
  </si>
  <si>
    <t>36749620</t>
  </si>
  <si>
    <t>WOS:001009095500003</t>
  </si>
  <si>
    <t>Saraiva, MM; Ferreira, J; Afonso, J; Mendes, F; Sonnier, WP; Rosa, B; Ribeiro, T; Gonçalves, TC; Martins, M; Campelo, P; Macedo, C; Cardoso, P; Mota, J; Almeida, MJ; da Costa, AP; Pérez-Gonzalez, A; Mendoza, J; Cavalcante, TA; Fortes, EB; De Carvalho, M; Dos Santos, MEL; Andrade, AP; Cardoso, H; De Moura, EH; Santander, C; Di Palma, J; Cotter, J; Macedo, G</t>
  </si>
  <si>
    <t>INTRODUCTION:Capsule endoscopy (CapE) is a minimally invasive procedure designed for small bowels' evaluation. However, prolonged reading times and a risk of missing clinically significant findings limit its potential. Prospective clinical validation studies of artificial intelligence (AI) for CapE remain scarce. Furthermore, existing studies focus on lesion detection, without addressing lesion differentiation.METHODS:The aim of a multicenter prospective validation study was to compare AI-assisted reading with conventional CapE reading. Three hundred thirty CapE videos from 3 devices across 7 centers and 4 countries were included. After conventional reading reports, AI-assisted reading was performed by an independent expert using a deep learning model to detect and differentiate pleomorphic small bowel lesions. Both reports were reviewed by an expert from an independent center, which decided in discrepant cases. AI-assisted and standard readings were evaluated through their accuracy, sensitivity, specificity, positive and negative predictive value, and small bowel lesion detection rate.RESULTS:AI-assisted reading detected 605 of 635 lesions identified by expert-based consensus, whereas standard reading identified 354 lesions. AI-assisted reading outperformed standard reading, with small bowel lesion detection rate of 96.1% vs 76.3% and sensitivity of 97.5% vs 78.2%. AI-assisted reading had a mean examination reading time of 203 seconds per examination.DISCUSSION:This was the first multicentric study proving AI-assisted CapE reading superiority compared with conventional reading. The inclusion of videos from multiple devices addresses the interoperability challenge, whereas including patients from 4 countries and 2 different continents assures a diverse demographic context. AI achieved gastroenterologist-level identification of small-bowel lesions, surpassing conventional reading methods in both lesion detection and characterization.</t>
  </si>
  <si>
    <t>Mascarenhas Saraiva, Miguel; Ferreira, Joao; Afonso, Joao; Mendes, Francisco; Sonnier, William Preston; Rosa, Bruno; Ribeiro, Tiago; Goncalves, Tiago Curdia; Martins, Miguel; Campelo, Pedro; Macedo, Claudia; Cardoso, Pedro; Mota, Joana; Almeida, Maria Joao; Pinto Da Costa, Antonio; Perez-Gonzalez, Ana; Mendoza, Jorge; Cavalcante, Thicianie Andrade; Fortes, Erika Borges; De Carvalho, Matheus; Dos Santos, Marcos Eduardo Lera; Andrade, Ana Patricia; Cardoso, Helder; De Moura, Eduardo Horneaux; Santander, Cecilio; Di Palma, Jack; Cotter, Jose; Macedo, Guilherme</t>
  </si>
  <si>
    <t>Saraiva, MM (corresponding author), Sao Joao Univ Hosp, Dept Gastroenterol, Precis Med Unit, Alameda Prof Hernani Monteiro, Porto, Portugal.; Saraiva, MM (corresponding author), WGO, Gastroenterol &amp; Hepatol Training Ctr, Porto, Portugal.</t>
  </si>
  <si>
    <t>miguelmascarenhassaraiva@gmail.com; joanamfmota8@gmail.com; tiagomcg@hotmail.com; bruno.joel.rosa@gmail.com; joaoafonso28@gmail.com; tiagofcribeiro@outlook.com; miguel.pedro96@gmail.com; antoniompintodacosta@gmail.com; pedroncampelo@gmail.com; maj.almeida.14@gmail.com; anapatriciarandrade@gmail.com; joao.ferreira@digestaid.health; matheusfcarvalho1@gmail.com; claudia.macedo.07@hotmail.com; wpsonnier@health.southalabama.edu; hc@sapo.pt; ana.perez.gs96@gmail.com; thicianie.facavalcante@hsl.org.br; pedromarilio@gmail.com; jorge.mendoza@salud.madrid.org; guilhermemacedo59@gmail.com; cecilio.santander@salud.madrid.org; erika.borges@einstein.br; jackdipalma@gmail.com; jabcotter@gmail.com</t>
  </si>
  <si>
    <t>[Mascarenhas Saraiva, Miguel; Afonso, Joao; Goncalves, Tiago Curdia; Cardoso, Pedro; Mota, Joana; Almeida, Maria Joao; Andrade, Ana Patricia; Cardoso, Helder; Macedo, Guilherme] Sao Joao Univ Hosp, Dept Gastroenterol, Precis Med Unit, Alameda Prof Hernani Monteiro, Porto, Portugal; [Mascarenhas Saraiva, Miguel; Afonso, Joao; Mendes, Francisco; Ribeiro, Tiago; Martins, Miguel; Cardoso, Pedro; Mota, Joana; Almeida, Maria Joao; Andrade, Ana Patricia; Cardoso, Helder; Macedo, Guilherme] WGO, Gastroenterol &amp; Hepatol Training Ctr, Porto, Portugal; [Ferreira, Joao; Sonnier, William Preston; Goncalves, Tiago Curdia; Campelo, Pedro; Mota, Joana; Almeida, Maria Joao; Pinto Da Costa, Antonio; Cardoso, Helder; Santander, Cecilio; Macedo, Guilherme] Univ Porto, Fac Med, Alameda Prof Hernani Monteiro, Porto, Portugal; [Ferreira, Joao] Univ Porto, Dept Mech Engn, Fac Engn, Porto, Portugal; [Ferreira, Joao] Digest Artificial Intelligence Dev, Porto, Portugal; [Sonnier, William Preston; Di Palma, Jack] Univ S Alabama, Dept Gastroenterol, Mobile, AL USA; [Rosa, Bruno; Goncalves, Tiago Curdia; Campelo, Pedro; Macedo, Claudia; Cotter, Jose] Hosp Senhora De Oliveira, Dept Gastroenterol, Guimaraes, Portugal; [Rosa, Bruno; Martins, Miguel; Macedo, Claudia; Cardoso, Pedro; Cotter, Jose; Macedo, Guilherme] Univ Minho, Life &amp; Hlth Sci Res Inst ICVS, Sch Med, Braga, Portugal; [Rosa, Bruno; Martins, Miguel; Macedo, Claudia; Cardoso, Pedro; Cotter, Jose; Macedo, Guilherme] PT Govt Associate Lab, ICVS 3Bs, Braga, Guimaraes, Portugal; [Pinto Da Costa, Antonio; Perez-Gonzalez, Ana] Hosp Puerta Hierro Majadahonda, Dept Gastroenterol, Madrid, Spain; [Mendoza, Jorge] Hosp Univ Princesa, Dept Gastroenterol, Madrid, Spain; [Cavalcante, Thicianie Andrade] Hosp Sirio Libanes, Dept Gastroenterol, Brasilia, Brazil; [Fortes, Erika Borges] Hosp Israelita Albert Einstein, Dept Gastroenterol, Sao Paulo, Brazil; [Andrade, Ana Patricia; Santander, Cecilio] Vila Nova Star Hosp, Rede Or, Sao Paulo, Brazil; [Dos Santos, Marcos Eduardo Lera] Univ Sao Paulo, Hosp Clin, Fac Med, Sao Paulo, Brazil</t>
  </si>
  <si>
    <t>Sao Joao Hospital; Universidade do Porto; Universidade do Porto; University of South Alabama; Universidade do Minho; Laboratorio Associado ICVS 3B's; Hospital Puerta de Hierro-Majadahonda; Hospital de La Princesa; Hospital Israelita Albert Einstein; Universidade de Sao Paulo</t>
  </si>
  <si>
    <t>Real-Life Clinical Validation of Artificial Intelligence-Assisted Detection and Differentiation of Pleomorphic Lesions in Capsule Endoscopy</t>
  </si>
  <si>
    <t>artificial intelligence; capsule endoscopy; AI-assisted capsule endoscopy</t>
  </si>
  <si>
    <t>Martins, Miguel/LLL-9822-2024; Macedo, Manuel/L-8038-2013; Costa, António/ABL-0286-2022; de Moura, Eduardo/D-3885-2018</t>
  </si>
  <si>
    <t>Martins, Miguel/0000-0002-0484-4804</t>
  </si>
  <si>
    <t>993</t>
  </si>
  <si>
    <t>1000</t>
  </si>
  <si>
    <t>10.14309/ajg.0000000000003756</t>
  </si>
  <si>
    <t>http://dx.doi.org/10.14309/ajg.0000000000003756</t>
  </si>
  <si>
    <t>40874973</t>
  </si>
  <si>
    <t>WOS:001735069500009</t>
  </si>
  <si>
    <t>N</t>
  </si>
  <si>
    <t>Y</t>
  </si>
  <si>
    <t>Nguyen, KAN; Patel, D; Edalati, M; Sevillano, M; Timsina, P; Freeman, R; Levin, MA; Reich, DL; Kia, A</t>
  </si>
  <si>
    <t>Background: Hospital-acquired pressure injuries (HAPIs) affect approximately 2.5 million patients annually in the United States, leading to increased morbidity and healthcare costs. Current rule-based screening tools, such as the Braden Scale, lack sensitivity, highlighting the need for improved risk prediction methods. Methods: We developed and externally validated a machine learning model to predict HAPI risk using longitudinal electronic medical record (EMR) data. This study included adult inpatients (2018-2023) across five hospitals within a large health system. An automated pipeline was built for EMR data curation, labeling, and integration. The model employed XGBoost with recursive feature elimination to identify 35 optimal clinical variables and utilized time-series analysis for dynamic risk prediction. Results: Internal validation and multi-center external validation on 5510 hospitalizations demonstrated AUROC values of 0.83-0.85. The model outperformed the Braden Scale in sensitivity and F1-score and showed superior performance compared to previous predictive models. Conclusions: This is the first externally validated, cross-institutional HAPI prediction model using longitudinal EMR data and automated pipelines. The model demonstrates strong generalizability, scalability, and real-time applicability, offering a novel bioengineering approach to improve HAPI prevention, patient care, and clinical operations.</t>
  </si>
  <si>
    <t>Nguyen, Kim-Anh-Nhi; Patel, Dhavalkumar; Edalati, Masoud; Sevillano, Maria; Timsina, Prem; Freeman, Robert; Levin, Matthew A.; Reich, David L.; Kia, Arash</t>
  </si>
  <si>
    <t>Nguyen, KAN (corresponding author), Icahn Sch Med Mt Sinai, Inst Healthcare Delivery Sci, New York, NY 10029 USA.</t>
  </si>
  <si>
    <t>kim-anh-nhi.nguyen@mountsinai.org</t>
  </si>
  <si>
    <t>Mount Sinai Hospital [Hospital administration] Funding Source: Medline</t>
  </si>
  <si>
    <t>Mount Sinai Hospital</t>
  </si>
  <si>
    <t>[Nguyen, Kim-Anh-Nhi; Patel, Dhavalkumar; Edalati, Masoud; Timsina, Prem; Freeman, Robert; Kia, Arash] Icahn Sch Med Mt Sinai, Inst Healthcare Delivery Sci, New York, NY 10029 USA; [Sevillano, Maria] Mt Sinai Hosp, Wound &amp; Ostomy Care Serv, New York, NY 10029 USA; [Levin, Matthew A.; Reich, David L.; Kia, Arash] Icahn Sch Med Mt Sinai, Dept Anesthesiol Perioperat &amp; Pain Med, New York, NY 10029 USA; [Levin, Matthew A.] Icahn Sch Med Mt Sinai, Dept Genet &amp; Genom Sci, New York, NY 10029 USA; [Levin, Matthew A.] Icahn Sch Med Mt Sinai, Windreich Dept Artificial Intelligence &amp; Human Hlt, New York, NY 10029 USA</t>
  </si>
  <si>
    <t>Icahn School of Medicine at Mount Sinai; Icahn School of Medicine at Mount Sinai; Icahn School of Medicine at Mount Sinai; Icahn School of Medicine at Mount Sinai; Icahn School of Medicine at Mount Sinai</t>
  </si>
  <si>
    <t>Electronic-Medical-Record-Driven Machine Learning Predictive Model for Hospital-Acquired Pressure Injuries: Development and External Validation</t>
  </si>
  <si>
    <t>hospital-acquired pressure injury; pressure ulcer; machine learning; predictive model; multi-center validation; external validation; electronic medical records; clinical decision support; wound care management; automated EMR integration</t>
  </si>
  <si>
    <t>edalati, masoud/Y-3407-2018; Kia, Arash/ABB-5664-2020; Patel, Dhavalkumar/MFI-8335-2025; Levin, Matthew/OAJ-2095-2025</t>
  </si>
  <si>
    <t>Sevillano, Maria/0009-0003-2164-1931; Nguyen, Kim-Anh-Nhi/0000-0002-3446-9750; Kia, Arash/0000-0002-4699-7892; Patel, Dhavalkumar/0000-0002-6066-9844; Levin, Matthew/0000-0002-6013-2684; Freeman, Robert/0000-0003-4946-6533</t>
  </si>
  <si>
    <t>1175</t>
  </si>
  <si>
    <t>10.3390/jcm14041175</t>
  </si>
  <si>
    <t>http://dx.doi.org/10.3390/jcm14041175</t>
  </si>
  <si>
    <t>Y1W7F</t>
  </si>
  <si>
    <t>40004706</t>
  </si>
  <si>
    <t>WOS:001430120100001</t>
  </si>
  <si>
    <t>Yu, SC; Li, J; Ye, ZF; Zhang, MX; Guo, XH; Wang, X; Liu, LS; Wang, YL; Zhou, X; Fu, W; Zhang, MQ; Chen, YG</t>
  </si>
  <si>
    <t>Genetic and microbial factors influence inflammatory bowel disease (IBD), prompting our study on non-invasive biomarkers for enhanced diagnostic precision. Using the XGBoost algorithm and variable analysis and the published metadata, we developed the 10-species signature XGBoost classification model (XGB-IBD10). By using distinct species signatures and prior machine and deep learning models and employing standardization methods to ensure comparability between metagenomic and 16S sequencing data, we constructed classification models to assess the XGB-IBD10 precision and effectiveness. XGB-IBD10 achieved a notable accuracy of 0.8722 in testing samples. In addition, we generated metagenomic sequencing data from collected 181 stool samples to validate our findings, and the model reached an accuracy of 0.8066. The model's performance significantly improved when trained on high-quality data from the Chinese population. Furthermore, the microbiome-based model showed promise in predicting active IBD. Overall, this study identifies promising non-invasive biomarkers associated with IBD, which could greatly enhance diagnostic accuracy.</t>
  </si>
  <si>
    <t>Yu, Shicheng; Li, Jun; Ye, Zhaofeng; Zhang, Mengxian; Guo, Xiaohua; Wang, Xu; Liu, Liansheng; Wang, Yalong; Zhou, Xin; Fu, Wei; Zhang, Michael Q.; Chen, Ye-Guang</t>
  </si>
  <si>
    <t>Chen, YG (corresponding author), Guangzhou Natl Lab, Guangzhou 510005, Peoples R China.; Chen, YG (corresponding author), Nanchang Univ, MOE Basic Res &amp; Innovat Ctr Targeted Therapeut Sol, Sch Basic Med Sci, Nanchang 330031, Peoples R China.; Chen, YG (corresponding author), Tsinghua Univ, Tsinghua Peking Ctr Life Sci, Sch Life Sci, State Key Lab Membrane Biol, Beijing 100084, Peoples R China.</t>
  </si>
  <si>
    <t>ygchen@tsinghua.edu.cn</t>
  </si>
  <si>
    <t>National Key Research and Development Program of China</t>
  </si>
  <si>
    <t>National Key Research and Development Program of China (National Key Research &amp; Development Program of China)</t>
  </si>
  <si>
    <t>[Yu, Shicheng; Wang, Xu; Liu, Liansheng; Wang, Yalong; Chen, Ye-Guang] Guangzhou Natl Lab, Guangzhou 510005, Peoples R China; [Li, Jun; Guo, Xiaohua; Zhou, Xin; Fu, Wei] Peking Univ Third Hosp, Beijing 100191, Peoples R China; [Ye, Zhaofeng; Zhang, Michael Q.] Tsinghua Univ, Sch Med, MOE Key Lab Bioinformat, Beijing 100084, Peoples R China; [Zhang, Mengxian; Chen, Ye-Guang] Nanchang Univ, MOE Basic Res &amp; Innovat Ctr Targeted Therapeut Sol, Sch Basic Med Sci, Nanchang 330031, Peoples R China; [Chen, Ye-Guang] Tsinghua Univ, Tsinghua Peking Ctr Life Sci, Sch Life Sci, State Key Lab Membrane Biol, Beijing 100084, Peoples R China</t>
  </si>
  <si>
    <t>Guangzhou Laboratory; Peking University; Tsinghua University; Nanchang University; Tsinghua University</t>
  </si>
  <si>
    <t>Identification of a 10-species microbial signature of inflammatory bowel disease by machine learning and external validation</t>
  </si>
  <si>
    <t>CELL REGENERATION</t>
  </si>
  <si>
    <t>Inflammatory bowel disease; XGBoost; Microbial species; Biomarker; Machine learning</t>
  </si>
  <si>
    <t>C-REACTIVE PROTEIN; ULCERATIVE-COLITIS; GENE-EXPRESSION; GUT MICROBIOTA; MULTI-OMICS; MARKER; THERAPY</t>
  </si>
  <si>
    <t>Wang, Yalong/GPK-5324-2022; Chen, Ye-Guang/L-6998-2019</t>
  </si>
  <si>
    <t>74</t>
  </si>
  <si>
    <t>2045-9769</t>
  </si>
  <si>
    <t>CELL REGEN</t>
  </si>
  <si>
    <t>Cell Regen.</t>
  </si>
  <si>
    <t>JUL 14 2025</t>
  </si>
  <si>
    <t>10.1186/s13619-025-00246-w</t>
  </si>
  <si>
    <t>http://dx.doi.org/10.1186/s13619-025-00246-w</t>
  </si>
  <si>
    <t>Cell &amp; Tissue Engineering; Cell Biology</t>
  </si>
  <si>
    <t>Cell Biology</t>
  </si>
  <si>
    <t>4WV2K</t>
  </si>
  <si>
    <t>40658318</t>
  </si>
  <si>
    <t>WOS:001528556500001</t>
  </si>
  <si>
    <t>Fernández-Cisnal, A; Lopez-Ayala, P; Valero, E; Koechlin, L; Catarralá, A; Boeddinghaus, J; Noceda, J; Nestelberger, T; Miró, O; Julio, N; Mueller, C; Sanchis, J</t>
  </si>
  <si>
    <t>Aims Risk stratification of patients with chest pain and a high-sensitivity cardiac troponin T (hs-cTnT) concentration &lt;upper reference limit (URL) is challenging. The aim of this study was to develop and externally validate clinical models for risk prediction of 90-day death or myocardial infarction in patients presenting to the emergency department with chest pain and an initial hs-cTnT concentration &lt;URL.Methods and results Four machine-learning-based models and one logistic regression (LR) model were trained on 4075 patients (single-centre Spanish cohort) and externally validated on 3609 patients (international prospective Advantageous Predictors of Acute Coronary syndromes Evaluation cohort). Models were compared with GRACE and HEART scores and a single undetectable hs-cTnT-based strategy (u-cTn; hs-cTnT &lt; 5 ng/L and time from symptoms onset &gt;180 min). Probability thresholds for safe discharge were derived in the derivation cohort. The endpoint occurred in 105 (2.6%) patients in the training set and 98 (2.7%) in the external validation set. Gradient boosting full (GBf) showed the best discrimination (area under the curve = 0.808). Calibration was good for the reduced neural network and LR models. Gradient boosting full identified the highest proportion of patients for safe discharge (36.7 vs. 23.4 vs. 27.2%; GBf vs. LR vs. u-cTn, respectively) with similar safety (missed endpoint per 1000 patients: 2.2 vs. 3.5 vs. 3.1, respectively). All derived models were superior to the HEART and GRACE scores (P &lt; 0.001).Conclusion Machine-learning and LR prediction models were superior to the HEART, GRACE, and u-cTn for risk stratification of patients with chest pain and a baseline hs-cTnT &lt;URL. Gradient boosting full models best balanced discrimination, calibration, and efficacy, reducing the need for serial hs-cTnT determination by more than one-third.Clinical trial registration ClinicalTrials.gov number, NCT00470587, https://clinicaltrials.gov/ct2/show/NCT00470587.</t>
  </si>
  <si>
    <t>Fernandez-Cisnal, Agustin; Lopez-Ayala, Pedro; Valero, Ernesto; Koechlin, Luca; Catarrala, Arturo; Boeddinghaus, Jasper; Noceda, Jose; Nestelberger, Thomas; Miro, Oscar; Julio, Nunez; Mueller, Christian; Sanchis, Juan</t>
  </si>
  <si>
    <t>Sanchis, J (corresponding author), Univ Valencia, Hosp Clin Univ Valencia, Ctr Invest Biomed Red Enfermedades Cardiovaculare, Inst Invest Sanitaria INCLIVA,Cardiol Dept, Valencia, Spain.</t>
  </si>
  <si>
    <t>sanchis_juafor@gva.es</t>
  </si>
  <si>
    <t>Ministerio de Economia y Competitividad through the Instituto de Salud Carlos III, Madrid, Spain [CIBERCV 16/11/00420]; Schweizerischer Nationalfonds zur Forderung der Wissenschaftlichen Forschung; Schweizerische Herzstiftung; European Union; Foundation for Cardiovascular Research; Universitatsspital Basel; Universitat Basel; Abbott Laboratories; Beckman Coulter Foundation; Roche; Ortho Clinical Diagnostics; Siemens; Singulex; Quidel</t>
  </si>
  <si>
    <t>Ministerio de Economia y Competitividad through the Instituto de Salud Carlos III, Madrid, Spain; Schweizerischer Nationalfonds zur Forderung der Wissenschaftlichen Forschung (Swiss National Science Foundation (SNSF)); Schweizerische Herzstiftung; European Union (European Union (EU)); Foundation for Cardiovascular Research; Universitatsspital Basel (University of Basel); Universitat Basel (University of Basel); Abbott Laboratories (Abbott Laboratories); Beckman Coulter Foundation; Roche (Roche Holding); Ortho Clinical Diagnostics; Siemens (Siemens AG); Singulex; Quidel</t>
  </si>
  <si>
    <t>This work was supported by grants from the Ministerio de Economia y Competitividad through the Instituto de Salud Carlos III: CIBERCV 16/11/00420, Madrid, Spain. The APACE was supported by research grants from the Schweizerischer Nationalfonds zur Forderung der Wissenschaftlichen Forschung, the Schweizerische Herzstiftung, the European Union, the Foundation for Cardiovascular Research, the Universitatsspital Basel, the Universitat Basel, Abbott Laboratories, Beckman Coulter Foundation, Roche, Ortho Clinical Diagnostics, Quidel, Siemens, and Singulex.</t>
  </si>
  <si>
    <t>[Fernandez-Cisnal, Agustin; Valero, Ernesto; Julio, Nunez; Sanchis, Juan] Univ Valencia, Hosp Clin Univ Valencia, Ctr Invest Biomed Red Enfermedades Cardiovaculare, Inst Invest Sanitaria INCLIVA,Cardiol Dept, Valencia, Spain; [Lopez-Ayala, Pedro; Koechlin, Luca; Boeddinghaus, Jasper; Nestelberger, Thomas; Mueller, Christian] Univ Basel, Univ Hosp Basel, Univ Heart Ctr Basel, Cardiovasc Res Inst Basel CRIB, Basel, Switzerland; [Lopez-Ayala, Pedro; Koechlin, Luca; Boeddinghaus, Jasper; Nestelberger, Thomas; Mueller, Christian] Univ Basel, Univ Hosp Basel, Univ Heart Ctr Basel, Dept Cardiol, Basel, Switzerland; [Catarrala, Arturo] Hosp Clin Univ Valencia, Inst Invest Sanitaria INCLIVA, Clin Biochem Dept, Valencia 46010, Spain; [Noceda, Jose] Hosp Clin Univ Valencia, Inst Invest Sanitaria INCLIVA, Emergency Dept, Valencia 46010, Spain; [Miro, Oscar] Hosp Clin Barcelona, Emergency Dept, Barcelona, Catalonia, Spain</t>
  </si>
  <si>
    <t>University of Valencia; University of Basel; University of Basel; University of Barcelona; Hospital Clinic de Barcelona</t>
  </si>
  <si>
    <t>Derivation and external validation of machine-learning models for risk stratification in chest pain with normal troponin</t>
  </si>
  <si>
    <t>EUROPEAN HEART JOURNAL-ACUTE CARDIOVASCULAR CARE</t>
  </si>
  <si>
    <t>Troponin; Prediction; Machine learning; Myocardial infarction</t>
  </si>
  <si>
    <t>ACUTE MYOCARDIAL-INFARCTION; EMERGENCY-DEPARTMENT; SCORE; PREDICTION; ELEVATION; DIAGNOSIS; RULE; MACS; ESC</t>
  </si>
  <si>
    <t>Koechlin, Luca/QQX-9195-2026; Fernández-Cisnal, Agustín/AGL-6185-2022; Boeddinghaus, Jasper/MDT-6558-2025</t>
  </si>
  <si>
    <t>Koechlin, Luca/0000-0002-2929-8600; Sanchis, Juan/0000-0003-0797-8709; Fernández-Cisnal, Agustín/0000-0002-0672-0696; Nestelberger, Thomas/0000-0003-2173-5738; Müller, Christian/0000-0002-1120-6405; Boeddinghaus, Jasper/0000-0003-4404-4956</t>
  </si>
  <si>
    <t>2048-8726</t>
  </si>
  <si>
    <t>2048-8734</t>
  </si>
  <si>
    <t>EUR HEART J-ACUTE CA</t>
  </si>
  <si>
    <t>Eur. Heart J.-Acute Cardiovasc. Care</t>
  </si>
  <si>
    <t>NOV 16 2023</t>
  </si>
  <si>
    <t>743</t>
  </si>
  <si>
    <t>752</t>
  </si>
  <si>
    <t>10.1093/ehjacc/zuad089</t>
  </si>
  <si>
    <t>http://dx.doi.org/10.1093/ehjacc/zuad089</t>
  </si>
  <si>
    <t>Cardiac &amp; Cardiovascular Systems; Critical Care Medicine</t>
  </si>
  <si>
    <t>Cardiovascular System &amp; Cardiology; General &amp; Internal Medicine</t>
  </si>
  <si>
    <t>LT4I6</t>
  </si>
  <si>
    <t>37531633</t>
  </si>
  <si>
    <t>WOS:001189035700002</t>
  </si>
  <si>
    <t>He, F; Ling, CNY; Nusinovici, S; Cheng, CY; Wong, TY; Li, JL; Sabanayagam, C</t>
  </si>
  <si>
    <t>Background: Diabetic kidney disease (DKD) and diabetic retinopathy (DR) are major diabetic microvascular complications, contributing significantly to morbidity, disability, and mortality worldwide. The kidney and the eye, having similar microvascular structures and physiological and pathogenic features, may experience similar metabolic changes in diabetes. Objective: This study aimed to use machine learning (ML) methods integrated with metabolic data to identify biomarkers associated with DKD and DR in a multiethnic Asian population with diabetes, as well as to improve the performance of DKD and DR detection models beyond traditional risk factors. Methods: We used ML algorithms (logistic regression [LR] with Least Absolute Shrinkage and Selection Operator and gradient-boosting decision tree) to analyze 2772 adults with diabetes from the Singapore Epidemiology of Eye Diseases study, a population-based cross-sectional study conducted in Singapore (2004-2011). From 220 circulating metabolites and 19 risk factors, we selected the most important variables associated with DKD (defined as an estimated glomerular filtration rate &lt;60 mL/min/1.73 m(2)) and DR (defined as an Early Treatment Diabetic Retinopathy Study severity level &gt;= 20). DKD and DR detection models were developed based on the variable selection results and externally validated on a sample of 5843 participants with diabetes from the UK biobank (2007-2010). Machine-learned model performance (area under the receiver operating characteristic curve [AUC] with 95% CI, sensitivity, and specificity) was compared to that of traditional LR adjusted for age, sex, diabetes duration, hemoglobin A(1c), systolic blood pressure, and BMI. Results: Singapore Epidemiology of Eye Diseases participants had a median age of 61.7 (IQR 53.5-69.4) years, with 49.1% (1361/2772) being women, 20.2% (555/2753) having DKD, and 25.4% (685/2693) having DR. UK biobank participants had a median age of 61.0 (IQR 55.0-65.0) years, with 35.8% (2090/5843) being women, 6.7% (374/5570) having DKD, and 6.1% (355/5843) having DR. The ML algorithms identified diabetes duration, insulin usage, age, and tyrosine as the most important factors of both DKD and DR. DKD was additionally associated with cardiovascular disease history, antihypertensive medication use, and 3 metabolites (lactate, citrate, and cholesterol esters to total lipids ratio in intermediate-density lipoprotein), while DR was additionally associated with hemoglobin A(1c), blood glucose, pulse pressure, and alanine. Machine-learned models for DKD and DR detection outperformed traditional LR models in both internal (AUC 0.838 vs 0.743 for DKD and 0.790 vs 0.764 for DR) and external validation (AUC 0.791 vs 0.691 for DKD and 0.778 vs 0.760 for DR). Conclusions: This study highlighted diabetes duration, insulin usage, age, and circulating tyrosine as important factors in detecting DKD and DR. The integration of ML with biomedical big data enables biomarker discovery and improves disease detection beyond traditional risk factors.</t>
  </si>
  <si>
    <t>He, Feng; Ling, Clarissa Ng Yin; Nusinovici, Simon; Cheng, Ching -Yu; Wong, Tien Yin; Li, Jialiang; Sabanayagam, Charumathi</t>
  </si>
  <si>
    <t>Sabanayagam, C (corresponding author), Singapore Natl Eye Ctr, Singapore Eye Res Inst, Acad,20 Coll Rd,Discovery Tower Level 6, Singapore 169856, Singapore.</t>
  </si>
  <si>
    <t>charumathi.sabanayagam@seri.com.sg</t>
  </si>
  <si>
    <t>Singapore Ministry of Health's National Medical Research Council [NMRC/StaR/016/2013, NMRC/CIRG/1371/2013, NMRC/CIRG/1417/2015, OFLCG/001/2017]</t>
  </si>
  <si>
    <t>Singapore Ministry of Health's National Medical Research Council (National Medical Research Council, Singapore)</t>
  </si>
  <si>
    <t>We thank all the participants of Singapore Epidemiology of Eye Diseases (SEED) and UK biobank (UKBB) for contributing their health profiles to support our research. ChatGPT (OpenAI) [36] was used solely for proofreading purposes, focusing on grammar and spelling corrections. All such revisions were reviewed and validated by human coauthors. This study was supported by the Singapore Ministry of Health's National Medical Research Council (NMRC/StaR/016/2013, NMRC/CIRG/1371/2013, NMRC/CIRG/1417/2015, and OFLCG/001/2017) . The funders had no role in study design; data collection, management, analysis, and interpretation; preparation, and review of this paper; or decision to publish.</t>
  </si>
  <si>
    <t>[He, Feng; Ling, Clarissa Ng Yin; Nusinovici, Simon; Cheng, Ching -Yu; Wong, Tien Yin; Sabanayagam, Charumathi] Singapore Natl Eye Ctr, Singapore Eye Res Inst, Singapore, Singapore; [He, Feng; Li, Jialiang] Natl Univ Singapore, Dept Stat &amp; Data Sci, Singapore, Singapore; [Nusinovici, Simon; Cheng, Ching -Yu; Wong, Tien Yin; Sabanayagam, Charumathi] Duke NUS Med Sch, Ophthalmol &amp; Visual Sci Acad Clin Program, Singapore, Singapore; [Sabanayagam, Charumathi] Singapore Natl Eye Ctr, Singapore Eye Res Inst, Acad,20 Coll Rd,Discovery Tower Level 6, Singapore 169856, Singapore</t>
  </si>
  <si>
    <t>Singapore National Eye Center; National University of Singapore; National University of Singapore; National University of Singapore; Singapore National Eye Center; National University of Singapore</t>
  </si>
  <si>
    <t>Development and External Validation of Machine Learning Models for Diabetic Microvascular Complications: Cross-Sectional Study With Metabolites</t>
  </si>
  <si>
    <t>machine learning; diabetic microvascular complication; diabetic kidney disease; diabetic retinopathy; biomarkers; metabolomics; complication; adult; cardiovascular disease; metabolites; biomedical big data; kidney disease</t>
  </si>
  <si>
    <t>RISK-FACTORS; KIDNEY; PREVALENCE; SIGNATURE; ACIDOSIS</t>
  </si>
  <si>
    <t>Li, Jialiang/B-9132-2014; Cheng, Ching-Yu/Y-2229-2019; Wong, Tien Y/AAC-9724-2020; Sabanayagam, Charumathi/C-1294-2011</t>
  </si>
  <si>
    <t>Li, Jialiang/0000-0002-9704-4135; He, Feng/0000-0002-4717-2243; Cheng, Ching-Yu/0000-0003-0655-885X; Ng Yin Ling, Clarissa/0000-0003-0873-5741; Wong, Tien Y/0000-0002-8448-1264; Sabanayagam, Charumathi/0000-0002-4042-4719</t>
  </si>
  <si>
    <t>MAR 28 2024</t>
  </si>
  <si>
    <t>e41065</t>
  </si>
  <si>
    <t>10.2196/41065</t>
  </si>
  <si>
    <t>http://dx.doi.org/10.2196/41065</t>
  </si>
  <si>
    <t>ND2M3</t>
  </si>
  <si>
    <t>38546730</t>
  </si>
  <si>
    <t>WOS:001198447000002</t>
  </si>
  <si>
    <t>Fan, CM; Scanio, A; Yokoo, P; Wiessman, M; Long, M; Lewis, MA; Xi, Y; Duan, XH; McColl, R; Abbara, S; Peshock, R; Kay, FU</t>
  </si>
  <si>
    <t>Background Cardiomegaly is a clinically significant incidental finding on chest computed tomography (CT) associated with heart failure, arrhythmias, and sudden cardiac death. Qualitative radiologist assessment is variable, and automated AI tools may enable objective opportunistic cardiac volumetry. Purpose To evaluate whether AI-enabled total cardiac volume (TCVAI) derived from non-ECG-gated, non-contrast chest CT can identify cardiomegaly as defined by echocardiography. Materials and Methods This retrospective study included 307 consecutive patients (median age, 67 years; 56% male) who underwent non-contrast chest CT at a single center on 7 scanner types (4 vendors) and clinically indicated echocardiography within 31 days. A commercially available AI tool (AI-Rad Companion, Siemens Healthineers) automatically quantified TCVAI, indexed to body surface area (TCVAI/BSA). Echocardiography reports were reviewed for chamber dilation and left ventricular hypertrophy (LVH), collectively defined as cardiomegaly. Associations between TCVAI/BSA and echocardiographic findings were assessed using correlation, ordinal regression, and receiver operating characteristic (ROC). Interscan repeatability was evaluated in 248 patients with 544 repeat CT examinations. Prespecified sex-specific thresholds were tested in a temporally independent validation cohort of 50 patients. Results Median TCVAI was higher in patients with cardiomegaly than those without (1061.9 vs 798.4 mL; P &lt; .001). TCVAI/BSA was associated with chamber dilation and LVH severity on univariate analysis and remained associated in multivariable ordinal models, except for right ventricular dilation. Discriminatory performance was fair to good, with area under the curve (AUC) 0.81 (95% CI, 0.75-0.87) in men and 0.77 (95% CI, 0.69-0.85) in women. Interscan repeatability was excellent (intraclass correlation coefficient [ICC]: 0.93). In independent validation, performance ranged from sensitivity 89.3%/specificity 27.3% at a high-sensitivity threshold to sensitivity 28.6%/specificity 100% at a high-specificity threshold. Conclusion AI-derived cardiac volume from routine chest CT shows fair to good performance for identifying echocardiography-defined cardiomegaly with high measurement repeatability, supporting a potential role for automated cardiac volumetry as an objective, opportunistic biomarker.</t>
  </si>
  <si>
    <t>Fan, Christopher M.; Scanio, Angelo; Yokoo, Patricia; Wiessman, Maya; Long, Michael; Lewis, Matthew A.; Xi, Yin; Duan, Xinhui; McColl, Roderick; Abbara, Suhny; Peshock, Ronald; Kay, Fernando U.</t>
  </si>
  <si>
    <t>Kay, FU (corresponding author), Univ Texas MD Anderson Canc Ctr, 1515 Holcombe Blvd, Houston, TX 77030 USA.</t>
  </si>
  <si>
    <t>fkay@mdanderson.org</t>
  </si>
  <si>
    <t>Siemens Healthineers</t>
  </si>
  <si>
    <t>This research did not receive any specific funding. The AI tool used in this study (AI-Rad Companion, Siemens Healthineers) was available through institutional deployment as part of standard clinical workflow; no direct or indirect support from Siemens Healthineers was received for this specific project.</t>
  </si>
  <si>
    <t>[Fan, Christopher M.; Scanio, Angelo; Yokoo, Patricia; Wiessman, Maya; Long, Michael; Lewis, Matthew A.; Xi, Yin; Duan, Xinhui; McColl, Roderick; Peshock, Ronald] Univ Texas Southwestern Med Ctr, Dept Radiol, Dallas, TX 75390 USA; [Abbara, Suhny] Mayo Clin, Cardiothorac Imaging Div, Jacksonville, FL 32224 USA; [Kay, Fernando U.] Univ Texas MD Anderson Canc Ctr, Dept Thorac Imaging, Houston, TX 77030 USA; Univ Texas Southwestern Med Ctr, 5323 Harry Hines Blvd, Dallas, TX 75390 USA</t>
  </si>
  <si>
    <t>University of Texas System; University of Texas Southwestern Medical Center; Mayo Clinic; University of Texas System; UTMD Anderson Cancer Center; University of Texas System; University of Texas Southwestern Medical Center</t>
  </si>
  <si>
    <t>Artificial intelligence-enabled cardiac volumetry for opportunistic screening of cardiomegaly on chest CT: clinical validation with echocardiography</t>
  </si>
  <si>
    <t>artificial intelligence; cardiac volume; cardiomegaly; chest CT; echocardiography; opportunistic screening; thoracic imaging; cardiac segmentation; deep learning; incidental findings</t>
  </si>
  <si>
    <t>Wiessman, Maya/NYT-3096-2025; peshock, ron/Q-6381-2019; Abbara, Suhny/C-3692-2014; Kay, Fernando/V-6534-2019</t>
  </si>
  <si>
    <t>Kay, Fernando/0000-0002-9467-2013</t>
  </si>
  <si>
    <t>umag013</t>
  </si>
  <si>
    <t>10.1093/radadv/umag013</t>
  </si>
  <si>
    <t>http://dx.doi.org/10.1093/radadv/umag013</t>
  </si>
  <si>
    <t>FO4IU</t>
  </si>
  <si>
    <t>41890626</t>
  </si>
  <si>
    <t>WOS:001723585200001</t>
  </si>
  <si>
    <t>Zhang, YJ; Ji, P; Wang, DN; Li, W; Miao, SM; Feng, CL; Sun, TT; Zheng, YL; Zhang, XL; Deng, YX; Qian, Q; Sun, WK</t>
  </si>
  <si>
    <t>Tigecycline (TGC) is widely used to treat severe multidrug-resistant infections but can cause drug-induced liver injury. Existing prediction studies frequently lack external validation and offer limited clinical interpretability. We performed a multicenter retrospective cohort study of 1,946 adult inpatients who received TGC at three tertiary hospitals in Jiangsu, China. Liver injury was defined by biochemical criteria, and causality was assessed with a structured clinical method. After variable selection and model comparison, seven routinely available predictors were retained: TGC duration, concomitant hepatotoxic medications, neurological disease as the principal admission diagnosis, trauma as the principal admission diagnosis, baseline hepatic impairment, alcohol drinking history, and hemodialysis. eXtreme Gradient Boosting (XGBoost) showed the best overall performance and maintained high sensitivity in external validation. We implemented the final explainable model as a web-based calculator to support early screening, monitoring prioritization, and clinical reassessment.</t>
  </si>
  <si>
    <t>Zhang, Yujing; Ji, Pei; Wang, Danni; Li, Wen; Miao, Shumei; Feng, Chunlai; Sun, Tingting; Zheng, Yilei; Zhang, Xiaolan; Deng, Yaxin; Qian, Qian; Sun, Wenkui</t>
  </si>
  <si>
    <t>Sun, WK (corresponding author), Nanjing Med Univ, Affiliated Hosp 1, Dept Resp &amp; Crit Care Med, Nanjing, Jiangsu, Peoples R China.; Qian, Q (corresponding author), Jiangsu Hlth Vocat Coll, Sch Clin Med, Nanjing, Jiangsu, Peoples R China.</t>
  </si>
  <si>
    <t>sunwenkui@njmu.edu.cn; honeyhoney2007@163.com</t>
  </si>
  <si>
    <t>[Zhang, Yujing; Wang, Danni; Li, Wen; Zheng, Yilei; Zhang, Xiaolan; Sun, Wenkui] Nanjing Med Univ, Affiliated Hosp 1, Dept Resp &amp; Crit Care Med, Nanjing, Jiangsu, Peoples R China; [Qian, Qian] Jiangsu Hlth Vocat Coll, Sch Clin Med, Nanjing, Jiangsu, Peoples R China; [Ji, Pei; Miao, Shumei] Nanjing Med Univ, Affiliated Hosp 1, Dept Informat, Nanjing, Jiangsu, Peoples R China; [Ji, Pei; Miao, Shumei] Nanjing Med Univ, Sch Biomed Engn &amp; Informat, Dept Med Informat, Nanjing, Jiangsu, Peoples R China; [Feng, Chunlai] Soochow Univ, Affiliated Hosp 3, Dept Resp &amp; Crit Care Med, Changzhou, Jiangsu, Peoples R China; [Sun, Tingting] Suqian First Hosp, Dept Resp &amp; Crit Care Med, Suqian, Jiangsu, Peoples R China; [Deng, Yaxin] Nanjing Gaochun Peoples Hosp, Dept Pulm &amp; Crit Care Med, Nanjing, Jiangsu, Peoples R China</t>
  </si>
  <si>
    <t>Nanjing Medical University; Nanjing Medical University; Nanjing Medical University; Soochow University - China</t>
  </si>
  <si>
    <t>Development and external validation of a machine learning model for predicting tigecycline-associated drug-induced liver injury</t>
  </si>
  <si>
    <t>Highlights; injury risk; screening; risk; Pharmaceutical science; Biochemistry; Artificial intelligence</t>
  </si>
  <si>
    <t>AUG 21 2026</t>
  </si>
  <si>
    <t>116876</t>
  </si>
  <si>
    <t>10.1016/j.isci.2026.116876</t>
  </si>
  <si>
    <t>http://dx.doi.org/10.1016/j.isci.2026.116876</t>
  </si>
  <si>
    <t>LY1SV</t>
  </si>
  <si>
    <t>42548806</t>
  </si>
  <si>
    <t>WOS:001836019900001</t>
  </si>
  <si>
    <t>Zhang, YJ; Tian, YY; Jian, Y; Wei, ZR; Cai, SL; Zhang, GFG; Deng, CL</t>
  </si>
  <si>
    <t>Background Diabetic foot ulcer (DFU) is a common and serious complication in patients with diabetes, which affects the quality of life greatly as well as brings high risk for mortality. Identification of high-risk individuals, as early as possible is important for efficient intervention and prevention. This study systematically evaluates and summarizes the diagnostic accuracy of machine learning approaches for predicting DFU risk in diabetic patients.Methods This study adhered to the TRIPOD+AI (Transparent Reporting of a Multivariable Prediction Model for Individual Prognosis or Diagnosis, Extended for Artificial Intelligence) guidelines. Using data from the National Health and Nutrition Examination Survey (NHANES) 1999-2004 to determine diagnosis of DFU related clinical characteristics, laboratory indicators and lifestyle-related variables. The diagnostic performance of its models trained using Logistic Regression (LR), K-Nearest Neighbors (KNN), Random Forest (RF), Extreme Gradient Boosting (XGBoost) and Support Vector Machine (SVM) classifiers were compared. An independent testing dataset collected from the Second Affiliated Hospital of Zunyi Medical University was used to conduct external validation.Results This study included 1, 857 participants from NHANES and 807 individuals recruited at the testing dataset. Key predictors identified in NHANES were numbness in extremities, direct HDL cholesterol, lymphocyte, white blood cell, segmented neutrophils, and BMI. Among them, the RF was identified as having the highest area under receiver operating characteristic curve (AUC) for NHANES at 0.81. The RF model also had the highest discriminative performance in external validation (as measured by an AUC of 0.79). Other models also provided good results in external validation: XGBoost had an AUC of 0.76, SVM reached 0.72, KNN reached 0.70, and LR received a score of 0.69.Conclusion The ability of machine learning models to predict DFU risk was good in a combined population cohort when measured using common metrics but varied across distinct regions. These results support future clinical evaluation of these models and underscore the need to select algorithms a priori based on the target patient population.</t>
  </si>
  <si>
    <t>Zhang, Yanji; Tian, Yingying; Jian, Yang; Wei, Zairong; Cai, Silang; Zhang, Gaofengi; Deng, Chengliang</t>
  </si>
  <si>
    <t>Deng, CL (corresponding author), Zunyi Med Univ, Dept Burns &amp; Plast Surg, Affiliated Hosp, Zunyi, Guizhou, Peoples R China.; Zhang, GFG (corresponding author), Zunyi Med Univ, Dept Radiol, Affiliated Hosp 2, Zunyi, Guizhou, Peoples R China.</t>
  </si>
  <si>
    <t>zhanggaofeng7677@163.com; cheliadeng@sina.com</t>
  </si>
  <si>
    <t>Key Project of Guizhou Provincial Science and Technology Plan of China [ZK2021-011]; Collaborative Innovation Center of Chinese Ministry of Education [2020-39]; Scientific Research and Talent Training Funds of Kweichow Moutai Hospital</t>
  </si>
  <si>
    <t>Key Project of Guizhou Provincial Science and Technology Plan of China; Collaborative Innovation Center of Chinese Ministry of Education; Scientific Research and Talent Training Funds of Kweichow Moutai Hospital</t>
  </si>
  <si>
    <t>The author(s) declared that financial support was received for this work and/or its publication. 1.Key Project of Guizhou Provincial Science and Technology Plan of China (No. ZK2021-011); 2. Collaborative Innovation Center of Chinese Ministry of Education (No. 2020-39); 3. Scientific Research and Talent Training Funds of Kweichow Moutai Hospital (MTYK, No.2022-13).</t>
  </si>
  <si>
    <t>[Zhang, Yanji; Jian, Yang; Wei, Zairong; Deng, Chengliang] Zunyi Med Univ, Dept Burns &amp; Plast Surg, Affiliated Hosp, Zunyi, Guizhou, Peoples R China; [Tian, Yingying; Zhang, Gaofengi] Zunyi Med Univ, Dept Radiol, Affiliated Hosp 2, Zunyi, Guizhou, Peoples R China; [Cai, Silang] Kweichow Moutai Hosp, Dept Med Educ, Zunyi, Guizhou, Peoples R China</t>
  </si>
  <si>
    <t>Zunyi Medical University; Zunyi Medical University</t>
  </si>
  <si>
    <t>Development and external validation of machine-learning based models to predict diabetic foot ulcer in diabetes population</t>
  </si>
  <si>
    <t>machine learning; diabetic foot ulcer; NHANES; external validation; diagnosis</t>
  </si>
  <si>
    <t>Tian, Yingying/JRW-4923-2023</t>
  </si>
  <si>
    <t>DEC 15 2025</t>
  </si>
  <si>
    <t>1692917</t>
  </si>
  <si>
    <t>10.3389/fendo.2025.1692917</t>
  </si>
  <si>
    <t>http://dx.doi.org/10.3389/fendo.2025.1692917</t>
  </si>
  <si>
    <t>AN8HS</t>
  </si>
  <si>
    <t>41473241</t>
  </si>
  <si>
    <t>WOS:001652530300001</t>
  </si>
  <si>
    <t>Feng, G; Targher, G; Byrne, CD; He, N; Mi, M; Liu, Y; Zhu, HB; Zheng, MH; Ye, F</t>
  </si>
  <si>
    <t>Background and Aims: The causal biomarkers for metabolic dysfunction-associated steatotic liver disease (MASLD) and their clinical value remain unclear. In this study, we aimed to identify biomarkers for MASLD and evaluate their diagnostic and prognostic significance. Methods: We conducted a Mendelian randomization analysis to assess the causal effects of 2,925 molecular biomarkers (from proteomics data) and 35 clinical biomarkers on MASLD. Mediation analysis was performed to determine whether clinical biomarkers mediated the effects of molecular biomarkers. The association between key clinical biomarkers and MASLD was externally validated in a hospital-based cohort (n = 415). A machine learning-based diagnostic model for MASLD was developed and validated using the identified molecular biomarkers. Prognostic significance was evaluated for both molecular and clinical biomarkers. Results: Six molecular biomarkers-including canopy FGF signaling regulator 4 (CNPY4), ectonucleoside triphosphate diphosphohydrolase 6 (ENTPD6), and major histocompatibility complex, class I, A (HLA-A)-and eight clinical biomarkers (e.g., serum total protein (STP)) were identified as causally related to MASLD. STP partially mediated the effect of HLA-A on MASLD (23.61%) and was associated with MASLD in the external cohort (odds ratio = 1.080, 95% confidence interval: 1.011-1.155). A random forest model demonstrated high diagnostic performance (AUC = 0.941 in training; 0.875 in validation). High expression levels of CNPY4 and ENTPD6 were associated with the development of and poorer survival from hepatocellular carcinoma. Low STP (&lt;60 g/L) predicted all-cause mortality (HR = 2.50, 95% confidence interval: 1.22-5.09). Conclusions: This study identifies six causal molecular biomarkers (e.g., CNPY4, ENTPD6, HLA-A) and eight clinical biomarkers for MASLD. Notably, STP mediates the effect of HLA-A on MASLD and is associated with all-cause mortality.</t>
  </si>
  <si>
    <t>Feng, Gong; Targher, Giovanni; Byrne, Christopher D.; He, Na; Mi, Man; Liu, Yi; Zhu, Hongbin; Zheng, Ming-Hua; Ye, Feng</t>
  </si>
  <si>
    <t>Ye, F (corresponding author), Xi An Jiao Tong Univ, Affiliated Hosp 1, Dept Infect Dis, Xian 710061, Shaanxi, Peoples R China.</t>
  </si>
  <si>
    <t>yefeng.jiaotong@163.com</t>
  </si>
  <si>
    <t>Shaanxi Provincial Department of Science and Technology [2025GH-YBXM-032]; Project of the Shaanxi Provincial Administration of Traditional Chinese Medicine [2022-SLRH-YQ-011]; Tianjin Key Medical Discipline (Specialty) Construction Project [TJYXZDXK-077D]; Natural Science Basic Research Program of Shaanxi [2023-JC-QN-0949]; National Inheritance Studio Project of Zheng Qinglian [[2022] 270]</t>
  </si>
  <si>
    <t>Shaanxi Provincial Department of Science and Technology; Project of the Shaanxi Provincial Administration of Traditional Chinese Medicine; Tianjin Key Medical Discipline (Specialty) Construction Project; Natural Science Basic Research Program of Shaanxi; National Inheritance Studio Project of Zheng Qinglian</t>
  </si>
  <si>
    <t>This work was supported by the Key Research and Development Program of the Shaanxi Provincial Department of Science and Technology (2025GH-YBXM-032) , the Project of the Shaanxi Provincial Administration of Traditional Chinese Medicine (2022-SLRH-YQ-011) , the Tianjin Key Medical Discipline (Specialty) Construction Project (TJYXZDXK-077D) , the Natural Science Basic Research Program of Shaanxi (2023-JC-QN-0949) and the National Inheritance Studio Project of Zheng Qinglian (Document No. [2022] 270) .</t>
  </si>
  <si>
    <t>[Feng, Gong; Zheng, Ming-Hua; Ye, Feng] Xi An Jiao Tong Univ, Affiliated Hosp 1, Dept Infect Dis, Xian 710061, Shaanxi, Peoples R China; [Targher, Giovanni] Univ Verona, Dept Med, Verona, Italy; [Targher, Giovanni] IRCCS Sacro Cuore Don Calabria Hosp, Metab Dis Res Unit, Negrar Di Valpolicella, Italy; [Byrne, Christopher D.] Univ Hosp Southampton, Southampton Natl Inst Hlth &amp; Care Res, Biomed Res Ctr, Southampton, England; [Byrne, Christopher D.] Univ Southampton, Southampton Gen Hosp, Southampton, England; [He, Na] Xian Med Univ, Affiliated Hosp 1, Dept Gastroenterol, Xian, Shaanxi, Peoples R China; [Mi, Man] Xian Med Univ, Xian, Shaanxi, Peoples R China; [Liu, Yi] Xi An Jiao Tong Univ, Affiliated Hosp 1, Dept Tradit Chinese Med, Xian, Shaanxi, Peoples R China; [Zhu, Hongbin] Chinese Peoples Liberat Army, Hosp Joint Logist Support Force 983, Dept Gastroenterol, Tianjin, Peoples R China; [Zheng, Ming-Hua] Wenzhou Med Univ, Affiliated Hosp 1, MAFLD Res Ctr, Dept Hepatol, Wenzhou, Zhejiang, Peoples R China; [Zheng, Ming-Hua] Key Lab Diag &amp; Treatment Dev Chron Liver Dis Zheji, Wenzhou, Zhejiang, Peoples R China</t>
  </si>
  <si>
    <t>Xi'an Jiaotong University; University of Verona; University of Southampton; Xi'an Medical University; Shanxi People's Hospital; Xi'an Medical University; Xi'an Jiaotong University; Wenzhou Medical University</t>
  </si>
  <si>
    <t>Biomarker Discovery for Metabolic Dysfunction-associated Steatotic Liver Disease Utilizing Mendelian Randomization, Machine Learning, and External Validation</t>
  </si>
  <si>
    <t>JOURNAL OF CLINICAL AND TRANSLATIONAL HEPATOLOGY</t>
  </si>
  <si>
    <t>Metabolic dysfunction-associated fatty liver disease; Mendelian randomization; Machine learning; Proteomics; Mediation analysis; Non-invasive diagnosis; Prognosis; Causal biomarkers</t>
  </si>
  <si>
    <t>Zheng, Ming-Hua/H-5584-2019</t>
  </si>
  <si>
    <t>Zhu, Hongbin/0000-0002-6992-571X; Zheng, Ming-Hua/0000-0003-4984-2631; Byrne, Christopher D/0000-0001-6322-7753</t>
  </si>
  <si>
    <t>XIA &amp; HE PUBLISHING INC</t>
  </si>
  <si>
    <t>SUGAR LAND</t>
  </si>
  <si>
    <t>SECOND AFFILIATED HOSP CHONGQING MEDICAL UNIV, 14090 SOUTHWEST FREEWAY, STE 300, SUGAR LAND, TX 77478 USA</t>
  </si>
  <si>
    <t>2225-0719</t>
  </si>
  <si>
    <t>2310-8819</t>
  </si>
  <si>
    <t>J CLIN TRANSL HEPATO</t>
  </si>
  <si>
    <t>J. Clin. Transl. Hepatol.</t>
  </si>
  <si>
    <t>723</t>
  </si>
  <si>
    <t>733</t>
  </si>
  <si>
    <t>10.14218/JCTH.2025.00270</t>
  </si>
  <si>
    <t>http://dx.doi.org/10.14218/JCTH.2025.00270</t>
  </si>
  <si>
    <t>7EK6O</t>
  </si>
  <si>
    <t>40951528</t>
  </si>
  <si>
    <t>WOS:001533140500001</t>
  </si>
  <si>
    <t>Mayampurath, A; Sanchez-Pinto, LN; Hegermiller, E; Erondu, A; Carey, K; Jani, P; Gibbons, R; Edelson, D; Churpek, MM</t>
  </si>
  <si>
    <t>OBJECTIVES: Unrecognized clinical deterioration during illness requiring hospitalization is associated with high risk of mortality and long-term morbidity among children. Our objective was to develop and externally validate machine learning algorithms using electronic health records for identifying ICU transfer within 12 hours indicative of a child's condition. DESIGN: Observational cohort study. SETTING: Two urban, tertiary-care, academic hospitals (sites 1 and 2). PATIENTS: Pediatric inpatients (age &lt;18 yr). INTERVENTIONS: None. MEASUREMENT AND MAIN RESULTS: Our primary outcome was direct ward to ICU transfer. Using age, vital signs, and laboratory results, we derived logistic regression with regularization, restricted cubic spline regression, random forest, and gradient boosted machine learning models. Among 50,830 admissions at site 1 and 88,970 admissions at site 2, 1,993 (3.92%) and 2,317 (2.60%) experienced the primary outcome, respectively. Site 1 data were split longitudinally into derivation (2009-2017) and validation (2018-2019), whereas site 2 constituted the external test cohort. Across both sites, the gradient boosted machine was the most accurate model and outperformed a modified version of the Bedside Pediatric Early Warning Score that only used physiologic variables in terms of discrimination (C-statistic site 1: 0.84 vs 0.71, p &lt; 0.001; site 2: 0.80 vs 0.74, p &lt; 0.001), sensitivity, specificity, and number needed to alert. CONCLUSIONS: We developed and externally validated a novel machine learning model that identifies ICU transfers in hospitalized children more accurately than current tools. Our model enables early detection of children at risk for deterioration, thereby creating opportunities for intervention and improvement in outcomes.</t>
  </si>
  <si>
    <t>Mayampurath, Anoop; Sanchez-Pinto, L. Nelson; Hegermiller, Emma; Erondu, Amarachi; Carey, Kyle; Jani, Priti; Gibbons, Robert; Edelson, Dana; Churpek, Matthew M.</t>
  </si>
  <si>
    <t>Mayampurath, A (corresponding author), Univ Chicago, Dept Pediat, Chicago, IL 60637 USA.</t>
  </si>
  <si>
    <t>mayampurath@wisc.edu</t>
  </si>
  <si>
    <t>National Heart, Lung, and Blood Institutes (NHLBI) [K01HL148390]; National Institutes of Health (NIH); NIH/University of Wisconsin-Madison [R01 GM123193]; NIH/Idaho State University [R01 GM137083]; U.S. Health and Human Services/AgileMD [ASPR-BARDA 21-00592]; National Institute of General Medical Sciences [R01 GM123193-05]; Department of Defense [PRMRP-W81XWH-21-1-0009]; NHLBI [R01HL157262]; National Institute of Diabetes and Digestive and Kidney Diseases [R01-DK126933-A1]; National Institute on Aging [R21 AG068720-01]; National Institute on Drug Abuse [R01 DA051464-01]; National Heart Lung and Blood Institute [K01HL148390] Funding Source: NIH RePORTER; National Institute of General Medical Sciences [R01GM123193] Funding Source: NIH RePORTER</t>
  </si>
  <si>
    <t>National Heart, Lung, and Blood Institutes (NHLBI); National Institutes of Health (NIH) (United States Department of Health &amp; Human Services, National Institutes of Health (NIH) - USA); NIH/University of Wisconsin-Madison; NIH/Idaho State University; U.S. Health and Human Services/AgileMD; National Institute of General Medical Sciences (United States Department of Health &amp; Human Services, National Institutes of Health (NIH) - USA, NIH National Institute of General Medical Sciences (NIGMS)); Department of Defense (United States Department of Defense); NHLBI (United States Department of Health &amp; Human Services, National Institutes of Health (NIH) - USA, NIH National Heart Lung &amp; Blood Institute (NHLBI)); National Institute of Diabetes and Digestive and Kidney Diseases (United States Department of Health &amp; Human Services, National Institutes of Health (NIH) - USA, NIH National Institute of Diabetes &amp; Digestive &amp; Kidney Diseases (NIDDK)); National Institute on Aging (United States Department of Health &amp; Human Services, National Institutes of Health (NIH) - USA, NIH National Institute on Aging (NIA)); National Institute on Drug Abuse (United States Department of Health &amp; Human Services, National Institutes of Health (NIH) - USA, NIH National Institute on Drug Abuse (NIDA)); National Heart Lung and Blood Institute (United States Department of Health &amp; Human Services, National Institutes of Health (NIH) - USA, NIH National Heart Lung &amp; Blood Institute (NHLBI)); National Institute of General Medical Sciences (United States Department of Health &amp; Human Services, National Institutes of Health (NIH) - USA, NIH National Institute of General Medical Sciences (NIGMS))</t>
  </si>
  <si>
    <t>Dr. Mayampurath received funding from the National Heart, Lung, and Blood Institutes (NHLBI; K01HL148390); he received support for article research from the National Institutes of Health (NIH). Dr. Mayampurath has performed consulting services for Litmus Health, Austin, TX, outside of submitted work. Ms. Hegermiller received funding from FabFitFun, Indus Consulting Inc., University of Chicago, and Northwell Health, outside of submitted work. Dr. Edelson received funding from the NIH/University of Wisconsin-Madison (R01 GM123193), the NIH/Idaho State University (R01 GM137083), the U.S. Health and Human Services/AgileMD (ASPR-BARDA 21-00592) (Principal Investigator), the Department of Defense/University of WisconsinMadison, and EarlySense; she disclosed that she owns equity in Agile MD stock and serves as the President and Co-Founder of AgileMD, and that she owns Intellectual Property Rights (ARCD. P0535US.P2); she also disclosed that AgileMD acquired the exclusive licensing rights to electronic Cardiac Arrest Risk and Triage when it acquired QuantHC. She received research support and honoraria from Philips Healthcare (Andover, MA). Dr. Churpek's institution received funding from the National Institute of General Medical Sciences (R01 GM123193-05), the Department of Defense (PRMRP-W81XWH-21-1-0009), the NHLBI (R01HL157262), the National Institute of Diabetes and Digestive and Kidney Diseases (R01-DK126933-A1), the National Institute on Aging (R21 AG068720-01), the National Institute on Drug Abuse (R01 DA051464-01), and an EarlySense Research Grant; he disclosed that he has a patent-pending (ARCD. P0535US.P2) and that he is a consultant with AgileMD. The remaining authors have disclosed that they do not have any potential conflicts of interest.</t>
  </si>
  <si>
    <t>[Mayampurath, Anoop; Hegermiller, Emma; Erondu, Amarachi; Jani, Priti] Univ Chicago, Dept Pediat, Chicago, IL 60637 USA; [Sanchez-Pinto, L. Nelson] Ann &amp; Robert H Lurie Childrens Hosp Chicago, Dept Pediat, Chicago, IL 60611 USA; [Carey, Kyle; Gibbons, Robert; Edelson, Dana] Univ Chicago, Dept Med, 5841 S Maryland Ave, Chicago, IL 60637 USA; [Churpek, Matthew M.] Univ Wisconsin, Dept Med, Madison, WI USA</t>
  </si>
  <si>
    <t>University of Chicago; Ann &amp; Robert H. Lurie Children's Hospital of Chicago; University of Chicago; University of Wisconsin System; University of Wisconsin Madison</t>
  </si>
  <si>
    <t>Development and External Validation of a Machine Learning Model for Prediction of Potential Transfer to the PICU</t>
  </si>
  <si>
    <t>PEDIATRIC CRITICAL CARE MEDICINE</t>
  </si>
  <si>
    <t>electronic-health records; ICU transfer; machine learning; pediatrics; risk assessment</t>
  </si>
  <si>
    <t>EARLY WARNING SYSTEM; CLINICAL DETERIORATION; INPATIENT DETERIORATION; RISK; SCORE; CHILDREN; CURVES; FUTURE; NEED</t>
  </si>
  <si>
    <t>Gibbons, Robert/PIH-2832-2026; Sanchez-Pinto, Lazaro Nelson/AAO-9748-2021; Jani, Priti/AAB-8954-2022</t>
  </si>
  <si>
    <t>Churpek, Matthew/0000-0002-4030-5250; Sanchez-Pinto, Lazaro Nelson/0000-0002-7434-6747</t>
  </si>
  <si>
    <t>1529-7535</t>
  </si>
  <si>
    <t>1947-3893</t>
  </si>
  <si>
    <t>PEDIATR CRIT CARE ME</t>
  </si>
  <si>
    <t>Pediatr. Crit. Care Med.</t>
  </si>
  <si>
    <t>514</t>
  </si>
  <si>
    <t>523</t>
  </si>
  <si>
    <t>10.1097/PCC.0000000000002965</t>
  </si>
  <si>
    <t>http://dx.doi.org/10.1097/PCC.0000000000002965</t>
  </si>
  <si>
    <t>Critical Care Medicine; Pediatrics</t>
  </si>
  <si>
    <t>General &amp; Internal Medicine; Pediatrics</t>
  </si>
  <si>
    <t>4M8CN</t>
  </si>
  <si>
    <t>35446816</t>
  </si>
  <si>
    <t>WOS:000853548500014</t>
  </si>
  <si>
    <t>Saarikivi, J; Hjellvik, V; Tiihonen, J; Taipale, H; Odsbu, I; Lieslehto, J</t>
  </si>
  <si>
    <t>Background: Identifying patients with first-episode psychosis (FEP) at high mortality risk may facilitate personalized treatment regimen development and reduce the mortality gap between individuals with psychotic disorders and the general population. Following validation studies in Sweden and Finland, we aimed to externally validate the recently developed mortality risk prediction machine learning model, MIRACLE-FEP, with a new Norwegian national cohort. Methods: We analyzed a Norwegian national register-based cohort of patients with FEP (N = 4632), with followup extending to 8 years. The performance of MIRACLE-FEP was evaluated via the area under the receiver operating characteristic curve (AUROC) and calibration. In addition to all-cause mortality (primary outcome), we assessed the model's discrimination performance for specific causes of death. Finally, we examined whether the model demonstrates any bias toward gender, education level, or immigration status. Results: MIRACLE-FEP demonstrated an AUROC of 0.71 (95% CI 0.63-0.79) for the prediction of 2-year all-cause mortality. Calibration was relatively good, with a calibration slope of 1.04 (95% CI 0.68-1.47) and a calibrationin-the-large value of 0.31 (- 1.93-1.26). Among specific causes of death, the model showed the highest discrimination for deaths due to accidents (AUROC 0.86, 95% CI 0.79-0.93) and the lowest for suicide (AUROC 0.47, 95% CI 0.35-0.59). No evidence of bias was observed in discrimination accuracy by gender, education level, or immigration status. Conclusions: The performance metrics of this external validation study aligned with those reported in the development study. Efforts to enhance MIRACLE-FEP's performance in suicide prediction are needed.</t>
  </si>
  <si>
    <t>Saarikivi, Jukka; Hjellvik, Vidar; Tiihonen, Jari; Taipale, Heidi; Odsbu, Ingvild; Lieslehto, Johannes</t>
  </si>
  <si>
    <t>Finnish Ministry of Social Affairs and Health through the developmental fund for Niuvanniemi Hospital; Academy of Finland [315969, 320107, 345326]; Sigrid Juselius Foundation; Finnish Medical Association [7709]</t>
  </si>
  <si>
    <t>Finnish Ministry of Social Affairs and Health through the developmental fund for Niuvanniemi Hospital; Academy of Finland (Research Council of Finland); Sigrid Juselius Foundation (Sigrid Juselius Foundation); Finnish Medical Association</t>
  </si>
  <si>
    <t>This work was supported by the Finnish Ministry of Social Affairs and Health through the developmental fund for Niuvanniemi Hospital; the Academy of Finland (grant numbers 315969, 320107, 345326 to HT) ; the Sigrid Juselius Foundation to HT; and the Finnish Medical Association (grant number 7709 to JL) . The study funders had no role in the study design, data collection, data analysis, data interpretation, or writing of the report.</t>
  </si>
  <si>
    <t>[Saarikivi, Jukka; Tiihonen, Jari; Taipale, Heidi; Lieslehto, Johannes] Univ Eastern Finland, Niuvanniemi Hosp, Dept Forens Psychiat, Kuopio, Finland; [Hjellvik, Vidar; Odsbu, Ingvild] Norwegian Inst Publ Hlth, Dept Chron Dis, Div Publ Hlth &amp; Prevent, Oslo, Norway; [Tiihonen, Jari; Taipale, Heidi; Lieslehto, Johannes] Karolinska Inst, Dept Clin Neurosci, Stockholm, Sweden; [Tiihonen, Jari; Taipale, Heidi] Stockholm City Council, Ctr Psychiat Res, Stockholm, Sweden; [Lieslehto, Johannes] Univ Helsinki, Inst Mol Med Finland, Helsinki, Finland; [Taipale, Heidi] Univ Eastern Finland, Sch Pharm, Kuopio, Finland</t>
  </si>
  <si>
    <t>University of Eastern Finland; Norwegian Institute of Public Health (NIPH); Karolinska Institutet; Region Stockholm; University of Helsinki; University of Eastern Finland</t>
  </si>
  <si>
    <t>Predicting future mortality risk in first-episode psychosis: External validation of the MIRACLE-FEP machine learning model</t>
  </si>
  <si>
    <t>SCHIZOPHRENIA RESEARCH</t>
  </si>
  <si>
    <t>Machine learning; Validation; Schizophrenia; Prognosis; Personalized medicine</t>
  </si>
  <si>
    <t>METAANALYSIS; SUICIDALITY; DEPRESSION</t>
  </si>
  <si>
    <t>Tiihonen, Jari/G-3078-2012</t>
  </si>
  <si>
    <t>Lieslehto, Johannes/0000-0001-6030-0249</t>
  </si>
  <si>
    <t>0920-9964</t>
  </si>
  <si>
    <t>1573-2509</t>
  </si>
  <si>
    <t>SCHIZOPHR RES</t>
  </si>
  <si>
    <t>Schizophr. Res.</t>
  </si>
  <si>
    <t>292</t>
  </si>
  <si>
    <t>116</t>
  </si>
  <si>
    <t>123</t>
  </si>
  <si>
    <t>10.1016/j.schres.2026.03.013</t>
  </si>
  <si>
    <t>http://dx.doi.org/10.1016/j.schres.2026.03.013</t>
  </si>
  <si>
    <t>Psychiatry</t>
  </si>
  <si>
    <t>GB5KB</t>
  </si>
  <si>
    <t>41904923</t>
  </si>
  <si>
    <t>WOS:001732465900001</t>
  </si>
  <si>
    <t>Nie, XG; Jiang, Y; Meng, XY; Liu, J; Zhao, HJ; Chen, YD; Wang, JB; Lu, T</t>
  </si>
  <si>
    <t>Purpose: Wound infection is a major determinant of poor prognosis in patients with diabetic foot ulcers (DFUs). This study aimed to develop, compare, and externally validate multiple machine learning (ML) models for predicting wound infection in DFUs using routinely collected clinical indicators. Methods: A total of 800 patients with DFUs were retrospectively enrolled. The primary cohort (n=500) was randomly divided into training (70%, n=350) and internal testing (30%, n=150) sets, while an independent cohort (n=300) was used for external validation. Eight ML algorithms were constructed and compared, including logistic regression, decision tree, random forest, support vector machine, k-nearest neighbor, naive Bayes, extreme gradient boosting, and light gradient boosting machine. Model performance was evaluated using area under the curve (AUC), accuracy, sensitivity, specificity, and other metrics in internal cross-validation and external validation. SHapley Additive exPlanations (SHAP) were applied for feature interpretability. Results: The RF model demonstrated the best performance, with an AUC of 0.937 (95% CI 0.906 to 0.969) in training, 0.853 (95% CI 0.804 to 0.901) in internal testing, and 0.832 (95% CI 0.779 to 0.885) in external validation. Six key variables (age, duration of diabetes, ankle brachial index, ulcer area, vascular complications, and osteomyelitis) were identified as the most influential predictors. SHAP analysis provided interpretable insights into their contributions to infection risk. Conclusion: The RF model showed robust predictive performance and generalizability for wound infection in DFUs. Its integration into clinical practice could enable early risk stratification and personalized interventions, potentially reducing amputations and improving outcomes. Future prospective studies are needed for further validation.</t>
  </si>
  <si>
    <t>Nie, Xingguo; Jiang, Yang; Meng, Xiangyan; Liu, Ju; Zhao, Haijian; Chen, Yundong; Wang, Junbo; Lu, Tan</t>
  </si>
  <si>
    <t>Lu, T (corresponding author), Henan Med Univ, Affiliated Hosp 1, Dept Orthoped, 88 Jiankang Rd, Weihui 453100, Henan, Peoples R China.</t>
  </si>
  <si>
    <t>bggt2899@outlook.com</t>
  </si>
  <si>
    <t>[Nie, Xingguo; Liu, Ju; Zhao, Haijian; Chen, Yundong; Wang, Junbo; Lu, Tan] Henan Med Univ, Affiliated Hosp 1, Dept Orthoped, 88 Jiankang Rd, Weihui 453100, Henan, Peoples R China; [Jiang, Yang] Henan Med Univ, Affiliated Hosp 1, Burn Plast Surg &amp; Med Aesthet Dept, Weihui, Henan, Peoples R China; [Meng, Xiangyan] Henan Med Univ, Affiliated Hosp 1, Dept Ophthalmol, Weihui, Henan, Peoples R China</t>
  </si>
  <si>
    <t>Henan Medical University</t>
  </si>
  <si>
    <t>Development and External Validation of a Machine Learning Model for Predicting Wound Infection in Diabetic Foot Ulcers</t>
  </si>
  <si>
    <t>DIABETES METABOLIC SYNDROME AND OBESITY</t>
  </si>
  <si>
    <t>diabetic foot; ulcer infection; predictive modeling; machine learning; external validation</t>
  </si>
  <si>
    <t>DISEASE; CARE</t>
  </si>
  <si>
    <t>1178-7007</t>
  </si>
  <si>
    <t>DIABET METAB SYND OB</t>
  </si>
  <si>
    <t>Diabetes Metab. Syndr. Obes.</t>
  </si>
  <si>
    <t>586810</t>
  </si>
  <si>
    <t>10.2147/DMSO.S586810</t>
  </si>
  <si>
    <t>http://dx.doi.org/10.2147/DMSO.S586810</t>
  </si>
  <si>
    <t>EU9ZX</t>
  </si>
  <si>
    <t>41821605</t>
  </si>
  <si>
    <t>WOS:001710380200001</t>
  </si>
  <si>
    <t>Cabitza, F; Campagner, A; Soares, F; de Guadiana-Romualdo, LG; Challa, F; Sulejmani, A; Seghezzi, M; Carobene, A</t>
  </si>
  <si>
    <t>Background and Objective Medical machine learning (ML) models tend to perform better on data from the same cohort than on new data, often due to overfitting, or co-variate shifts. For these reasons, external validation (EV) is a necessary practice in the evaluation of medical ML. However, there is still a gap in the literature on how to interpret EV results and hence assess the robustness of ML models.Methods: We fill this gap by proposing a meta-validation method, to assess the soundness of EV procedures. In doing so, we complement the usual way to assess EV by considering both dataset cardinality, and the similarity of the EV dataset with respect to the training set. We then investigate how the notions of cardinality and similarity can be used to inform on the reliability of a validation procedure, by integrating them into two summative data visualizations.Results: We illustrate our methodology by applying it to the validation of a state-of-the-art COVID-19 diagnostic model on 8 EV sets, collected across 3 different continents. The model performance was moderately impacted by data similarity (Pearson rho = 0.38, p &lt; 0.001). In the EV, the validated model reported good AUC (average: 0.84), acceptable calibration (average: 0.17) and utility (average: 0.50). The validation datasets were adequate in terms of dataset cardinality and similarity, thus suggesting the soundness of the results. We also provide a qualitative guideline to evaluate the reliability of validation procedures, and we discuss the importance of proper external validation in light of the obtained results.Conclusions: In this paper, we propose a novel, lean methodology to: 1) study how the similarity between training and validation sets impacts the generalizability of a ML model; 2) assess the soundness of EV evaluations along three complementary performance dimensions: discrimination, utility and calibration; 3) draw conclusions on the robustness of the model under validation. We applied this methodology to a state-of-the-art model for the diagnosis of COVID-19 from routine blood tests, and showed how to interpret the results in light of the presented framework. (C) 2021 Elsevier B.V. All rights reserved.</t>
  </si>
  <si>
    <t>Cabitza, Federico; Campagner, Andrea; Soares, Felipe; Garcia de Guadiana-Romualdo, Luis; Challa, Feyissa; Sulejmani, Adela; Seghezzi, Michela; Carobene, Anna</t>
  </si>
  <si>
    <t>Cabitza, F (corresponding author), Univ Milano Bicocca, Viale Sarca 336, I-20126 Milan, Italy.</t>
  </si>
  <si>
    <t>federico.cabitza@unimib.it</t>
  </si>
  <si>
    <t>[Cabitza, Federico; Campagner, Andrea] Univ Milano Bicocca, Viale Sarca 336, I-20126 Milan, Italy; [Soares, Felipe] Univ Fed Rio Grande do Sul, Dept Ind Engn, Porto Alegre, RS, Brazil; [Garcia de Guadiana-Romualdo, Luis] Hosp Univ Santa Lucia, Lab Med Dept, Cartagena, Spain; [Challa, Feyissa] Ethiopian Publ Hlth Inst, Natl Reference Lab Clin Chem, Addis Ababa, Ethiopia; [Sulejmani, Adela] Univ Milano Bicocca, Osped Desio &amp; Monza, ASST Monza, Lab Chim Clin,Dipartimento Med &amp; Chirurg, Monza, Italy; [Seghezzi, Michela] Osped Papa Giovanni XXIII, Lab Chim Clin, Bergamo, Italy; [Carobene, Anna] IRCCS San Raffaele Sci Inst, Lab Med, Milan, Italy</t>
  </si>
  <si>
    <t>University of Milano-Bicocca; Universidade Federal do Rio Grande do Sul; University of Milano-Bicocca; ASST Papa Giovanni XXIII; Vita-Salute San Raffaele University; IRCCS Ospedale San Raffaele</t>
  </si>
  <si>
    <t>The importance of being external. methodological insights for the external validation of machine learning models in medicine</t>
  </si>
  <si>
    <t>Medical machine learning; Validation; Dataset similarity; Dataset cardinality; COVID-19</t>
  </si>
  <si>
    <t>PREDICTIVE MODELS; SIMULATION; AGREEMENT; SELECTION; BIAS</t>
  </si>
  <si>
    <t>Campagner, Andrea/AAB-4238-2020; Carobene, Anna/D-2240-2018; Soares, Felipe/HCI-4579-2022; Cabitza, Federico/JCO-4001-2023</t>
  </si>
  <si>
    <t>Campagner, Andrea/0000-0002-0027-5157; waka, Feyissa Challa/0000-0002-2624-6661; Soares, Felipe/0000-0002-2837-1853; Cabitza, Federico/0000-0002-4065-3415</t>
  </si>
  <si>
    <t>70</t>
  </si>
  <si>
    <t>224</t>
  </si>
  <si>
    <t>254</t>
  </si>
  <si>
    <t>SEP 2021</t>
  </si>
  <si>
    <t>208</t>
  </si>
  <si>
    <t>106288</t>
  </si>
  <si>
    <t>10.1016/j.cmpb.2021.106288</t>
  </si>
  <si>
    <t>http://dx.doi.org/10.1016/j.cmpb.2021.106288</t>
  </si>
  <si>
    <t>AUG 2021</t>
  </si>
  <si>
    <t>UA9WB</t>
  </si>
  <si>
    <t>34352688</t>
  </si>
  <si>
    <t>WOS:000685503300013</t>
  </si>
  <si>
    <t>Lu, ZW; An, N; Sheng, SW; Hong, M; Deng, P; Wu, JD; Zhang, SJ; Chen, ZJ</t>
  </si>
  <si>
    <t>Diabetic foot ulcer (DFU) is a severe complication of diabetes, often leading to amputation due to poor wound healing and infection. The immune-related pathogenesis of DFU remains unclear, and therapeutic drugs are limited. This study aimed to explore the immune mechanisms of DFU and identify potential therapeutic drugs using machine learning and single-cell approaches. Through differential expression analysis of Gene Expression Omnibus (GEO) datasets, we identified 287 differentially expressed genes (DEGs), which were significantly enriched in IL-17 signaling and neutrophil chemotaxis pathways. Weighted gene co-expression network analysis (WGCNA) further pinpointed disease-associated modules containing 1,693 regulatory genes. Machine learning algorithms prioritized seven core genes-CCL20, CXCL13, FGFR2, FGFR3, PI3, PLA2G2A, and S100A8-with validation in an external dataset GSE147890 and single-cell sequencing revealing their predominant expression in neutrophils and keratinocytes. Immune infiltration analysis demonstrated significant dysregulation in DFU patients, characterized by elevated proportions of memory B cells, M0 macrophages, activated mast cells, and neutrophils. Potential therapeutic compounds were identified using the Connectivity Map database and tested through molecular docking and dynamics simulations. The study pinpointed selegiline, L-BSO, flunisolide, PP-30, and fluocinolone as promising therapeutic agents, offering new insights into the pathogenesis of diabetic foot ulcers (DFU) and potential therapeutic strategies.</t>
  </si>
  <si>
    <t>Lu, Zhongwen; An, Na; Sheng, Shouwei; Hong, Mao; Deng, Pin; Wu, Junde; Zhang, Shengji; Chen, Zhaojun</t>
  </si>
  <si>
    <t>Chen, ZJ (corresponding author), Beijing Univ Chinese Med, Affiliated Hosp 3, Beijing, Peoples R China.</t>
  </si>
  <si>
    <t>20240931784@bucm.edu.cn</t>
  </si>
  <si>
    <t>Beijing Natural Science Foundation [7252229]; Third Affiliated Hospital of Beijing University of Chinese Medicine [BZYSY-2022-XYYF-22]; Beijing Traditional Chinese Medicine Science and Technology Development Fund [BJZYQN-2023-09]</t>
  </si>
  <si>
    <t>Beijing Natural Science Foundation (Beijing Natural Science Foundation); Third Affiliated Hospital of Beijing University of Chinese Medicine; Beijing Traditional Chinese Medicine Science and Technology Development Fund</t>
  </si>
  <si>
    <t>Zhaojun Chen (Z.C.) as the corresponding author, provided the Beijing Natural Science Foundation (Grant No. 7252229) and the "New Drug Research and Development" Cultivation Project of the Third Affiliated Hospital of Beijing University of Chinese Medicine (Grant No. BZYSY-2022-XYYF-22), and provided overall guidance and supervision, and played a key role in the interpretation of the results and manuscript preparation.Mao Hong (M.H.) provided the project of Beijing Traditional Chinese Medicine Science and Technology Development Fund (Approval Number: BJZYQN-2023-09).</t>
  </si>
  <si>
    <t>[Lu, Zhongwen; Hong, Mao; Wu, Junde; Chen, Zhaojun] Beijing Univ Chinese Med, Affiliated Hosp 3, Beijing, Peoples R China; [An, Na; Zhang, Shengji] Shandong Univ Tradit Chinese Med, Jinan, Shandong, Peoples R China; [Sheng, Shouwei] Beijing Univ Tradit Chinese Med Miyun Dist, Affiliated Hosp 3, Beijing, Peoples R China; [Deng, Pin] China Acad Chinese Med Sci, Inst Basic Theory Tradit Chinese Med, Beijing, Peoples R China</t>
  </si>
  <si>
    <t>Beijing University of Chinese Medicine; Shandong University of Traditional Chinese Medicine; Institute of Basic Theory for Chinese Medicine, CACMS; China Academy of Chinese Medical Sciences</t>
  </si>
  <si>
    <t>Machine learning combining external validation to explore the immunopathogenesis of diabetic foot ulcer and predict therapeutic drugs</t>
  </si>
  <si>
    <t>VENOUS LEG ULCERS; EPIDEMIOLOGY; EXPRESSION; WOUNDS; PAIN</t>
  </si>
  <si>
    <t>64</t>
  </si>
  <si>
    <t>AUG 1 2025</t>
  </si>
  <si>
    <t>e0328906</t>
  </si>
  <si>
    <t>10.1371/journal.pone.0328906</t>
  </si>
  <si>
    <t>http://dx.doi.org/10.1371/journal.pone.0328906</t>
  </si>
  <si>
    <t>5RM0U</t>
  </si>
  <si>
    <t>40749079</t>
  </si>
  <si>
    <t>WOS:001542585500034</t>
  </si>
  <si>
    <t>Huang, HI; Huang, CC; Fan, CH; Chuang, HI; Wu, KP</t>
  </si>
  <si>
    <t>Background: Preanesthetic evaluation requires clinicians to synthesize heterogeneous clinical information, yet perioperative risk communication often relies on categorical representations that do not fully capture physiologic risk. The American Society of Anesthesiologists Physical Status (ASA-PS) classification is widely used but remains subjective, with inter-rater and institutional variability. This study aimed to develop and externally validate an explainable machine learning-based framework for physiologic severity representation in preanesthetic risk assessment. Methods: A retrospective study used data from two institutions in Taiwan: a regional hospital (n = 1,200) for model development and internal validation, and a tertiary medical center (n = 113) for external validation. The target was a physiologic severity label derived from postoperative Acute Physiology and Chronic Health Evaluation II (APACHE II) scores &gt;= 12, used as a standardized reference for supervised learning. Feature selection used least absolute shrinkage and selection operator (LASSO) regression, and class imbalance was addressed using an EasyEnsemble-Light Gradient Boosting Machine (LightGBM) approach. Model performance was evaluated using the area under the receiver operating characteristic curve (AUROC), calibration analysis, and decision curve analysis (DCA). Results: The model incorporated six variables: surgical site, age, white blood cell count, heart rate, mean arterial pressure, and smoking status. In internal validation, AUROC was 0.94 (95 % CI 0.90-0.97) versus ASA-PS 0.71 (P &lt; 0.001). In external validation, AUROC was 0.88 (95 % CI 0.81-0.94) versus ASA-PS 0.76. DCA demonstrated favorable net benefit for the APACHE II-derived physiologic severity reference compared with ASA-PS across clinically relevant thresholds. SHapley Additive exPlanations (SHAP) analysis identified cases with discordant risk patterns compared with ASA-PS, illustrating individualized physiologic severity estimates beyond categorical classification. Conclusions: The proposed framework provides an externally validated, computable physiologic severity representation that complements ASA-PS-based assessment and may support consistent perioperative risk communication and preanesthetic decision support.</t>
  </si>
  <si>
    <t>Huang, Hung-, I; Huang, Chien-Chung; Fan, Chia-Hsuan; Chuang, Hsin-, I; Wu, Kun-Pin</t>
  </si>
  <si>
    <t>Wu, KP (corresponding author), Natl Yang Ming Chiao Tung Univ, Inst Biomed Informat, 155,Sec 2,Li Nong St, Taipei 112304, Taiwan.</t>
  </si>
  <si>
    <t>11244@hosp.nycu.edu.tw; cchuang.md12@nycu.edu.tw; j.x.f.ls10@nycu.edu.tw; kpwu@nycu.edu.tw; andreachuang57@gmail.com</t>
  </si>
  <si>
    <t>National Science and Technology Council (NSTC) , Taiwan [NSTC-113-2221-E-A49-167-MY3]</t>
  </si>
  <si>
    <t>National Science and Technology Council (NSTC) , Taiwan (National Science &amp; Technology Council (NSTC) Taiwan)</t>
  </si>
  <si>
    <t>This work was supported by the National Science and Technology Council (NSTC) , Taiwan (Grant No. NSTC-113-2221-E-A49-167-MY3) , awarded to K. P. Wu. The Funding source had no role in the study design, data collection, analysis, interpretation, or manuscript preparation.</t>
  </si>
  <si>
    <t>[Huang, Hung-, I; Huang, Chien-Chung; Fan, Chia-Hsuan; Wu, Kun-Pin] Natl Yang Ming Chiao Tung Univ, Inst Biomed Informat, 155,Sec 2,Li Nong St, Taipei 112304, Taiwan; [Huang, Hung-, I] Natl Yang Ming Chiao Tung Univ Hosp, Dept Ophthalmol, 169 Xiaoshe Rd, Yilan 26058, Taiwan; [Huang, Chien-Chung] Mackay Mem Hosp, Dept Anesthesiol, 92,Sec 2,Zhongshan N Rd, Taipei 104217, Taiwan; [Chuang, Hsin-, I] Taipei Vet Gen Hosp, Dept Med Educ, 201,Sec 2,Shipai Rd, Taipei 112201, Taiwan; [Wu, Kun-Pin] Natl Yang Ming Chiao Tung Univ, PhD Program Interdisciplinary Med, 155,Sec 2,Li Nong St, Taipei 112304, Taiwan</t>
  </si>
  <si>
    <t>National Yang Ming Chiao Tung University; Mackay Memorial Hospital; Taipei Veterans General Hospital; National Yang Ming Chiao Tung University</t>
  </si>
  <si>
    <t>An explainable machine learning framework for computable physiologic risk representation in preanesthetic assessment: Development and external validation</t>
  </si>
  <si>
    <t>INTERNATIONAL JOURNAL OF MEDICAL INFORMATICS</t>
  </si>
  <si>
    <t>ASA physical status; Preanesthetic assessment; Machine learning; Clinical decision support; ExplainableAI; Predictive modeling</t>
  </si>
  <si>
    <t>ANESTHESIA; MORTALITY</t>
  </si>
  <si>
    <t>1386-5056</t>
  </si>
  <si>
    <t>1872-8243</t>
  </si>
  <si>
    <t>INT J MED INFORM</t>
  </si>
  <si>
    <t>Int. J. Med. Inform.</t>
  </si>
  <si>
    <t>OCT 2026</t>
  </si>
  <si>
    <t>219</t>
  </si>
  <si>
    <t>106575</t>
  </si>
  <si>
    <t>10.1016/j.ijmedinf.2026.106575</t>
  </si>
  <si>
    <t>http://dx.doi.org/10.1016/j.ijmedinf.2026.106575</t>
  </si>
  <si>
    <t>Computer Science, Information Systems; Health Care Sciences &amp; Services; Medical Informatics</t>
  </si>
  <si>
    <t>Computer Science; Health Care Sciences &amp; Services; Medical Informatics</t>
  </si>
  <si>
    <t>KQ1TB</t>
  </si>
  <si>
    <t>42364468</t>
  </si>
  <si>
    <t>WOS:001812964700001</t>
  </si>
  <si>
    <t>Cao, J; Kang, BY; Li, SS; Lei, Y; Liu, D; Li, CM; Guo, W; Zhang, BH; Xie, XY</t>
  </si>
  <si>
    <t>BackgroundChronic Obstructive Pulmonary Disease (COPD) and Heart Failure with preserved Ejection Fraction (HFpEF) frequently coexist, leading to increased hospitalization, mortality, and healthcare burden. Early identification of HFpEF risk in COPD patients is critical for timely intervention.AimTo develop and validate an interpretable machine learning (ML) model for predicting HFpEF risk in COPD patients and to identify key predictors using explainable artificial intelligence techniques.MethodsThis retrospective study analyzed 1,550 COPD patients, divided into COPD-only and COPD-HFpEF groups. Feature selection was performed using LASSO regression, logistic regression, and Boruta random forest. Ten ML models were developed and evaluated on an internal test set, with the best model further validated on an external cohort (n = 69). Model interpretability was assessed using SHapley Additive exPlanations (SHAP).ResultsNine predictors were consistently selected: NT-proBNP, red blood cell count, fibrinogen, cholesterol, arterial PaO2, inspiratory capacity (IC), IC% predicted, late diastolic mitral inflow velocity (A wave), and CAT score. The XGBoost model achieved the best performance, with an AUC of 0.898 (95% CI: 0.867-0.929) on the internal test set and 0.819 (95%CI: 0.713 - 0.924) on external validation. SHAP analysis identified NT-proBNP as the most influential predictor.ConclusionThe developed XGBoost model accurately predicts HFpEF risk in COPD patients and offers clinically interpretable insights into key predictive markers, supporting early identification and stratified management.</t>
  </si>
  <si>
    <t>Cao, Jing; Kang, Boyu; Li, Shuangshuang; Lei, Yan; Liu, Dan; Li, Chunmei; Guo, Wei; Zhang, Binghua; Xie, Xiaoyan</t>
  </si>
  <si>
    <t>Guo, W; Zhang, BH; Xie, XY (corresponding author), Fourth Mil Med Univ, Xijing Hosp 986, Dept Pulm &amp; Crit Care Med, Xian 710054, Shaanxi, Peoples R China.</t>
  </si>
  <si>
    <t>3455434521@qq.com; reszbh986@fmmu.edu.cn; 465549513@qq.com</t>
  </si>
  <si>
    <t>Shaanxi Provincial Key Research and Development Program [grant no. 2022SF-517]</t>
  </si>
  <si>
    <t>Shaanxi Provincial Key Research and Development Program</t>
  </si>
  <si>
    <t>This study was supported by the Shaanxi Provincial Key Research and Development Program (grant no. 2022SF-517).</t>
  </si>
  <si>
    <t>[Cao, Jing; Li, Shuangshuang; Lei, Yan; Liu, Dan; Guo, Wei; Zhang, Binghua; Xie, Xiaoyan] Fourth Mil Med Univ, Xijing Hosp 986, Dept Pulm &amp; Crit Care Med, Xian 710054, Shaanxi, Peoples R China; [Kang, Boyu] Fourth Mil Med Univ, Affiliated Hosp Digest Dis 1, Dept Digest Surg, Xian 710054, Shaanxi, Peoples R China; [Kang, Boyu] Fourth Mil Med Univ, Affiliated Hosp 1, Natl Clin Res Ctr Digest Dis, State Key Lab Holist Integrat Management Gastroint, Xian 710054, Shaanxi, Peoples R China; [Li, Chunmei] Xian Med Univ, Affiliated Hosp 3, Dept Pulm &amp; Crit Care Med, Xian 710054, Shaanxi, Peoples R China</t>
  </si>
  <si>
    <t>Air Force Medical University; Air Force Medical University; Air Force Medical University; Xi'an Medical University</t>
  </si>
  <si>
    <t>Development and external validation of an interpretable machine-learning model for HFpEF comorbidity risk in COPD patients</t>
  </si>
  <si>
    <t>RESPIRATORY RESEARCH</t>
  </si>
  <si>
    <t>COPD; HFpEF; Machine learning; Risk prediction model; Comorbidity</t>
  </si>
  <si>
    <t>OBSTRUCTIVE PULMONARY-DISEASE; HEART-FAILURE</t>
  </si>
  <si>
    <t>1465-993X</t>
  </si>
  <si>
    <t>RESP RES</t>
  </si>
  <si>
    <t>Respir. Res.</t>
  </si>
  <si>
    <t>MAY 8 2026</t>
  </si>
  <si>
    <t>267</t>
  </si>
  <si>
    <t>10.1186/s12931-026-03711-5</t>
  </si>
  <si>
    <t>http://dx.doi.org/10.1186/s12931-026-03711-5</t>
  </si>
  <si>
    <t>KK7DJ</t>
  </si>
  <si>
    <t>42104441</t>
  </si>
  <si>
    <t>WOS:001809255100001</t>
  </si>
  <si>
    <t>gold; Green Accepted; Green Submitted</t>
  </si>
  <si>
    <t>Tang, T; Wang, SW; Cai, SZY; Hu, Y</t>
  </si>
  <si>
    <t>Introduction As populations age and the prevalence of osteoporosis (OP) increases, osteoporotic fractures substantially raise disability and mortality and impose growing economic burdens, threatening health and quality of life. This study aimed to develop and externally validate a reliable, practical machine learning model to predict OP in older women using routine clinical test results and comorbidity data.Methods We retrospectively assembled an internal dataset from NHANES (2003-2020) and randomly split it 70:30 into training and test sets. An external cohort from a Chinese tertiary hospital was used for validation. Predictors were selected using LASSO in the training set. Five algorithms (XGBoost, SVM, RF, LightGBM, and Naive Bayes) were tuned, and model performance was evaluated on the test set and in the external cohort. Calibration curves and decision curve analysis (DCA) were used to assess calibration and clinical net benefit. Feature contributions were quantified with Shapley additive explanations (SHAP).Results Among 3,950 women in the internal dataset, 833 (21.1%) had OP; in the external cohort (n=338), 167 (49.4%) had OP. SHAP ranked predictors (high to low) as: age, drinking, diabetes, eGFR, HbA1c, BMI, HDL, TG, BUN, and TBIL. After hyperparameter tuning, RF achieved an AUC of 0.805 in the internal test set and 0.740 in the external cohort; in the internal test set, accuracy was 0.82, precision 0.83, and specificity 0.97. Calibration was acceptable, and DCA indicated clinical utility across relevant thresholds.Conclusion A random forest model using readily available clinical data predicts osteoporosis risk in older women with robust internal and external performance. The deployed model outputs calibrated probabilities at the patient level, provides case level explanations using SHAP, and supports dynamic rescoring as new routine results become available, enabling individualized risk management in routine care.</t>
  </si>
  <si>
    <t>Tang, Tian; Wang, Shiwen; Cai, Shengziyi; Hu, Yun</t>
  </si>
  <si>
    <t>Hu, Y (corresponding author), Nanjing Univ Chinese Med, Nanjing Drum Tower Hosp, Nanjing Drum Tower Clin Coll, Dept Geriatr, Nanjing, Peoples R China.</t>
  </si>
  <si>
    <t>huyundr@sina.com</t>
  </si>
  <si>
    <t>[Tang, Tian; Hu, Yun] Nanjing Univ Chinese Med, Nanjing Drum Tower Hosp, Nanjing Drum Tower Clin Coll, Dept Geriatr, Nanjing, Peoples R China; [Wang, Shiwen; Cai, Shengziyi] Nanjing Med Univ, Nanjing Drum Tower Hosp, Nanjing Drum Tower Clin Med Coll, Dept Geriatr, Nanjing, Peoples R China</t>
  </si>
  <si>
    <t>Nanjing University; Nanjing University of Chinese Medicine; Nanjing Medical University; Nanjing University</t>
  </si>
  <si>
    <t>Development and external validation of models to improve prediction of osteoporosis in elderly women: interpretable machine learning</t>
  </si>
  <si>
    <t>diabetes mellitus; elderly women; machine learning; osteoporosis; predictive model</t>
  </si>
  <si>
    <t>JAN 9 2026</t>
  </si>
  <si>
    <t>1719698</t>
  </si>
  <si>
    <t>10.3389/fendo.2025.1719698</t>
  </si>
  <si>
    <t>http://dx.doi.org/10.3389/fendo.2025.1719698</t>
  </si>
  <si>
    <t>CJ4VD</t>
  </si>
  <si>
    <t>41585803</t>
  </si>
  <si>
    <t>WOS:001667251100001</t>
  </si>
  <si>
    <t>Clift, AK; Dodwell, D; Lord, S; Petrou, S; Brady, M; Collins, GS; Hippisley-Cox, J</t>
  </si>
  <si>
    <t>OBJECTIVE To develop a clinically useful model that estimates the 10 year risk of breast cancer related mortality in women (self-reported female sex) with breast cancer of any stage, comparing results from regression and machine learning approaches.DESIGN Population based cohort study.SETTING QResearch primary care database in England, with individual level linkage to the national cancer registry, Hospital Episodes Statistics, and national mortality registers.PARTICIPANTS 141 765 women aged 20 years and older with a diagnosis of invasive breast cancer between 1 January 2000 and 31 December 2020.MAIN OUTCOME MEASURES Four model building strategies comprising two regression (Cox proportional hazards and competing risks regression) and two machine learning (XGBoost and an artificial neural network) approaches. Internal-external cross validation was used for model evaluation. Random effects meta-analysis that pooled estimates of discrimination and calibration metrics, calibration plots, and decision curve analysis were used to assess model performance, transportability, and clinical utility.RESULTS During a median 4.16 years (interquartile range 1.76-8.26) of follow-up, 21 688 breast cancer related deaths and 11 454 deaths from other causes occurred. Restricting to 10 years maximum follow-up from breast cancer diagnosis, 20 367 breast cancer related deaths occurred during a total of 688 564.81 person years. The crude breast cancer mortality rate was 295.79 per 10 000 person years (95% confidence interval 291.75 to 299.88). Predictors varied for each regression model, but both Cox and competing risks models included age at diagnosis, body mass index, smoking status, route to diagnosis, hormone receptor status, cancer stage, and grade of breast cancer. The Cox model's random effects meta-analysis pooled estimate for Harrell's C index was the highest of any model at 0.858 (95% confidence interval 0.853 to 0.864, and 95% prediction interval 0.843 to 0.873). It appeared acceptably calibrated on calibration plots. The competing risks regression model had good discrimination: pooled Harrell's C index 0.849 (0.839 to 0.859, and 0.821 to 0.876, and evidence of systematic miscalibration on summary metrics was lacking. The machine learning models had acceptable discrimination overall (Harrell's C index: XGBoost 0.821 (0.813 to 0.828, and 0.805 to 0.837); neural network 0.847 (0.835 to 0.858, and 0.816 to 0.878)), but had more complex patterns of miscalibration and more variable regional and stage specific performance. Decision curve analysis suggested that the Cox and competing risks regression models tested may have higher clinical utility than the two machine learning approaches.CONCLUSION In women with breast cancer of any stage, using the predictors available in this dataset, regression based methods had better and more consistent performance compared with machine learning approaches and may be worthy of further evaluation for potential clinical use, such as for stratified follow-up.</t>
  </si>
  <si>
    <t>Clift, Ash Kieran; Dodwell, David; Lord, Simon; Petrou, Stavros; Brady, Michael; Collins, Gary S.; Hippisley-Cox, Julia</t>
  </si>
  <si>
    <t>Clift, AK (corresponding author), Canc Res UK Oxford Ctr, Oxford, England.; Clift, AK (corresponding author), Univ Oxford, Nuffield Dept Primary Care Hlth Sci, Radcliffe Observ Quarter, Radcliffe Primary Care Bldg, Oxford OX2 6GG, England.</t>
  </si>
  <si>
    <t>ashley.clift@phc.ox.ac.uk</t>
  </si>
  <si>
    <t>Cancer Research UK [C2195/A31310, C8225/A21133, C49297/A27294, C5255/A18085]; National Institute for Health and Care Research (NIHR) Biomedical Research Centre; NIHR [NF-SI-0616-10103]; NIHR Applied Research Collaboration Oxford and Thames Valley; National Institute for Health Research [NF-SI-0616-10103] Funding Source: researchfish</t>
  </si>
  <si>
    <t>Cancer Research UK (Cancer Research UK); National Institute for Health and Care Research (NIHR) Biomedical Research Centre; NIHR (National Institutes of Health Research (NIHR)); NIHR Applied Research Collaboration Oxford and Thames Valley; National Institute for Health Research (National Institutes of Health Research (NIHR))</t>
  </si>
  <si>
    <t>This project was funded through a Clinical Research Training Fellowship awarded to AKC by Cancer Research UK (C2195/A31310). We also acknowledge personal grant support from Cancer Research UK: C8225/A21133 to DD, C49297/A27294 to GSC, C5255/A18085 to JHC; and the National Institute for Health and Care Research (NIHR) Biomedical Research Centre. SP receives support as an NIHR senior investigator (NF-SI-0616-10103), and from the NIHR Applied Research Collaboration Oxford and Thames Valley. The funders had no role in considering the study design or in the collection, analysis, interpretation of data, writing of the report, or decision to submit the article for publication.</t>
  </si>
  <si>
    <t>[Clift, Ash Kieran] Canc Res UK Oxford Ctr, Oxford, England; [Clift, Ash Kieran; Petrou, Stavros; Hippisley-Cox, Julia] Univ Oxford, Nuffield Dept Primary Care Hlth Sci, Radcliffe Observ Quarter, Radcliffe Primary Care Bldg, Oxford OX2 6GG, England; [Dodwell, David] Univ Oxford, Nuffield Dept Populat Hlth, Oxford, England; [Lord, Simon; Brady, Michael] Univ Oxford, Dept Oncol, Oxford, England; [Collins, Gary S.] Univ Oxford, Nuffield Dept Orthopaed Rheumatol &amp; Musculoskelet, Ctr Stat Med, Oxford, England</t>
  </si>
  <si>
    <t>University of Oxford; University of Oxford; University of Oxford; University of Oxford</t>
  </si>
  <si>
    <t>Development and internal-external validation of statistical and machine learning models for breast cancer prognostication: cohort study</t>
  </si>
  <si>
    <t>BMJ-BRITISH MEDICAL JOURNAL</t>
  </si>
  <si>
    <t>CLINICAL-PREDICTION; RISK; CALIBRATION; FRAMEWORK; DECISION; TOOL</t>
  </si>
  <si>
    <t>Hippisley-Cox, Julia/AAY-2788-2020; Collins, Gary/A-2258-2014; Petrou, Stavros/ABD-8323-2021</t>
  </si>
  <si>
    <t>Hippisley-Cox, Julia/0000-0002-2479-7283; Collins, Gary/0000-0002-2772-2316</t>
  </si>
  <si>
    <t>97</t>
  </si>
  <si>
    <t>0959-535X</t>
  </si>
  <si>
    <t>1756-1833</t>
  </si>
  <si>
    <t>BMJ-BRIT MED J</t>
  </si>
  <si>
    <t>BMJ-British Medical Journal</t>
  </si>
  <si>
    <t>MAY 10 2023</t>
  </si>
  <si>
    <t>381</t>
  </si>
  <si>
    <t>e073800</t>
  </si>
  <si>
    <t>10.1136/bmj-2022-073800</t>
  </si>
  <si>
    <t>http://dx.doi.org/10.1136/bmj-2022-073800</t>
  </si>
  <si>
    <t>X6JD0</t>
  </si>
  <si>
    <t>37164379</t>
  </si>
  <si>
    <t>WOS:001099483300002</t>
  </si>
  <si>
    <t>Lip, W; Sup, CY; Meulenbeld, A; Jagirdar, H; Janssen, MP; Swanevelder, R; Bruhn, R; Kaidarova, Z; Bravo, M; Cao, S; Custer, B; van den Berg, K; Russell, WA</t>
  </si>
  <si>
    <t>Background Machine-learning models directly predicting iron biomarkers after blood donation could help to manage donation-associated iron deficiency and avoid low haemoglobin deferrals. No such models have been externally validated internationally. Our aim was to develop and externally validate machine-learning models predicting returning blood donors' haemoglobin and ferritin. Methods We developed machine-learning models using retrospective blood donation data. The training cohort included 2425 repeat donors (2007-09 US-based RISE study); external validation used 2014-23 cohorts from the USA, South Africa, and the Netherlands. Models predicted donors' ferritin and haemoglobin at return donations by use variables that are commonly measured by blood collectors (time until donors return, donation history, demographics, and baseline iron biomarkers). Models were selected via cross-validation and externally validated in donors aged least 15 years in two contexts: those with baseline ferritin and haemoglobin measured (haemoglobin and ferritin) and those with only baseline haemoglobin measured (haemoglobin only). Model performance was assessed by use root-mean-square percentage error (RMSPE). Findings When predicting return haemoglobin in the RISE cohort, model performance was similar in the haemoglobin and ferritin dataset (n=2625 donation visits, RMSPE=6&lt;middle dot&gt;78) and haemoglobin only dataset (n=3488 donation visits, RMSPE=6&lt;middle dot&gt;78). In the external datasets, containing 11 000 to 514 000 donations, RMSPE never increased more than 8%. When predicting return ferritin in RISE, performance was better in the haemoglobin and ferritin dataset (RMSPE=14&lt;middle dot&gt;9) than in the haemoglobin only dataset (RMSPE=27&lt;middle dot&gt;4). In external validation, RMSPE never increased more than 0&lt;middle dot&gt;4% and 28% in the haemoglobin-only datasets and the haemoglobin and ferritin datasets, respectively. Interpretation Machine-learning models predicting haemoglobin and ferritin at return donations generalised well across diverse settings and could enable individualised approaches to manage iron deficiency while maintaining sufficient blood supply.</t>
  </si>
  <si>
    <t>Lip, Wanjin; Sup, Chen-Yang; Meulenbeld, Amber; Jagirdar, Huzbah; Janssen, Mart P.; Swanevelder, Ronel; Bruhn, Roberta; Kaidarova, Zhanna; Bravo, Marjorie; Cao, Sophie; Custer, Brian; van den Berg, Karin; Russell, W. Alton</t>
  </si>
  <si>
    <t>Russell, WA (corresponding author), McGill Univ, Montreal, PQ H3A 1G1, Canada.</t>
  </si>
  <si>
    <t>alton.russell@mcgill.ca</t>
  </si>
  <si>
    <t>Association for the Advancement of Blood and Biotherapies</t>
  </si>
  <si>
    <t>The Association for the Advancement of Blood and Biotherapies.</t>
  </si>
  <si>
    <t>[Lip, Wanjin; Jagirdar, Huzbah; Russell, W. Alton] McGill Sch Populat &amp; Global Hlth, Dept Epidemiol Biostat &amp; Occupat Hlth, Montreal, PQ, Canada; [Sup, Chen-Yang] McGill Univ, Quantitat Life Sci, Montreal, PQ, Canada; [Meulenbeld, Amber] Donor Hlth, Sanquin Blood Supply Fdn, Dept Res, Amsterdam, Netherlands; [Meulenbeld, Amber] Univ Amsterdam, Dept Publ &amp; Occupat Hlth, Amsterdam, Netherlands; [Meulenbeld, Amber] Amsterdam UMC, Amsterdam Publ Hlth Res Inst, Amsterdam, Netherlands; [Janssen, Mart P.] Sanquin Blood Supply Fdn, Dept Res, Transfus Technol Assessment, Amsterdam, Netherlands; [Swanevelder, Ronel; van den Berg, Karin] South Africa Natl Blood Serv, Johannesburg, South Africa; [Bruhn, Roberta; Kaidarova, Zhanna; Custer, Brian] Vitalant Res Inst, San Francisco, CA USA; [Bravo, Marjorie] Vitalant, Scottsdale, AZ USA; [Cao, Sophie] McGill Univ, Sch Comp Sci, Montreal, PQ, Canada; [Custer, Brian] Univ Calif San Francisco, Dept Lab Med, San Francisco, CA USA; [van den Berg, Karin] Univ Free State, Dept Internal Med, Bloemfontein, South Africa</t>
  </si>
  <si>
    <t>McGill University; University of Amsterdam; University of Amsterdam; Vrije Universiteit Amsterdam; Vitalant; Vitalant Research Institute; Vitalant; McGill University; University of California System; University of California San Francisco; University of the Free State</t>
  </si>
  <si>
    <t>Machine-learning models to predict iron recovery after blood donation: a model development and external validation study</t>
  </si>
  <si>
    <t>LANCET HAEMATOLOGY</t>
  </si>
  <si>
    <t>DONORS; DEFICIENCY; INTERVAL; FERRITIN</t>
  </si>
  <si>
    <t>Su, Chen-Yang/NPJ-3078-2025; Bruhn, Roberta/GPS-4534-2022; Meulenbeld, Amber/HLX-0851-2023</t>
  </si>
  <si>
    <t>Su, Chen-Yang/0000-0001-6071-4660</t>
  </si>
  <si>
    <t>2352-3026</t>
  </si>
  <si>
    <t>LANCET HAEMATOL</t>
  </si>
  <si>
    <t>Lancet Haematol.</t>
  </si>
  <si>
    <t>e431</t>
  </si>
  <si>
    <t>e441</t>
  </si>
  <si>
    <t>10.1016/S2352-3026(25)00068-7</t>
  </si>
  <si>
    <t>http://dx.doi.org/10.1016/S2352-3026(25)00068-7</t>
  </si>
  <si>
    <t>Hematology</t>
  </si>
  <si>
    <t>3MB9U</t>
  </si>
  <si>
    <t>40447352</t>
  </si>
  <si>
    <t>WOS:001503595800008</t>
  </si>
  <si>
    <t>de Vries, CF; Lip, G; Staff, RT; Dymiter, JA; Tse, B; Ng, A; Fox, G; Oberije, C; Anderson, LA</t>
  </si>
  <si>
    <t>Artificial intelligence (AI) tools can improve breast screening performance but different screening sites have varying needs. Here the GEMINI prospective evaluation of 10,889 women, within one UK region, used both live AI integration and simulations to model 17 different ways AI could be used in breast screening. All women received routine care. One AI tool was assessed. When the AI tool recommended recall but routine double reading did not, cases underwent additional human review, detecting 11 additional cancers. The primary AI workflow could improve cancer detection by 10.4% (1 per 1,000), maintain the recall rate (0.8% reduction) and reduce workload by up to 31%. Other workflow variations significantly improved all measured metrics (superiority in cancer detection rate, recall rate, positive predictive value (PPV), sensitivity and specificity) with up to 36% workload savings. Different AI integrations in breast screening could offer various clinical and operational gains, allowing for adaptation to local healthcare needs.</t>
  </si>
  <si>
    <t>de Vries, Clarisse Florence; Lip, Gerald; Staff, Roger Todd; Dymiter, Jaroslaw Artur; Tse, Benjamin; Ng, Annie; Fox, Georgia; Oberije, Cary; Anderson, Lesley Ann</t>
  </si>
  <si>
    <t>de Vries, CF (corresponding author), Univ Glasgow, Sch Hlth &amp; Wellbeing, Glasgow Lab Data Sci &amp; AI Publ Hlth, Glasgow, Scotland.</t>
  </si>
  <si>
    <t>clarisse.devries@glasgow.ac.uk</t>
  </si>
  <si>
    <t>https://transform.england.nhs.uk/ai-lab/ai-lab-programmes/ai-health-and-care-award/</t>
  </si>
  <si>
    <t>This study was funded by the NHS AI in Health and Social Care Award (reference no. C25049). We thank the following groups and individuals for their contribution to the GEMINI study evaluation: the women for their participation in this evaluation; screening colleagues who contributed to the success of this study, including D. Basko, N. Gowdh, A. Dewar, P. Hendry, M. Cumming and S. Philip, and the remainder of the North East of Scotland Breast Screening Service mammography and administrative staff; M. Boyle (University of Aberdeen) for her contribution to the project management of the study; the DaSH facility within the Aberdeen Centre for Health Data Science; the associated financial support of the University of Aberdeen and NHS Research Scotland (through NHS Grampian investment in DaSH); W.-L. Sung (University of Aberdeen) for providing the graphic design of the GEMINI evaluation diagram and giving their permission for this work to be adapted and used for publication; D. Proud (NHS National Services Scotland) for chairing the GEMINI project board; the North of Scotland Innovation Hub for project management; and members of the Kheiron Medical Technologies Ltd. team involved in the setup and ongoing support of the GEMINI evaluation.</t>
  </si>
  <si>
    <t>[de Vries, Clarisse Florence] Univ Glasgow, Sch Hlth &amp; Wellbeing, Glasgow Lab Data Sci &amp; AI Publ Hlth, Glasgow, Scotland; [Lip, Gerald; Staff, Roger Todd; Tse, Benjamin] Natl Hlth Serv Grampian, Aberdeen, Scotland; [Dymiter, Jaroslaw Artur] Univ Aberdeen, Grampian Data Safe Haven DaSH, Aberdeen, Scotland; [Ng, Annie] DeepHlth Inc, Somerville, MA USA; [Fox, Georgia; Oberije, Cary] Kheiron Med Technol Ltd, London, England; [Anderson, Lesley Ann] Univ Aberdeen, Inst Appl Hlth Sci, Sch Med Med Sci &amp; Nutr, Biostat &amp; Hlth Data Sci, Aberdeen, Scotland; [Anderson, Lesley Ann] Univ Aberdeen, Interdisciplinary Inst, Aberdeen, Scotland</t>
  </si>
  <si>
    <t>University of Glasgow; University of Aberdeen; University of Aberdeen; University of Aberdeen</t>
  </si>
  <si>
    <t>Prospective evaluation of artificial intelligence integration into breast cancer screening in multiple workflow settings: the GEMINI study</t>
  </si>
  <si>
    <t>NATURE CANCER</t>
  </si>
  <si>
    <t>Oberije, Cary/ABA-6178-2020; Anderson, Lesley/JXM-6568-2024</t>
  </si>
  <si>
    <t>Ng, Annie/0000-0002-0016-2275; Anderson, Lesley/0000-0002-1000-3649</t>
  </si>
  <si>
    <t>2662-1347</t>
  </si>
  <si>
    <t>NAT CANCER</t>
  </si>
  <si>
    <t>Nat. Cancer</t>
  </si>
  <si>
    <t>10.1038/s43018-026-01126-1</t>
  </si>
  <si>
    <t>http://dx.doi.org/10.1038/s43018-026-01126-1</t>
  </si>
  <si>
    <t>Oncology</t>
  </si>
  <si>
    <t>FX1BI</t>
  </si>
  <si>
    <t>41807817</t>
  </si>
  <si>
    <t>WOS:001711488100001</t>
  </si>
  <si>
    <t>hybrid; Green Submitted; Green Accepted</t>
  </si>
  <si>
    <t>Fang, C; Wang, Y; Grater, R; Kapadnis, S; Black, C; Trapa, P; Sciabola, S</t>
  </si>
  <si>
    <t>Absorption, distribution, metabolism, and excretion (ADME),whichcollectively define the concentration profile of a drug at the siteof action, are of critical importance to the success of a drug candidate.Recent advances in machine learning algorithms and the availabilityof larger proprietary as well as public ADME data sets have generatedrenewed interest within the academic and pharmaceutical science communitiesin predicting pharmacokinetic and physicochemical endpoints in earlydrug discovery. In this study, we collected 120 internal prospectivedata sets over 20 months across six ADME in vitro endpoints: humanand rat liver microsomal stability, MDR1-MDCK efflux ratio, solubility,and human and rat plasma protein binding. A variety of machine learningalgorithms in combination with different molecular representationswere evaluated. Our results suggest that gradient boosting decisiontree and deep learning models consistently outperformed random forestover time. We also observed better performance when models were retrainedon a fixed schedule, and the more frequent retraining generally resultedin increased accuracy, while hyperparameters tuning only improvedthe prospective predictions marginally.</t>
  </si>
  <si>
    <t>Fang, Cheng; Wang, Ye; Grater, Richard; Kapadnis, Sudarshan; Black, Cheryl; Trapa, Patrick; Sciabola, Simone</t>
  </si>
  <si>
    <t>Sciabola, S (corresponding author), Biogen, Med Chem, Cambridge, MA 02142 USA.</t>
  </si>
  <si>
    <t>simone.sciabola@biogen.com</t>
  </si>
  <si>
    <t>[Fang, Cheng; Wang, Ye; Sciabola, Simone] Biogen, Med Chem, Cambridge, MA 02142 USA; [Fang, Cheng] Blueprint Med, Cambridge, MA 02139 USA; [Grater, Richard; Kapadnis, Sudarshan; Black, Cheryl; Trapa, Patrick] Biogen, DMPK, Cambridge, MA 02142 USA</t>
  </si>
  <si>
    <t>Biogen; Biogen</t>
  </si>
  <si>
    <t>Prospective Validation of Machine Learning Algorithms for Absorption, Distribution, Metabolism, and Excretion Prediction: An Industrial Perspective</t>
  </si>
  <si>
    <t>JOURNAL OF CHEMICAL INFORMATION AND MODELING</t>
  </si>
  <si>
    <t>IN-VIVO ADME; RANDOM FOREST; DRUG; PHARMACOKINETICS; QUALITY; TOOL</t>
  </si>
  <si>
    <t>Wang, Ye/ADN-5841-2022; Kapadnis, Sudarshan/HPI-0001-2023; Fang, Cheng/B-6718-2016</t>
  </si>
  <si>
    <t>Wang, Ye/0000-0001-5274-2928; Kapadnis, Sudarshan/0009-0001-2717-7442; Fang, Cheng/0000-0002-9767-2043</t>
  </si>
  <si>
    <t>AMER CHEMICAL SOC</t>
  </si>
  <si>
    <t>1155 16TH ST, NW, WASHINGTON, DC 20036 USA</t>
  </si>
  <si>
    <t>1549-9596</t>
  </si>
  <si>
    <t>1549-960X</t>
  </si>
  <si>
    <t>J CHEM INF MODEL</t>
  </si>
  <si>
    <t>J. Chem Inf. Model.</t>
  </si>
  <si>
    <t>MAY 22 2023</t>
  </si>
  <si>
    <t>3263</t>
  </si>
  <si>
    <t>3274</t>
  </si>
  <si>
    <t>10.1021/acs.jcim.3c00160</t>
  </si>
  <si>
    <t>http://dx.doi.org/10.1021/acs.jcim.3c00160</t>
  </si>
  <si>
    <t>Chemistry, Medicinal; Chemistry, Multidisciplinary; Computer Science, Information Systems; Computer Science, Interdisciplinary Applications</t>
  </si>
  <si>
    <t>Pharmacology &amp; Pharmacy; Chemistry; Computer Science</t>
  </si>
  <si>
    <t>K7KI7</t>
  </si>
  <si>
    <t>37216672</t>
  </si>
  <si>
    <t>WOS:001022649400001</t>
  </si>
  <si>
    <t>Tariq, Q; Daniels, J; Schwartz, JN; Washington, P; Kalantarian, H; Wall, DP</t>
  </si>
  <si>
    <t>BackgroundThe standard approaches to diagnosing autism spectrum disorder (ASD) evaluate between 20 and 100 behaviors and take several hours to complete. This has in part contributed to long wait times for a diagnosis and subsequent delays in access to therapy. We hypothesize that the use of machine learning analysis on home video can speed the diagnosis without compromising accuracy. We have analyzed item-level records from 2 standard diagnostic instruments to construct machine learning classifiers optimized for sparsity, interpretability, and accuracy. In the present study, we prospectively test whether the features from these optimized models can be extracted by blinded nonexpert raters from 3-minute home videos of children with and without ASD to arrive at a rapid and accurate machine learning autism classification.Methods and findingsWe created a mobile web portal for video raters to assess 30 behavioral features (e.g., eye contact, social smile) that are used by 8 independent machine learning models for identifying ASD, each with &gt;94% accuracy in cross-validation testing and subsequent independent validation from previous work. We then collected 116 short home videos of children with autism (mean age = 4 years 10 months, SD = 2 years 3 months) and 46 videos of typically developing children (mean age = 2 years 11 months, SD = 1 year 2 months). Three raters blind to the diagnosis independently measured each of the 30 features from the 8 models, with a median time to completion of 4 minutes. Although several models (consisting of alternating decision trees, support vector machine [SVM], logistic regression (LR), radial kernel, and linear SVM) performed well, a sparse 5-feature LR classifier (LR5) yielded the highest accuracy (area under the curve [AUC]: 92% [95% CI 88%-97%]) across all ages tested. We used a prospectively collected independent validation set of 66 videos (33 ASD and 33 nonASD) and 3 independent rater measurements to validate the outcome, achieving lower but comparable accuracy (AUC: 89% [95% CI 81%-95%]). Finally, we applied LR to the 162-video-feature matrix to construct an 8-feature model, which achieved 0.93 AUC (95% CI 0.90-0.97) on the held-out test set and 0.86 on the validation set of 66 videos. Validation on children with an existing diagnosis limited the ability to generalize the performance to undiagnosed populations.ConclusionsThese results support the hypothesis that feature tagging of home videos for machine learning classification of autism can yield accurate outcomes in short time frames, using mobile devices. Further work will be needed to confirm that this approach can accelerate autism diagnosis at scale.</t>
  </si>
  <si>
    <t>Tariq, Qandeel; Daniels, Jena; Schwartz, Jessey Nicole; Washington, Peter; Kalantarian, Haik; Wall, Dennis Paul</t>
  </si>
  <si>
    <t>Wall, DP (corresponding author), Stanford Univ, Dept Pediat, Div Syst Med, Stanford, CA 94305 USA.; Wall, DP (corresponding author), Stanford Univ, Dept Biomed Data Sci, Stanford, CA 94305 USA.</t>
  </si>
  <si>
    <t>dpwall@stanford.edu</t>
  </si>
  <si>
    <t>NIH [1R01EB025025-01, 1R21HD091500-01]; Hartwell Foundation; Bill and Melinda Gates Foundation; Coulter Foundation; Lucile Packard Foundation; Stanford University's Human Centered Artificial Intelligence Program; Precision Health and Integrated Diagnostics Center (PHIND); Beckman Center; Bio-X Center; Predictives and Diagnostics Accelerator; Child Health Research Institute</t>
  </si>
  <si>
    <t>NIH (United States Department of Health &amp; Human Services, National Institutes of Health (NIH) - USA); Hartwell Foundation; Bill and Melinda Gates Foundation (Bill &amp; Melinda Gates Foundation); Coulter Foundation; Lucile Packard Foundation (The David &amp; Lucile Packard Foundation); Stanford University's Human Centered Artificial Intelligence Program; Precision Health and Integrated Diagnostics Center (PHIND); Beckman Center; Bio-X Center; Predictives and Diagnostics Accelerator; Child Health Research Institute</t>
  </si>
  <si>
    <t>The work was supported in part by funds to DPW from NIH (1R01EB025025-01 &amp; 1R21HD091500-01), The Hartwell Foundation, Bill and Melinda Gates Foundation, Coulter Foundation, Lucile Packard Foundation, and program grants from Stanford University's Human Centered Artificial Intelligence Program, Precision Health and Integrated Diagnostics Center (PHIND), Beckman Center, Bio-X Center, Predictives and Diagnostics Accelerator, and the Child Health Research Institute. We also received philanthropic support from Bobby Dekesyer and Peter Sullivan. No funding bodies had any role in study design, data collection and analysis, decision to publish, or preparation of the manuscript.</t>
  </si>
  <si>
    <t>[Tariq, Qandeel; Daniels, Jena; Schwartz, Jessey Nicole; Washington, Peter; Kalantarian, Haik; Wall, Dennis Paul] Stanford Univ, Dept Pediat, Div Syst Med, Stanford, CA 94305 USA; [Tariq, Qandeel; Daniels, Jena; Schwartz, Jessey Nicole; Washington, Peter; Kalantarian, Haik; Wall, Dennis Paul] Stanford Univ, Dept Biomed Data Sci, Stanford, CA 94305 USA</t>
  </si>
  <si>
    <t>Stanford University; Stanford Medicine; Stanford University</t>
  </si>
  <si>
    <t>Mobile detection of autism through machine learning on home video: A development and prospective validation study</t>
  </si>
  <si>
    <t>PLOS MEDICINE</t>
  </si>
  <si>
    <t>EARLY BEHAVIORAL INTERVENTION; SPECTRUM DISORDER; MENTAL-HEALTH; DIAGNOSIS; CHILDREN; SELECTION; TIME; AGE</t>
  </si>
  <si>
    <t>washington, peter/JGE-2032-2023</t>
  </si>
  <si>
    <t>Wall, Dennis/0000-0002-7889-9146; Tariq, Qandeel/0000-0002-5217-8332; washington, peter/0000-0003-3276-4411; Ouillon, Jessey/0000-0003-4916-7891</t>
  </si>
  <si>
    <t>161</t>
  </si>
  <si>
    <t>1549-1277</t>
  </si>
  <si>
    <t>1549-1676</t>
  </si>
  <si>
    <t>PLOS MED</t>
  </si>
  <si>
    <t>PLos Med.</t>
  </si>
  <si>
    <t>NOV 2018</t>
  </si>
  <si>
    <t>e1002705</t>
  </si>
  <si>
    <t>10.1371/journal.pmed.1002705</t>
  </si>
  <si>
    <t>http://dx.doi.org/10.1371/journal.pmed.1002705</t>
  </si>
  <si>
    <t>HC5FB</t>
  </si>
  <si>
    <t>30481180</t>
  </si>
  <si>
    <t>WOS:000451827800021</t>
  </si>
  <si>
    <t>Macheka, S; Ng, PY; Ginsburg, O; Hope, A; Sullivan, R; Aggarwal, A</t>
  </si>
  <si>
    <t>Objectives To assess the clinical readiness and deployability of artificial intelligence (AI) through evaluation of prospective studies of AI in cancer care following diagnosis.Design We undertook a systematic review to determine the types of AI involved and their respective outcomes with a PubMed and Web of Science search between 1 January 2013 and 1 May 2023.15 articles detailing prospective evaluation of AI in postdiagnostic cancer pathway were identified.Setting The role of AI in cancer care has evolved in the face of ageing population, workforce shortages and technological advancement. Despite recent uptake in AI research and adoption, the extent to which it improves quality, efficiency and equity of care beyond cancer diagnostics is uncertain to date.Interventions We appraised all studies using Risk of Bias Assessment of Randomised Controlled Trials (ROB2) and Risk of Bias In Nonrandomised Studies- of Interventions (ROBINI) quality assessment tools, as well as implementational analysis concerning time, cost and resource, to ascertain the quality of clinical evidence and real-world feasibility of AI.Results The results revealed that the majority of AI oncological research remained experimental without prospective clinical validation or deployment. Most studies failed to establish clinical validity and to translate measured AI efficacy into beneficial clinical outcomes. AI research is limited by lack of research standardisation and health system interoperability. Furthermore, implementational analysis and equity considerations of AI were largely missing.Conclusion To overcome the triad of low-level clinical evidence, efficacy-outcome gap and incompatible research ecosystem for AI, future work should focus on multi-collaborative AI implementation research designed and conducted in accordance with up-to-date research standards and local health systems.</t>
  </si>
  <si>
    <t>Macheka, Sheba; Ng, Peng Yun; Ginsburg, Ophira; Hope, Andrew; Sullivan, Richard; Aggarwal, Ajay</t>
  </si>
  <si>
    <t>Sullivan, R (corresponding author), Kings Coll London, Inst Canc Policy, Fac Life Sci &amp; Med, London, England.</t>
  </si>
  <si>
    <t>richard.sullivan@kcl.ac.uk; ajay.aggarwal@kcl.ac.uk; sheba.macheka@nhs.net; pengyunng@gmail.com; Andrew.Hope@uhn.ca; ophira.ginsburg@nih.gov</t>
  </si>
  <si>
    <t>BASO/Rosetrees Research Grant in Cancer Surgery [N/A]; Medical Research Council [GACD-025]</t>
  </si>
  <si>
    <t>BASO/Rosetrees Research Grant in Cancer Surgery; Medical Research Council (UK Research &amp; Innovation (UKRI), Medical Research Council UK (MRC))</t>
  </si>
  <si>
    <t>RS and PYN are funded by Medical Research Council Global Alliance of Chronic Disease Grant ACCI No GACD-025. RS and PYN are also funded by BASO/Rosetrees Research Grant in Cancer Surgery.</t>
  </si>
  <si>
    <t>[Macheka, Sheba; Ng, Peng Yun; Sullivan, Richard; Aggarwal, Ajay] Kings Coll London, Inst Canc Policy, Fac Life Sci &amp; Med, London, England; [Ginsburg, Ophira] NCI, Ctr Global Hlth, Bethesda, MD USA; [Hope, Andrew] Princess Margaret Hosp Canc Ctr, Radiat Oncol, Toronto, ON, Canada; [Aggarwal, Ajay] London Sch Hyg &amp; Trop Med, Dept Hlth Serv Res &amp; Policy, London, England</t>
  </si>
  <si>
    <t>University of London; King's College London; National Institutes of Health (NIH) - USA; NIH National Cancer Institute (NCI); University of Toronto; University Health Network Toronto; Princess Margaret Cancer Centre; University of London; London School of Hygiene &amp; Tropical Medicine</t>
  </si>
  <si>
    <t>Prospective evaluation of artificial intelligence (AI) applications for use in cancer pathways following diagnosis: a systematic review</t>
  </si>
  <si>
    <t>BMJ ONCOLOGY</t>
  </si>
  <si>
    <t>radiation oncology; chemotherapy; palliative care; surgical oncology</t>
  </si>
  <si>
    <t>PERFORMANCE; MEDICINE</t>
  </si>
  <si>
    <t>Macheka, Sheba/MSY-0995-2025; Sullivan, Richard/PQA-7638-2026</t>
  </si>
  <si>
    <t>2752-7948</t>
  </si>
  <si>
    <t>BMJ ONCOL</t>
  </si>
  <si>
    <t>BMJ Oncol.</t>
  </si>
  <si>
    <t>MAY 10 2024</t>
  </si>
  <si>
    <t>e000255</t>
  </si>
  <si>
    <t>10.1136/bmjonc-2023-000255</t>
  </si>
  <si>
    <t>http://dx.doi.org/10.1136/bmjonc-2023-000255</t>
  </si>
  <si>
    <t>GC1IV</t>
  </si>
  <si>
    <t>39886134</t>
  </si>
  <si>
    <t>WOS:001732869200001</t>
  </si>
  <si>
    <t>gold; Green Submitted; Green Accepted</t>
  </si>
  <si>
    <t>Li, LJ; Yang, SQ; Jiang, ZJ; Feng, RX; Wang, G; Zha, BY; Gao, F</t>
  </si>
  <si>
    <t>Background Failed placement of a Ureteral Access Sheath (UAS) during flexible ureteroscopic lithotripsy (FURL) creates significant operative challenges. The objective of this study was to develop a machine learning (ML) model that integrates diverse indicators to predict the likelihood of UAS placement failure. Methods We conducted an analysis of clinical records from 1,153 patients diagnosed with upper urinary tract calculi, followed by the enrollment of 265 consecutive patients for independent prospective validation. The predictive model integrated variables including patient medical history, parameters from CT imaging, anesthesia modality, and markers of systemic inflammation. Nine distinct ML algorithms were formulated. The predictive performance of the model was subsequently compared with that of senior urologists in a prospective setting. Results The final dataset comprised retrospective (n = 651) and prospective (n = 265) cohorts, both exhibiting similar failure rates of approximately 30%. Among the tested algorithms, the RF model yielded superior performance, attaining an area under the curve (AUC) of 0.845 in the testing set. During prospective validation, the simplified RF model achieved an AUC of 0.872, significantly surpassing the predictive accuracy of senior urologists. Through SHAP analysis, the mid-ureteral diameter, distal ureteral diameter, neutrophil count, renal parenchyma width, and the long diameter of the calculus were identified as the five most critical predictors. Furthermore, the model exhibited robust stability across various subgroups. Conclusions We successfully developed and prospectively validated a robust ML model capable of predicting UAS placement failure. By assimilating clinical, imaging, and inflammatory data, this model demonstrated superior performance compared to clinical experts. It provides a dependable instrument for personalized preoperative risk stratification and surgical strategy planning, accessible via a newly deployed web application.</t>
  </si>
  <si>
    <t>Li, Linjie; Yang, Shiqi; Jiang, Zhijie; Feng, Ruixi; Wang, Ge; Zha, Bingyang; Gao, Fei</t>
  </si>
  <si>
    <t>Gao, F (corresponding author), Chongqing Med Univ, Affiliated Hosp 1, Dept Urol, Chongqing, Peoples R China.</t>
  </si>
  <si>
    <t>gaofei@hospital.cqmu.edu.cn</t>
  </si>
  <si>
    <t>Natural Science Foundation of Chongqing, China [No.CSTB2023NSCQ-MSX0072]; Senior Medical Talents Program of Chongqing for Yong and Middle-aged [No.204216qn]; Reserve Talents Program for Academic Leaders of the First Affiliated Hospital of Chongqing Medical University [No. XKTS070]; Chongqing Science and Health Joint project [No.2020GDRC007]; The National Natural Science Foundation of China [No. 82370691]</t>
  </si>
  <si>
    <t>Natural Science Foundation of Chongqing, China (Natural Science Foundation of Chongqing); Senior Medical Talents Program of Chongqing for Yong and Middle-aged; Reserve Talents Program for Academic Leaders of the First Affiliated Hospital of Chongqing Medical University; Chongqing Science and Health Joint project; The National Natural Science Foundation of China (National Natural Science Foundation of China (NSFC))</t>
  </si>
  <si>
    <t>This work was sponsored by the Natural Science Foundation of Chongqing, China (No. CSTB2023NSCQ-MSX0072) and the National Natural Science Foundation of China to Fei Gao (No. 82370691). Furthermore, it was sponsored by Chongqing Science and Health Joint project (No. 2020GDRC007), Senior Medical Talents Program of Chongqing for Yong and Middle-aged (No. 204216qn), Reserve Talents Program for Academic Leaders of the First Affiliated Hospital of Chongqing Medical University (No. XKTS070) to Fei Gao.</t>
  </si>
  <si>
    <t>[Li, Linjie; Yang, Shiqi; Jiang, Zhijie; Wang, Ge; Gao, Fei] Chongqing Med Univ, Affiliated Hosp 1, Dept Urol, Chongqing, Peoples R China; [Feng, Ruixi] Chongqing Med Univ, Inst Neurosci, Coll Basic Med, Dept Anat, Chongqing, Peoples R China; [Zha, Bingyang] Chongqing Med Univ, Affiliated Hosp 1, Dept Psychiat, Chongqing, Peoples R China</t>
  </si>
  <si>
    <t>Chongqing Medical University; Chongqing Medical University; Chongqing Medical University</t>
  </si>
  <si>
    <t>Machine learning to predict ureteral access sheath placement failure in flexible ureteroscopy: development and prospective validation</t>
  </si>
  <si>
    <t>BMC UROLOGY</t>
  </si>
  <si>
    <t>Machine Learning; Ureteral Access Sheath; Flexible Ureteroscopic Lithotripsy</t>
  </si>
  <si>
    <t>RETROGRADE INTRARENAL SURGERY; LITHOTRIPSY; INSERTION</t>
  </si>
  <si>
    <t>1471-2490</t>
  </si>
  <si>
    <t>BMC UROL</t>
  </si>
  <si>
    <t>BMC Urol.</t>
  </si>
  <si>
    <t>APR 6 2026</t>
  </si>
  <si>
    <t>125</t>
  </si>
  <si>
    <t>10.1186/s12894-026-02127-z</t>
  </si>
  <si>
    <t>http://dx.doi.org/10.1186/s12894-026-02127-z</t>
  </si>
  <si>
    <t>II0WF</t>
  </si>
  <si>
    <t>41943099</t>
  </si>
  <si>
    <t>WOS:001772202600002</t>
  </si>
  <si>
    <t>Heydon, P; Egan, C; Bolter, L; Chambers, R; Anderson, J; Aldington, S; Stratton, IM; Scanlon, PH; Webster, L; Mann, S; du Chemin, A; Owen, CG; Tufail, A; Rudnicka, AR</t>
  </si>
  <si>
    <t>Background/aims Human grading of digital images from diabetic retinopathy (DR) screening programmes represents a significant challenge, due to the increasing prevalence of diabetes. We evaluate the performance of an automated artificial intelligence (AI) algorithm to triage retinal images from the English Diabetic Eye Screening Programme (DESP) into test-positive/technical failure versus test-negative, using human grading following a standard national protocol as the reference standard. Methods Retinal images from 30 405 consecutive screening episodes from three English DESPs were manually graded following a standard national protocol and by an automated process with machine learning enabled software, EyeArt v2.1. Screening performance (sensitivity, specificity) and diagnostic accuracy (95% CIs) were determined using human grades as the reference standard. Results Sensitivity (95% CIs) of EyeArt was 95.7% (94.8% to 96.5%) for referable retinopathy (human graded ungradable, referable maculopathy, moderate-to-severe non-proliferative or proliferative). This comprises sensitivities of 98.3% (97.3% to 98.9%) for mild-to-moderate non-proliferative retinopathy with referable maculopathy, 100% (98.7%,100%) for moderate-to-severe non-proliferative retinopathy and 100% (97.9%,100%) for proliferative disease. EyeArt agreed with the human grade of no retinopathy (specificity) in 68% (67% to 69%), with a specificity of 54.0% (53.4% to 54.5%) when combined with non-referable retinopathy. Conclusion The algorithm demonstrated safe levels of sensitivity for high-risk retinopathy in a real-world screening service, with specificity that could halve the workload for human graders. AI machine learning and deep learning algorithms such as this can provide clinically equivalent, rapid detection of retinopathy, particularly in settings where a trained workforce is unavailable or where large-scale and rapid results are needed.</t>
  </si>
  <si>
    <t>Heydon, Peter; Egan, Catherine; Bolter, Louis; Chambers, Ryan; Anderson, John; Aldington, Steve; Stratton, Irene M.; Scanlon, Peter Henry; Webster, Laura; Mann, Samantha; du Chemin, Alain; Owen, Christopher G.; Tufail, Adnan; Rudnicka, Alicja Regina</t>
  </si>
  <si>
    <t>Rudnicka, AR (corresponding author), St Georges Univ London, Populat Hlth Res Inst, London, England.</t>
  </si>
  <si>
    <t>arudnick@sgul.ac.uk</t>
  </si>
  <si>
    <t>Department of Health's NIHR Biomedical Research Centre for Ophthalmology at Moorfields Eye Hospital and UCL Institute of Ophthalmology; National Institute for Health Research (NIHR) Applied Research Collaboration South London (NIHR ARC South London) [NIHR200152]</t>
  </si>
  <si>
    <t>Department of Health's NIHR Biomedical Research Centre for Ophthalmology at Moorfields Eye Hospital and UCL Institute of Ophthalmology; National Institute for Health Research (NIHR) Applied Research Collaboration South London (NIHR ARC South London)</t>
  </si>
  <si>
    <t>This research has received a proportion of its funding from the Department of Health's NIHR Biomedical Research Centre for Ophthalmology at Moorfields Eye Hospital and UCL Institute of Ophthalmology. The views expressed in the publication are those of the authors and not necessarily those of the Department of Health. Diabetes prevention research at St George's, University of London, is supported by the National Institute for Health Research (NIHR) Applied Research Collaboration South London (NIHR ARC South London) (grant reference NIHR200152).</t>
  </si>
  <si>
    <t>[Heydon, Peter; Egan, Catherine; Tufail, Adnan] Moorfields Eye Hosp, Moorfields Biomed Res Ctr, London, England; [Egan, Catherine; Tufail, Adnan] UCL, Inst Ophthalmol, London, England; [Bolter, Louis; Chambers, Ryan; Anderson, John] Homerton Univ Hosp NHS Trust, London, England; [Aldington, Steve; Stratton, Irene M.; Scanlon, Peter Henry] Gloucestershire Hosp NHS Fdn Trust, Cheltenham, Glos, England; [Webster, Laura; Mann, Samantha; du Chemin, Alain] Guys &amp; St Thomas NHS Fdn Trust, London, England; [Owen, Christopher G.; Rudnicka, Alicja Regina] St Georges Univ London, Populat Hlth Res Inst, London, England</t>
  </si>
  <si>
    <t>University of London; University College London; Moorfields Eye Hospital NHS Foundation Trust; University of London; University College London; Gloucestershire Hospitals NHS Foundation Trust; Guy's &amp; St Thomas' NHS Foundation Trust; City St Georges, University of London</t>
  </si>
  <si>
    <t>Prospective evaluation of an artificial intelligence-enabled algorithm for automated diabetic retinopathy screening of 30 000 patients</t>
  </si>
  <si>
    <t>BRITISH JOURNAL OF OPHTHALMOLOGY</t>
  </si>
  <si>
    <t>Public health; Retina; Treatment Medical; Diagnostic tests; Investigation; Imaging; Epidemiology; Medical Education; Telemedicine; Degeneration; Clinical Trial</t>
  </si>
  <si>
    <t>Aldington, Steve/G-7828-2012; stratton, irene/AAZ-3627-2020; Egan, Catherine/JEZ-3725-2023; Aldington, Steve/JBJ-7335-2023</t>
  </si>
  <si>
    <t>Aldington, Steve/0000-0003-1808-3580; Heydon, Peter/0000-0001-7029-4188; Bolter, Louis/0000-0002-8710-8916; Scanlon, Peter/0000-0001-8513-710X; stratton, irene/0000-0003-1172-7865; Rudnicka, Alicja R/0000-0003-0369-8574; Tufail, Adnan/0000-0001-6131-7640; Egan, Catherine/0000-0001-5593-1169; Owen, Christopher/0000-0003-1135-5977</t>
  </si>
  <si>
    <t>156</t>
  </si>
  <si>
    <t>0007-1161</t>
  </si>
  <si>
    <t>1468-2079</t>
  </si>
  <si>
    <t>BRIT J OPHTHALMOL</t>
  </si>
  <si>
    <t>Br. J. Ophthalmol.</t>
  </si>
  <si>
    <t>728</t>
  </si>
  <si>
    <t>10.1136/bjophthalmol-2020-316594</t>
  </si>
  <si>
    <t>http://dx.doi.org/10.1136/bjophthalmol-2020-316594</t>
  </si>
  <si>
    <t>RQ5IG</t>
  </si>
  <si>
    <t>32606081</t>
  </si>
  <si>
    <t>WOS:000642451300021</t>
  </si>
  <si>
    <t>Huang, DV; Cogill, S; Hsia, RY; Yang, S; Kim, D</t>
  </si>
  <si>
    <t>Non-accidental trauma (NAT) is deadly and difficult to predict. Transformer models pretrained on large datasets have recently produced state of the art performance on diverse prediction tasks, but the optimal pretraining strategies for diagnostic predictions are not known. Here we report the development and external validation of Pretrained and Adapted BERT for Longitudinal Outcomes (PABLO), a transformer-based deep learning model with multitask clinical pretraining, to identify patients who will receive a diagnosis of NAT in the next year. We develop a clinical interface to visualize patient trajectories, model predictions, and individual risk factors. In two comprehensive statewide databases, approximately 1% of patients experience NAT within one year of prediction. PABLO predicts NAT events with area under the receiver operating characteristic curve (AUROC) of 0.844 (95% CI 0.838-0.851) in the California test set, and 0.849 (95% CI 0.846-0.851) on external validation in Florida, outperforming comparator models. Multitask pretraining significantly improves model performance. Attribution analysis shows substance use, psychiatric, and injury diagnoses, in the context of age and racial demographics, as influential predictors of NAT. As a clinical decision support system, PABLO can identify high-risk patients and patient-specific risk factors, which can be used to target secondary screening and preventive interventions at the point-of-care.</t>
  </si>
  <si>
    <t>Huang, David; Cogill, Steven; Hsia, Renee Y.; Yang, Samuel; Kim, David</t>
  </si>
  <si>
    <t>Kim, D (corresponding author), Stanford Univ, Dept Emergency Med, Stanford, CA 94305 USA.</t>
  </si>
  <si>
    <t>davidak@stanford.edu</t>
  </si>
  <si>
    <t>[Huang, David] Stanford Univ, Dept Comp Sci, Stanford, CA USA; [Cogill, Steven] Dept Vet Affairs, Seattle, WA USA; [Hsia, Renee Y.] UCSF Sch Med, Dept Emergency Med, San Francisco, CA USA; [Yang, Samuel; Kim, David] Stanford Univ, Dept Emergency Med, Stanford, CA 94305 USA</t>
  </si>
  <si>
    <t>Stanford University; University of California System; University of California San Francisco; Stanford University; Stanford Medicine</t>
  </si>
  <si>
    <t>Development and external validation of a pretrained deep learning model for the prediction of non-accidental trauma</t>
  </si>
  <si>
    <t>UNITED-STATES; EMERGENCY; HOMICIDE; INJURY; OPPORTUNITIES; PREGNANCY</t>
  </si>
  <si>
    <t>Kim, David/0000-0003-0151-5121; Yang, Samuel/0000-0003-1123-9036</t>
  </si>
  <si>
    <t>JUL 19 2023</t>
  </si>
  <si>
    <t>131</t>
  </si>
  <si>
    <t>10.1038/s41746-023-00875-y</t>
  </si>
  <si>
    <t>http://dx.doi.org/10.1038/s41746-023-00875-y</t>
  </si>
  <si>
    <t>M9QB4</t>
  </si>
  <si>
    <t>37468526</t>
  </si>
  <si>
    <t>WOS:001033475900001</t>
  </si>
  <si>
    <t>Haynes, SC; Johnston, P; Elyan, E</t>
  </si>
  <si>
    <t>The generalisability of deep neural network classifiers is emerging as one of the most important challenges of our time. The recent COVID-19 pandemic led to a surge of deep learning publications that proposed novel models for the detection of COVID-19 from chest x-rays (CXRs). However, despite the many outstanding metrics reported, such models have failed to achieve widespread adoption into clinical settings. The significant risk of real-world generalisation failure has repeatedly been cited as one of the most critical concerns, and is a concern that extends into general medical image modelling. In this study, we propose a new dataset protocol and, using this, perform a thorough cross-dataset evaluation of deep neural networks when trained on a small COVID-19 dataset, comparable to those used extensively in recent literature. This allows us to quantify the degree to which these models can generalise when trained on challenging, limited medical datasets. We also introduce a novel occlusion evaluation to quantify model reliance on shortcut features. Our results indicate that models initialised with ImageNet weights then fine-tuned on small COVID-19 datasets, a standard approach in the literature, facilitate the learning of shortcut features, resulting in unreliable, poorly generalising models. In contrast, pre-training on related CXR imagery can stabilise cross-dataset performance. The CXR pre-trained models demonstrated a significantly smaller generalisation drop and reduced feature dependence outwith the lung region, as indicated by our occlusion test. This paper demonstrates the challenging problem of model generalisation, and the need for further research on developing techniques that will produce reliable, generalisable models when learning with limited datasets.</t>
  </si>
  <si>
    <t>Haynes, Sophie Crawford; Johnston, Pamela; Elyan, Eyad</t>
  </si>
  <si>
    <t>Haynes, SC (corresponding author), Robert Gordon Univ, Sch Comp, Garthdee Rd, Aberdeen AB10 7GJ, Scotland.</t>
  </si>
  <si>
    <t>e.elyan@rgu.ac.uk; s.c.haynes@rgu.ac.uk; p.johnston2@rgu.ac.uk</t>
  </si>
  <si>
    <t>[Haynes, Sophie Crawford; Johnston, Pamela; Elyan, Eyad] Robert Gordon Univ, Sch Comp, Garthdee Rd, Aberdeen AB10 7GJ, Scotland</t>
  </si>
  <si>
    <t>Robert Gordon University</t>
  </si>
  <si>
    <t>Generalisation challenges in deep learning models for medical imagery: insights from external validation of COVID-19 classifiers</t>
  </si>
  <si>
    <t>MULTIMEDIA TOOLS AND APPLICATIONS</t>
  </si>
  <si>
    <t>COVID-19; Deep learning; Generalization; X-ray imaging; Medical Imagery</t>
  </si>
  <si>
    <t>Johnston, Pamela/AAW-8677-2020</t>
  </si>
  <si>
    <t>Johnston, Pamela/0000-0002-6199-8471; Elyan, Eyad/0000-0002-8342-9026</t>
  </si>
  <si>
    <t>51</t>
  </si>
  <si>
    <t>1380-7501</t>
  </si>
  <si>
    <t>1573-7721</t>
  </si>
  <si>
    <t>MULTIMED TOOLS APPL</t>
  </si>
  <si>
    <t>Multimed. Tools Appl.</t>
  </si>
  <si>
    <t>10.1007/s11042-024-18543-y</t>
  </si>
  <si>
    <t>http://dx.doi.org/10.1007/s11042-024-18543-y</t>
  </si>
  <si>
    <t>Computer Science, Information Systems; Computer Science, Software Engineering; Computer Science, Theory &amp; Methods; Engineering, Electrical &amp; Electronic</t>
  </si>
  <si>
    <t>Computer Science; Engineering</t>
  </si>
  <si>
    <t>IR0Y5</t>
  </si>
  <si>
    <t>WOS:001167950900014</t>
  </si>
  <si>
    <t>Qian, X; Xian, S; Su, YF; Wei, G; Liu, HR; Xi, XM; Chu, CY; Yin, YL; Yu, S; Kai, M; Mei, C; Yi, Q</t>
  </si>
  <si>
    <t>ObjectivesTo conduct an external validation of an automated artificial intelligence (AI) diagnostic system using fundus photographs from a real-life multicentre cohort.MethodsWe designed external validation in multiple scenarios, consisting of 3049 images from Qilu Hospital of Shandong University in China (QHSDU, validation dataset 1), 7495 images from three other hospitals in China (validation dataset 2), and 516 images from high myopia (HM) population of QHSDU (validation dataset 3). The corresponding sensitivity, specificity and accuracy of this AI diagnostic system to identify glaucomatous optic neuropathy (GON) were calculated.ResultsIn validation datasets 1 and 2, the algorithm yielded accuracy of 93.18% and 91.40%, area under the receiver operating curves (AUC) of 95.17% and 96.64%, and significantly higher sensitivity of 91.75% and 91.41%, respectively, compared to manual graders. On the subsets complicated with retinal comorbidities, such as diabetic retinopathy or age-related macular degeneration, in validation datasets 1 and 2, the algorithm achieved accuracy of 87.54% and 93.81%, and AUC of 97.02% and 97.46%, respectively. In validation dataset 3, the algorithm achieved comparable accuracy of 81.98% and AUC of 87.49%, with a sensitivity of 83.61% and specificity of 81.76% on GON recognition specifically in the HM population.ConclusionsWith acceptable generalization capability across varying levels of image quality, different clinical centres, or certain retinal comorbidities, such as HM, the automatic AI diagnostic system had the potential to provide expert-level glaucoma detection.</t>
  </si>
  <si>
    <t>Qian, Xu; Xian, Song; Su, Yifei; Wei, Guo; Liu, Hanruo; Xi, Xiaoming; Chu, Chunyan; Yin, Yilong; Yu, Shuang; Kai, Ma; Mei, Cheng; Yi, Qu</t>
  </si>
  <si>
    <t>Yi, Q (corresponding author), Shandong Univ, Qilu Hosp, Dept Geriatr Med, 107 Wenhuaxi Rd, Jinan 250012, Peoples R China.; Yi, Q (corresponding author), Key Lab Cardiovasc Prote Shandong Prov, Jinan, Peoples R China.; Yi, Q (corresponding author), Jinan Clin Res Ctr Geriatr Med 202132001, Jinan, Peoples R China.</t>
  </si>
  <si>
    <t>yiqucn@sdu.edu.cn</t>
  </si>
  <si>
    <t>[Qian, Xu; Xian, Song; Mei, Cheng; Yi, Qu] Shandong Univ, Qilu Hosp, Dept Geriatr Med, 107 Wenhuaxi Rd, Jinan 250012, Peoples R China; [Qian, Xu; Xian, Song; Mei, Cheng; Yi, Qu] Key Lab Cardiovasc Prote Shandong Prov, Jinan, Peoples R China; [Qian, Xu; Xian, Song; Mei, Cheng; Yi, Qu] Jinan Clin Res Ctr Geriatr Med 202132001, Jinan, Peoples R China; [Su, Yifei] Duke Kunshan Univ, Global Hlth Res Ctr, 8 Duke Ave, Kunshan 215316, Jiangsu, Peoples R China; [Wei, Guo] Lunan Eye Hosp, Linyi 276000, Peoples R China; [Liu, Hanruo] Capital Med Univ, Beijing Tongren Hosp, Beijing 100730, Peoples R China; [Liu, Hanruo] Beijing Inst Technol, Sch Informat &amp; Elect, Beijing 100730, Peoples R China; [Xi, Xiaoming] Shandong Jianzhu Univ, Sch Comp Sci &amp; Technol, Jinan 250101, Peoples R China; [Chu, Chunyan; Yu, Shuang; Kai, Ma] Tencent Healthcare, Shenzhen 51800, Peoples R China; [Yin, Yilong] Shandong Univ, Sch Software, Jinan 250101, Peoples R China</t>
  </si>
  <si>
    <t>Shandong University; Duke Kunshan University; Capital Medical University; Beijing Institute of Technology; Shandong Jianzhu University; Shandong University</t>
  </si>
  <si>
    <t>External validation of a deep learning detection system for glaucomatous optic neuropathy: a real-world multicentre study</t>
  </si>
  <si>
    <t>PREVALENCE; POPULATION; MYOPIA; DIAGNOSIS; BURDEN; CHINA</t>
  </si>
  <si>
    <t>DEC 2023</t>
  </si>
  <si>
    <t>3813</t>
  </si>
  <si>
    <t>3818</t>
  </si>
  <si>
    <t>10.1038/s41433-023-02622-9</t>
  </si>
  <si>
    <t>http://dx.doi.org/10.1038/s41433-023-02622-9</t>
  </si>
  <si>
    <t>JUN 2023</t>
  </si>
  <si>
    <t>CB7N1</t>
  </si>
  <si>
    <t>37322379</t>
  </si>
  <si>
    <t>WOS:001006457500001</t>
  </si>
  <si>
    <t>Green Accepted</t>
  </si>
  <si>
    <t>Nada, A; Sayed, AA; Hamouda, M; Tantawi, M; Khan, A; Alt, A; Hassanein, H; Sevim, BC; Altes, T; Gaballah, A</t>
  </si>
  <si>
    <t>Purpose We aimed to investigate the external validation and performance of an FDA-approved deep learning model in labeling intracranial hemorrhage (ICH) cases on a real-world heterogeneous clinical dataset. Furthermore, we delved deeper into evaluating how patients' risk factors influenced the model's performance and gathered feedback on satisfaction from radiologists of varying ranks.Methods This prospective IRB approved study included 5600 non-contrast CT scans of the head in various clinical settings, that is, emergency, inpatient, and outpatient units. The patients' risk factors were collected and tested for impacting the performance of DL model utilizing univariate and multivariate regression analyses. The performance of DL model was contrasted to the radiologists' interpretation to determine the presence or absence of ICH with subsequent classification into subcategories of ICH. Key metrics, including accuracy, sensitivity, specificity, positive predictive value, and negative predictive value, were calculated. Receiver operating characteristics curve, along with the area under the curve, were determined. Additionally, a questionnaire was conducted with radiologists of varying ranks to assess their experience with the model.Results The model exhibited outstanding performance, achieving a high sensitivity of 89% and specificity of 96%. Additional performance metrics, including positive predictive value (82%), negative predictive value (97%), and overall accuracy (94%), underscore its robust capabilities. The area under the ROC curve further demonstrated the model's efficacy, reaching 0.954. Multivariate logistic regression revealed statistical significance for age, sex, history of trauma, operative intervention, HTN, and smoking.Conclusion Our study highlights the satisfactory performance of the DL model on a diverse real-world dataset, garnering positive feedback from radiology trainees.</t>
  </si>
  <si>
    <t>Nada, Ayman; Sayed, Alaa A.; Hamouda, Mourad; Tantawi, Mohamed; Khan, Amna; Alt, Addison; Hassanein, Heidi; Sevim, Burak C.; Altes, Talissa; Gaballah, Ayman</t>
  </si>
  <si>
    <t>Nada, A (corresponding author), Univ Missouri, Dept Radiol, Columbia, MO 65212 USA.</t>
  </si>
  <si>
    <t>anada@health.missouri.edu</t>
  </si>
  <si>
    <t>[Nada, Ayman; Altes, Talissa] Univ Missouri, Dept Radiol, Columbia, MO 65212 USA; [Sayed, Alaa A.] Univ Pittsburgh, Dept Med, Med Ctr, Pittsburgh, PA USA; [Hamouda, Mourad] ST VINCENT HOSP, Dept Radiol, WORCESTER, MA USA; [Tantawi, Mohamed] Univ Texas Med Branch, Dept Radiol, Galveston, TX USA; [Khan, Amna] Nazareth Hosp, Dept Med, Philadelphia, PA USA; [Alt, Addison] Kansas City Univ, Kansas City, MO USA; [Hassanein, Heidi] STATEN ISL UNIV HOSP, Northwell Hlth, STATEN ISL, NY USA; [Sevim, Burak C.] Ssmhealth St Louis Univ Hosp, Radiol Dept, St Louis, MO USA; [Gaballah, Ayman] Univ Texas MD Anderson Canc Ctr, Radiol Dept, Houston, TX USA</t>
  </si>
  <si>
    <t>University of Missouri System; University of Missouri Columbia; Pennsylvania Commonwealth System of Higher Education (PCSHE); University of Pittsburgh; University of Texas System; University of Texas Medical Branch Galveston; Kansas City University; Northwell Health; University of Texas System; UTMD Anderson Cancer Center</t>
  </si>
  <si>
    <t>External validation and performance analysis of a deep learning-based model for the detection of intracranial hemorrhage</t>
  </si>
  <si>
    <t>NEURORADIOLOGY JOURNAL</t>
  </si>
  <si>
    <t>Deep learning; artificial intelligence; non-contrast CT head; intracranial hemorrhage</t>
  </si>
  <si>
    <t>INTRACEREBRAL HEMORRHAGE; ARTIFICIAL-INTELLIGENCE; MANAGEMENT</t>
  </si>
  <si>
    <t>Gaballah, Ayman/ABD-6414-2021; Nada, Ayman/K-2758-2018</t>
  </si>
  <si>
    <t>Nada, Ayman/0000-0002-9296-9227; Hamouda, Mourad/0009-0002-4621-3231</t>
  </si>
  <si>
    <t>1971-4009</t>
  </si>
  <si>
    <t>2385-1996</t>
  </si>
  <si>
    <t>NEURORADIOL J</t>
  </si>
  <si>
    <t>Neuradiology J.</t>
  </si>
  <si>
    <t>321</t>
  </si>
  <si>
    <t>10.1177/19714009241303078</t>
  </si>
  <si>
    <t>http://dx.doi.org/10.1177/19714009241303078</t>
  </si>
  <si>
    <t>Neuroimaging</t>
  </si>
  <si>
    <t>2XN7C</t>
  </si>
  <si>
    <t>39601611</t>
  </si>
  <si>
    <t>WOS:001364204600001</t>
  </si>
  <si>
    <t>Jang, MS; Kim, MY; Bae, SJ; Lee, SH; Koh, JM; Kim, N</t>
  </si>
  <si>
    <t>Osteoporosis is a common, but silent disease until it is complicated by fractures that are associated with morbidity and mortality. Over the past few years, although deep learning-based disease diagnosis on chest radiographs has yielded promising results, osteoporosis screening remains unexplored. Paired data with 13,026 chest radiographs and dual-energy X-ray absorptiometry (DXA) results from the Health Screening and Promotion Center of Asan Medical Center, between 2012 and 2019, were used as the primary dataset in this study. For the external test, we additionally used the Asan osteoporosis cohort dataset (1089 chest radiographs, 2010 and 2017). Using a well-performed deep learning model, we trained the OsPor-screen model with labels defined by DXA based diagnosis of osteoporosis (lumbar spine, femoral neck, or total hip T-score &lt;= -2.5) in a supervised learning manner. The OsPor-screen model was assessed in the internal and external test sets. We performed substudies for evaluating the effect of various anatomical subregions and image sizes of input images. OsPor-screen model performances including sensitivity, specificity, and area under the curve (AUC) were measured in the internal and external test sets. In addition, visual explanations of the model to predict each class were expressed in gradient-weighted class activation maps (Grad-CAMs). The OsPor-screen model showed promising performances. Osteoporosis screening with the OsPor-screen model achieved an AUC of 0.91 (95% confidence interval [CI], 0.90-0.92) and an AUC of 0.88 (95% CI, 0.85-0.90) in the internal and external test set, respectively. Even though the medical relevance of these average Grad-CAMs is unclear, these results suggest that a deep learning-based model using chest radiographs could have the potential to be used for opportunistic automated screening of patients with osteoporosis in clinical settings. (C) 2021 American Society for Bone and Mineral Research (ASBMR).</t>
  </si>
  <si>
    <t>Jang, Miso; Kim, Mingyu; Bae, Sung Jin; Lee, Seung Hun; Koh, Jung-Min; Kim, Namkug</t>
  </si>
  <si>
    <t>Kim, N (corresponding author), Univ Ulsan, Asan Med Ctr, Dept Convergence Med, Coll Med, 88 Olymp Ro 43 Gil, Seoul 05505, South Korea.</t>
  </si>
  <si>
    <t>namkugkim@gmail.com</t>
  </si>
  <si>
    <t>National Research Foundation of Korea (NRF) - Korea government [2020R1I1A1A01068854]; Ministry of Science and ICT; NIPA</t>
  </si>
  <si>
    <t>National Research Foundation of Korea (NRF) - Korea government (National Research Foundation of Korea); Ministry of Science and ICT (Ministry of Science &amp; ICT (MMSTI)); NIPA</t>
  </si>
  <si>
    <t>This work was supported by the National Research Foundation of Korea (NRF) grant funded by the Korea government (2020R1I1A1A01068854). This research was the results of a study of the "HPC Support" Project, supported by the 'Ministry of Science and ICT' and NIPA.</t>
  </si>
  <si>
    <t>[Jang, Miso] Univ Ulsan, Asan Med Ctr, Asan Med Inst Convergence Sci &amp; Technol, Dept Biomed Engn,Coll Med, Seoul, South Korea; [Jang, Miso; Kim, Mingyu] Univ Ulsan, Asan Med Ctr, Dept Med, Coll Med, Seoul, South Korea; [Bae, Sung Jin] Univ Ulsan, Asan Med Ctr, Dept Hlth Screening, Coll Med, Seoul, South Korea; [Bae, Sung Jin] Univ Ulsan, Asan Med Ctr, Promot Ctr, Coll Med, Seoul, South Korea; [Lee, Seung Hun; Koh, Jung-Min] Univ Ulsan, Asan Med Ctr, Div Endocrinol &amp; Metab, Coll Med, Seoul, South Korea; [Kim, Namkug] Univ Ulsan, Asan Med Ctr, Dept Radiol, Coll Med, Seoul, South Korea; [Kim, Namkug] Univ Ulsan, Asan Med Ctr, Dept Convergence Med, Coll Med, 88 Olymp Ro 43 Gil, Seoul 05505, South Korea</t>
  </si>
  <si>
    <t>University of Ulsan; Asan Medical Center; University of Ulsan; Asan Medical Center; University of Ulsan; Asan Medical Center; University of Ulsan; Asan Medical Center; University of Ulsan; Asan Medical Center; University of Ulsan; Asan Medical Center; University of Ulsan; Asan Medical Center</t>
  </si>
  <si>
    <t>Opportunistic Osteoporosis Screening Using Chest Radiographs With Deep Learning: Development and External Validation With a Cohort Dataset</t>
  </si>
  <si>
    <t>JOURNAL OF BONE AND MINERAL RESEARCH</t>
  </si>
  <si>
    <t>OSTEOPOROSIS; DISEASES AND DISORDERS OF/RELATED TO BONE; SCREENING; PRACTICE/POLICY-RELATED ISSUES; DXA; ANALYSIS/QUANTITATION OF BONE</t>
  </si>
  <si>
    <t>KOREA NATIONAL-HEALTH; RISK-ASSESSMENT; BONE-DENSITY; POSTMENOPAUSAL WOMEN; FRACTURE RISK; POPULATION; PREVALENCE; DIAGNOSIS; YOUNG</t>
  </si>
  <si>
    <t>JANG, MISO/HJA-4662-2022; Bae, Sung-Jin/AAX-9144-2021</t>
  </si>
  <si>
    <t>JANG, MISO/0000-0003-4409-411X; Kim, Namkug/0000-0002-3438-2217; BAE, SUNG JIN/0000-0003-2703-7076</t>
  </si>
  <si>
    <t>0884-0431</t>
  </si>
  <si>
    <t>1523-4681</t>
  </si>
  <si>
    <t>J BONE MINER RES</t>
  </si>
  <si>
    <t>J. Bone Miner. Res.</t>
  </si>
  <si>
    <t>369</t>
  </si>
  <si>
    <t>10.1002/jbmr.4477</t>
  </si>
  <si>
    <t>http://dx.doi.org/10.1002/jbmr.4477</t>
  </si>
  <si>
    <t>YV6WQ</t>
  </si>
  <si>
    <t>34812546</t>
  </si>
  <si>
    <t>WOS:000729628900001</t>
  </si>
  <si>
    <t>Cepeda, S; Romero, R; Luque, L; García-Pérez, D; Blasco, G; Luppino, LT; Kuttner, S; Esteban-Sinovas, O; Arrese, I; Solheim, O; Eikenes, L; Karlberg, A; Pérez-Núñez, A; Zanier, O; Serra, C; Staartjes, VE; Bianconi, A; Rossi, LF; Garbossa, D; Escudero, T; Hornero, R; Sarabia, R</t>
  </si>
  <si>
    <t>Background The pursuit of automated methods to assess the extent of resection (EOR) in glioblastomas is challenging, requiring precise measurement of residual tumor volume. Many algorithms focus on preoperative scans, making them unsuitable for postoperative studies. Our objective was to develop a deep learning-based model for postoperative segmentation using magnetic resonance imaging (MRI). We also compared our model's performance with other available algorithms.Methods To develop the segmentation model, a training cohort from 3 research institutions and 3 public databases was used. Multiparametric MRI scans with ground truth labels for contrast-enhancing tumor (ET), edema, and surgical cavity, served as training data. The models were trained using MONAI and nnU-Net frameworks. Comparisons were made with currently available segmentation models using an external cohort from a research institution and a public database. Additionally, the model's ability to classify EOR was evaluated using the RANO-Resect classification system. To further validate our best-trained model, an additional independent cohort was used.Results The study included 586 scans: 395 for model training, 52 for model comparison, and 139 scans for independent validation. The nnU-Net framework produced the best model with median Dice scores of 0.81 for contrast ET, 0.77 for edema, and 0.81 for surgical cavities. Our best-trained model classified patients into maximal and submaximal resection categories with 96% accuracy in the model comparison dataset and 84% in the independent validation cohort.Conclusions Our nnU-Net-based model outperformed other algorithms in both segmentation and EOR classification tasks, providing a freely accessible tool with promising clinical applicability.</t>
  </si>
  <si>
    <t>Cepeda, Santiago; Romero, Roberto; Luque, Lidia; Garcia-Perez, Daniel; Blasco, Guillermo; Luppino, Luigi Tommaso; Kuttner, Samuel; Esteban-Sinovas, Olga; Arrese, Ignacio; Solheim, Ole; Eikenes, Live; Karlberg, Anna; Perez-Nunez, Angel; Zanier, Olivier; Serra, Carlo; Staartjes, Victor E.; Bianconi, Andrea; Rossi, Luca Francesco; Garbossa, Diego; Escudero, Trinidad; Hornero, Roberto; Sarabia, Rosario</t>
  </si>
  <si>
    <t>Cepeda, S (corresponding author), Rio Hortega Univ Hosp, Dept Neurosurg, Dulzaina 2, Valladolid 47014, Spain.</t>
  </si>
  <si>
    <t>scepedac@saludcastillayleon.es</t>
  </si>
  <si>
    <t>Instituto Carlos III; Department of Health Research, SINTEF Digital, Trondheim, Norway; Neurosurgical Center Amsterdam, Amsterdam UMC, Vrije Universiteit, Netherlands</t>
  </si>
  <si>
    <t>Instituto Carlos III (Instituto de Salud Carlos III, Spanish Government); Department of Health Research, SINTEF Digital, Trondheim, Norway; Neurosurgical Center Amsterdam, Amsterdam UMC, Vrije Universiteit, Netherlands (Netherlands Government, Ansys, Inc.)</t>
  </si>
  <si>
    <t>The authors sincerely appreciate the collaboration of all contributors to the development of the segmentation models included in this comparison. We acknowledge their technical support and willingness to share the source code of their publications. Special thanks are extended to David Bouget from the Department of Health Research, SINTEF Digital, Trondheim, Norway; Roelant S. Eijgelaar from the Neurosurgical Center Amsterdam, Amsterdam UMC, Vrije Universiteit, Netherlands.</t>
  </si>
  <si>
    <t>[Cepeda, Santiago; Esteban-Sinovas, Olga; Arrese, Ignacio; Sarabia, Rosario] Rio Hortega Univ Hosp, Dept Neurosurg, Dulzaina 2, Valladolid 47014, Spain; [Romero, Roberto; Hornero, Roberto] Biomat &amp; Nanomed CIBER BBN, Ctr Biomed Res Network Bioengn, Valladolid, Spain; [Luque, Lidia] Oslo Univ Hosp, Dept Phys &amp; Computat Radiol, Clin Radiol &amp; Nucl Med, Computat Radiol &amp; Artificial Intelligence CRAI, Oslo, Norway; [Luque, Lidia] Univ Oslo, Dept Phys, Oslo, Norway; [Luque, Lidia] Oslo Univ Hosp, Dept Phys &amp; Computat Radiol, Clin Radiol &amp; Nucl Med, Oslo, Norway; [Garcia-Perez, Daniel] Albacete Univ Hosp, Dept Neurosurg, Albacete, Spain; [Blasco, Guillermo] La Princesa Univ Hosp, Dept Neurosurg, Madrid, Spain; [Luppino, Luigi Tommaso; Kuttner, Samuel] UiT Arctic Univ Norway, Dept Phys &amp; Technol, Tromso, Norway; [Kuttner, Samuel] Univ Hosp North Norway, PET Imaging Ctr, Tromso, Norway; [Solheim, Ole] St Olavs Univ Hosp, Dept Neurosurg, Trondheim, Norway; [Solheim, Ole] Norwegian Univ Sci &amp; Technol, Dept Neuromed &amp; Movement Sci, Trondheim, Norway; [Eikenes, Live; Karlberg, Anna] Norwegian Univ Sci &amp; Technol NTNU, Fac Med &amp; Hlth Sci, Dept Circulat &amp; Med Imaging, Trondheim, Norway; [Karlberg, Anna] Trondheim Reg &amp; Univ Hosp, St Olavs Hosp, Dept Radiol &amp; Nucl Segmentat Med, Trondheim, Norway; [Perez-Nunez, Angel] 12 Octubre Univ Hosp i 12, Dept Neurosurg, Madrid, Spain; [Perez-Nunez, Angel] Univ Complutense Madrid, Sch Med, Dept Surg, Madrid, Spain; [Perez-Nunez, Angel] 12 Octubre Univ Hosp i 12, Inst Invest Sanit, Madrid, Spain; [Zanier, Olivier; Serra, Carlo; Staartjes, Victor E.] Univ Zurich, Univ Hosp Zurich, Machine Intelligence Clin Neurosci &amp; Microsurg Neu, Dept Neurosurg,Clin Neurosci Ctr, Zurich, Switzerland; [Bianconi, Andrea] Osped Policlin San Martino, IRCCS Oncol &amp; Neurosci, Div Neurosurg, Genoa, Italy; [Bianconi, Andrea; Garbossa, Diego] Univ Turin, Dept Neurosci Rita Levi Montalcini, Neurosurg Unit, Turin, Italy; [Rossi, Luca Francesco] Polytech Univ Turin, Dept Informat, Turin, Italy; [Escudero, Trinidad] Rio Hortega Univ Hosp, Dept Radiol, Valladolid, Spain; [Hornero, Roberto] Univ Valladolid, Inst Res Math IMUVA, Valladolid, Spain</t>
  </si>
  <si>
    <t>Hospital del Rio Hortega; CIBER - Centro de Investigacion Biomedica en Red; CIBERBBN; University of Oslo; University of Oslo; University of Oslo; UiT The Arctic University of Tromso; UiT The Arctic University of Tromso; University Hospital of North Norway; Norwegian University of Science &amp; Technology (NTNU); Norwegian University of Science &amp; Technology (NTNU); Norwegian University of Science &amp; Technology (NTNU); Norwegian University of Science &amp; Technology (NTNU); Complutense University of Madrid; University of Zurich; University Zurich Hospital; University of Turin; Polytechnic University of Turin; Hospital del Rio Hortega; Universidad de Valladolid</t>
  </si>
  <si>
    <t>Deep learning-based postoperative glioblastoma segmentation and extent of resection evaluation: Development, external validation, and model comparison</t>
  </si>
  <si>
    <t>NEURO-ONCOLOGY ADVANCES</t>
  </si>
  <si>
    <t>deep learning; glioblastomas; neural network; postoperative; segmentation</t>
  </si>
  <si>
    <t>CENTRAL-NERVOUS-SYSTEM; RECOMMENDATIONS; GLIOMA; ATLAS</t>
  </si>
  <si>
    <t>Staartjes, Victor/H-8346-2017; Romero-Oraá, Roberto/HOF-8604-2023; Sarabia, Rosario/KFA-9598-2024; , Rob/B-5398-2008; Cepeda, Santiago/AAE-3200-2021; Perez-Nuñez, Angel/AAG-4422-2020; Zanier, Olivier/KWA-9010-2024; Garbossa, Diego/AAC-8888-2019; bianconi, andrea/HDO-2036-2022; Serra, Carlo/AAB-8742-2022</t>
  </si>
  <si>
    <t>Staartjes, Victor/0000-0003-1039-2098; Romero-Oraá, Roberto/0000-0003-2996-4754; Cepeda, Santiago/0000-0003-1667-8548; Zanier, Olivier/0000-0002-3286-3770; bianconi, andrea/0000-0002-1014-0731; Serra, Carlo/0000-0002-7305-550X; Solheim, Ole/0000-0002-5954-4817</t>
  </si>
  <si>
    <t>2632-2498</t>
  </si>
  <si>
    <t>NEURO-ONCOL ADV</t>
  </si>
  <si>
    <t>Neuro-Oncol. Adv.</t>
  </si>
  <si>
    <t>DEC 10 2024</t>
  </si>
  <si>
    <t>vdae199</t>
  </si>
  <si>
    <t>10.1093/noajnl/vdae199</t>
  </si>
  <si>
    <t>http://dx.doi.org/10.1093/noajnl/vdae199</t>
  </si>
  <si>
    <t>Oncology; Clinical Neurology</t>
  </si>
  <si>
    <t>Oncology; Neurosciences &amp; Neurology</t>
  </si>
  <si>
    <t>O8L0X</t>
  </si>
  <si>
    <t>39659831</t>
  </si>
  <si>
    <t>WOS:001373564800001</t>
  </si>
  <si>
    <t>Sjoding, MW; Taylor, D; Motyka, J; Lee, E; Co, I; Claar, D; McSparron, J; Ansari, S; Kerlin, MP; Reilly, JP; Shashaty, MGS; Anderson, BJ; Jones, TK; Drebin, HM; Ittner, CAG; Meyer, NJ; Iwashyna, TJ; Ward, KR; Gillies, CE</t>
  </si>
  <si>
    <t>Background Acute respiratory distress syndrome (ARDS) is a common, but under-recognised, critical illness syndrome associated with high mortality. An important factor in its under-recognition is the variability in chest radiograph interpretation for ARDS. We sought to train a deep convolutional neural network (CNN) to detect ARDS findings on chest radiographs.Methods CNNs were pretrained on 595 506 radiographs from two centres to identify common chest findings (eg, opacity and effusion), and then trained on 8072 radiographs annotated for ARDS by multiple physicians using various transfer learning approaches. The best performing CNN was tested on chest radiographs in an internal and external cohort, including a subset reviewed by six physicians, including a chest radiologist and physicians trained in intensive care medicine. Chest radiograph data were acquired from four US hospitals.Findings In an internal test set of 1560 chest radiographs from 455 patients with acute hypoxaemic respiratory failure, a CNN could detect ARDS with an area under the receiver operator characteristics curve (AUROC) of 0.92 (95% CI 0.89-0.94). In the subgroup of 413 images reviewed by at least six physicians, its AUROC was 0.93 (95% CI 0.88-0.96), sensitivity 83.0% (95% CI 74.0-91.1), and specificity 88.3% (95% CI 83.1-92.8). Among images with zero of six ARDS annotations (n=155), the median CNN probability was 11%, with six (4%) assigned a probability above 50%. Among images with six of six ARDS annotations (n=27), the median CNN probability was 91%, with two (7%) assigned a probability below 50%. In an external cohort of 958 chest radiographs from 431 patients with sepsis, the AUROC was 0.88 (95% CI 0.85-0.91). When radiographs annotated as equivocal were excluded, the AUROC was 0.93 (0.92-0.95).Interpretation A CNN can be trained to achieve expert physician-level performance in ARDS detection on chest radiographs. Further research is needed to evaluate the use of these algorithms to support real-time identification of ARDS patients to ensure fidelity with evidence-based care or to support ongoing ARDS research. (C) 2021 The Author(s). Published by Elsevier Ltd.</t>
  </si>
  <si>
    <t>Sjoding, Michael W.; Taylor, Daniel; Motyka, Jonathan; Lee, Elizabeth; Co, Ivan; Claar, Dru; McSparron, Jakob, I; Ansari, Sardar; Kerlin, Meeta Prasad; Reilly, John P.; Shashaty, Michael G. S.; Anderson, Brian J.; Jones, Tiffanie K.; Drebin, Harrison M.; Ittner, Caroline A. G.; Meyer, Nuala J.; Iwashyna, Theodore J.; Ward, Kevin R.; Gillies, Christopher E.</t>
  </si>
  <si>
    <t>Sjoding, MW (corresponding author), Univ Michigan, Ann Arbor, MI 48109 USA.</t>
  </si>
  <si>
    <t>msjoding@umich.edu</t>
  </si>
  <si>
    <t>National Institutes of Health, Department of Defense; Department of Veterans Affairs; National Heart Lung and Blood Institute [K23HL140482, K01HL136687, R01HL137006] Funding Source: NIH RePORTER; National Library of Medicine [R01LM013325] Funding Source: NIH RePORTER</t>
  </si>
  <si>
    <t>National Institutes of Health, Department of Defense (United States Department of Health &amp; Human Services, National Institutes of Health (NIH) - USA, NIH National Institute of Neurological Disorders &amp; Stroke (NINDS), United States Department of Defense); Department of Veterans Affairs (US Department of Veterans Affairs); National Heart Lung and Blood Institute (United States Department of Health &amp; Human Services, National Institutes of Health (NIH) - USA, NIH National Heart Lung &amp; Blood Institute (NHLBI)); National Library of Medicine (United States Department of Health &amp; Human Services, National Institutes of Health (NIH) - USA, NIH National Library of Medicine (NLM))</t>
  </si>
  <si>
    <t>National Institutes of Health, Department of Defense, and Department of Veterans Affairs.</t>
  </si>
  <si>
    <t>[Sjoding, Michael W.; Co, Ivan; Claar, Dru; McSparron, Jakob, I; Iwashyna, Theodore J.] Univ Michigan, Med Sch, Dept Internal Med, Div Pulm &amp; Crit Care Med, Ann Arbor, MI 48109 USA; [Sjoding, Michael W.; Ward, Kevin R.] Univ Michigan, Med Sch, Ctr Computat Med &amp; Bioinfonnat, Ann Arbor, MI 48109 USA; [Lee, Elizabeth] Univ Michigan, Med Sch, MD Dept Radiol, Ann Arbor, MI 48109 USA; [Co, Ivan; Ansari, Sardar; Ward, Kevin R.; Gillies, Christopher E.] Univ Michigan, Med Sch, Dept Emergency Med, Ann Arbor, MI 48109 USA; [Sjoding, Michael W.; Taylor, Daniel; Motyka, Jonathan; Co, Ivan; McSparron, Jakob, I; Ansari, Sardar; Ward, Kevin R.; Gillies, Christopher E.] Michigan Ctr Integrat Res Crit Care, Ann Arbor, MI USA; [Sjoding, Michael W.] Univ Michigan, Inst Healthcare Policy &amp; Innovat, Ann Arbor, MI 48109 USA; [Gillies, Christopher E.] Univ Michigan, Michigan Inst Data Sci, Ann Arbor, MI 48109 USA; [Kerlin, Meeta Prasad; Reilly, John P.; Shashaty, Michael G. S.; Anderson, Brian J.; Jones, Tiffanie K.; Drebin, Harrison M.; Ittner, Caroline A. G.; Meyer, Nuala J.] Univ Penn, Perelman Sch Med, Dept Med, Div Pulm Allergy &amp; Crit Care Med, Philadelphia, PA 19104 USA; [Reilly, John P.; Jones, Tiffanie K.; Drebin, Harrison M.; Ittner, Caroline A. G.; Meyer, Nuala J.] Univ Penn, Perelman Sch Med, Ctr Translat Lung Biol, Philadelphia, PA 19104 USA; [Iwashyna, Theodore J.] Ctr Clin Management Res, Ann Arbor, MI USA; [Iwashyna, Theodore J.] Inst Social Res, Ann Arbor, MI USA</t>
  </si>
  <si>
    <t>University of Michigan System; University of Michigan; University of Michigan System; University of Michigan; University of Michigan System; University of Michigan; University of Michigan System; University of Michigan; University of Michigan System; University of Michigan; University of Michigan System; University of Michigan; University of Pennsylvania; Pennsylvania Medicine; University of Pennsylvania; Pennsylvania Medicine</t>
  </si>
  <si>
    <t>Deep learning to detect acute respiratory distress syndrome on chest radiographs: a retrospective study with external validation</t>
  </si>
  <si>
    <t>BERLIN DEFINITION; IMPROVE; ARDS; CLASSIFICATION; RELIABILITY; VENTILATION; CARE</t>
  </si>
  <si>
    <t>Shashaty, Michael/X-3690-2019</t>
  </si>
  <si>
    <t>Sjoding, Michael/0000-0002-0535-9659; Ward, Kevin/0000-0001-5939-409X; Reilly, John/0000-0003-3937-5320; Iwashyna, Theodore/0000-0002-4226-9310</t>
  </si>
  <si>
    <t>E340</t>
  </si>
  <si>
    <t>E348</t>
  </si>
  <si>
    <t>10.1016/S2589-7500(21)00056-X</t>
  </si>
  <si>
    <t>http://dx.doi.org/10.1016/S2589-7500(21)00056-X</t>
  </si>
  <si>
    <t>SI2VY</t>
  </si>
  <si>
    <t>33893070</t>
  </si>
  <si>
    <t>WOS:000654685600005</t>
  </si>
  <si>
    <t>Rizk, B; Brat, H; Zille, P; Guillin, R; Pouchy, C; Adam, C; Ardon, R; D'Assignies, G</t>
  </si>
  <si>
    <t>Purpose: Evaluation of a deep learning approach for the detection of meniscal tears and their characterization (presence/absence of migrated meniscal fragment).Methods: A large annotated adult knee MRI database was built combining medical expertise of radiologists and data scientists' tools. Coronal and sagittal proton density fat suppressed-weighted images of 11,353 knee MRI examinations (10,401 individual patients) paired with their standardized structured reports were retrospectively collected. After database curation, deep learning models were trained and validated on a subset of 8058 examinations. Algorithm performance was evaluated on a test set of 299 examinations reviewed by 5 musculoskeletal specialists and compared to general radiologists' reports. External validation was performed using the publicly available MRNet database. Receiver Operating Characteristic (ROC) curves results and Area Under the Curve (AUC) values were obtained on internal and external databases.Results: A combined architecture of meniscal localization and lesion classification 3D convolutional neural networks reached AUC values of 0.93 (95% CI 0.82, 0.95) for medial and 0.84 (95% CI 0.78, 0.89) for lateral meniscal tear detection, and 0.91 (95% CI 0.87, 0.94) for medial and 0.95 (95% CI 0.92, 0.97) for lateral meniscal tear migration detection. External validation of the combined medial and lateral meniscal tear detection models resulted in an AUC of 0.83 (95% CI 0.75, 0.90) without further training and 0.89 (95% CI 0.82, 0.95) with fine tuning.Conclusion: Our deep learning algorithm demonstrated high performance in knee menisci lesion detection and characterization, validated on an external database.</t>
  </si>
  <si>
    <t>Rizk, B.; Brat, H.; Zille, P.; Guillin, R.; Pouchy, C.; Adam, C.; Ardon, R.; D'Assignies, G.</t>
  </si>
  <si>
    <t>Rizk, B (corresponding author), Ctr Imagerie Fribourg, Grp 3R, Rue Ctr 10, CH-1752 Villars Sur Glane, Switzerland.</t>
  </si>
  <si>
    <t>benrizk@gmx.net</t>
  </si>
  <si>
    <t>[Rizk, B.] Ctr Imagerie Fribourg, Grp 3R, Rue Ctr 10, CH-1752 Villars Sur Glane, Switzerland; [Brat, H.] Inst Radiol Sion, Grp 3R, Rue Scex 2, Sion, Switzerland; [Zille, P.; Pouchy, C.; Adam, C.; Ardon, R.; D'Assignies, G.] Incepto Med, 128 Rue La Boetie, Paris, France; [Guillin, R.] Ctr Hosp Univ Rennes, Dept Med Imaging, Rennes, France</t>
  </si>
  <si>
    <t>Universite de Rennes; CHU Rennes</t>
  </si>
  <si>
    <t>Meniscal lesion detection and characterization in adult knee MRI: A deep learning model approach with external validation</t>
  </si>
  <si>
    <t>PHYSICA MEDICA-EUROPEAN JOURNAL OF MEDICAL PHYSICS</t>
  </si>
  <si>
    <t>Meniscus; Deep learning; Knee; Magnetic Resonance Imaging</t>
  </si>
  <si>
    <t>ADAM, Chloé/0000-0003-1390-786X; RIZK, Benoît/0000-0001-8219-7721; Brat, Hugues/0000-0001-9708-5511</t>
  </si>
  <si>
    <t>71</t>
  </si>
  <si>
    <t>1120-1797</t>
  </si>
  <si>
    <t>1724-191X</t>
  </si>
  <si>
    <t>PHYS MEDICA</t>
  </si>
  <si>
    <t>Phys. Medica</t>
  </si>
  <si>
    <t>10.1016/j.ejmp.2021.02.010</t>
  </si>
  <si>
    <t>http://dx.doi.org/10.1016/j.ejmp.2021.02.010</t>
  </si>
  <si>
    <t>SM9JA</t>
  </si>
  <si>
    <t>33714850</t>
  </si>
  <si>
    <t>WOS:000657912000007</t>
  </si>
  <si>
    <t>Dwivedi, K; Sharkey, M; Alabed, S; Langlotz, CP; Swift, AJ; Bluethgen, C</t>
  </si>
  <si>
    <t>Objectives There is a need for CT pulmonary angiography (CTPA) lung segmentation models. Clinical translation requires radiological evaluation of model outputs, understanding of limitations, and identification of failure points. This multicentre study aims to develop an accurate CTPA lung segmentation model, with evaluation of outputs in two diverse patient cohorts with pulmonary hypertension (PH) and interstitial lung disease (ILD).Methods This retrospective study develops an nnU-Net-based segmentation model using data from two specialist centres (UK and USA). Model was trained (n=37), tested (n=12), and clinically evaluated (n=176) on a diverse 'real-world' cohort of 225 PH patients with volumetric CTPAs. Dice score coefficient (DSC) and normalised surface distance (NSD) were used for testing. Clinical evaluation of outputs was performed by two radiologists who assessed clinical significance of errors. External validation was performed on heterogenous contrast and non-contrast scans from 28 ILD patients.Results A total of 225 PH and 28 ILD patients with diverse demographic and clinical characteristics were evaluated. Mean accuracy, DSC, and NSD scores were 0.998 (95% CI 0.9976, 0.9989), 0.990 (0.9840, 0.9962), and 0.983 (0.9686, 0.9972) respectively. There were no segmentation failures. On radiological review, 82% and 71% of internal and external cases respectively had no errors. Eighteen percent and 25% respectively had clinically insignificant errors. Peripheral atelectasis and consolidation were common causes for suboptimal segmentation. One external case (0.5%) with patulous oesophagus had a clinically significant error.Conclusion State-of-the-art CTPA lung segmentation model provides accurate outputs with minimal clinical errors on evaluation across two diverse cohorts with PH and ILD.</t>
  </si>
  <si>
    <t>Dwivedi, Krit; Sharkey, Michael; Alabed, Samer; Langlotz, Curtis P.; Swift, Andy J.; Bluethgen, Christian</t>
  </si>
  <si>
    <t>Dwivedi, K (corresponding author), Univ Sheffield, Med Sch, Dept Infect Immun Sr Cardiovasc Dis, Sheffield, S Yorkshire, England.</t>
  </si>
  <si>
    <t>k.dwivedi@sheffield.ac.uk</t>
  </si>
  <si>
    <t>Wellcome Trust [222930/Z/21/Z, 203914/Z/16/, 205188/Z/16/Z]; Wellcome Trust [222930/Z/21/Z] Funding Source: Wellcome Trust</t>
  </si>
  <si>
    <t>Wellcome Trust (Wellcome Trust); Wellcome Trust (Wellcome Trust)</t>
  </si>
  <si>
    <t>This study has received funding from the Wellcome Trust. This research was funded in whole, or in part, by the Wellcome Trust [Grant Numbers Krit Dwivedi 222930/Z/21/Z and 4ward North 203914/Z/16/; Andrew Swift AJS 205188/Z/16/Z]. For the purpose of Open Access, the author has applied a CC BY public copyright licence to any Author Accepted Manuscript version arising from this submission.</t>
  </si>
  <si>
    <t>[Dwivedi, Krit; Alabed, Samer; Swift, Andy J.] Univ Sheffield, Med Sch, Dept Infect Immun Sr Cardiovasc Dis, Sheffield, S Yorkshire, England; [Dwivedi, Krit] Royal Hallamshire Hosp, Acad Dept Radiol, Glossop Rd, Sheffield S10 2JF, S Yorkshire, England; [Sharkey, Michael] Sheffield Teaching Hosp NHS Trust, 3DLab, Sheffield, S Yorkshire, England; [Langlotz, Curtis P.; Bluethgen, Christian] Stanford Univ, Stanford Ctr Artificial Intelligence Med &amp; Imagin, Sheffield, S Yorkshire, England</t>
  </si>
  <si>
    <t>University of Sheffield; University of Sheffield; University of Sheffield</t>
  </si>
  <si>
    <t>External validation, radiological evaluation, and development of deep learning automatic lung segmentation in contrast-enhanced chest CT</t>
  </si>
  <si>
    <t>Tomography, X-ray computed; Deep learning; Lung; Hypertension, pulmonary</t>
  </si>
  <si>
    <t>Blüthgen, Christian/I-3050-2019; Swift, Andrew James/GYU-3283-2022; Alabed, Samer/AAO-4969-2020</t>
  </si>
  <si>
    <t>Blüthgen, Christian/0000-0001-7321-5676; Swift, Andrew James/0000-0002-8772-409X; Sharkey, Michael/0000-0001-9851-0014; Alabed, Samer/0000-0002-9960-7587</t>
  </si>
  <si>
    <t>2727</t>
  </si>
  <si>
    <t>2737</t>
  </si>
  <si>
    <t>10.1007/s00330-023-10235-9</t>
  </si>
  <si>
    <t>http://dx.doi.org/10.1007/s00330-023-10235-9</t>
  </si>
  <si>
    <t>P7P2Z</t>
  </si>
  <si>
    <t>37775589</t>
  </si>
  <si>
    <t>WOS:001379776200061</t>
  </si>
  <si>
    <t>Tian, JY; Wang, KX; Wu, PS; Li, JL; Zhang, XD; Wang, XY</t>
  </si>
  <si>
    <t>Objective: To develop and externally validate a binary classification model for lumbar vertebral body fractures based on CT images using deep learning methods. Methods: This study involved data collection from two hospitals for AI model training and external validation. In Cohort A from Hospital 1, CT images from 248 patients, comprising 1508 vertebrae, revealed that 20.9% had fractures (315 vertebrae) and 79.1% were non-fractured (1193 vertebrae). In Cohort B from Hospital 2, CT images from 148 patients, comprising 887 vertebrae, indicated that 14.8% had fractures (131 vertebrae) and 85.2% were non-fractured (756 vertebrae). The AI model for lumbar spine fractures underwent two stages: vertebral body segmentation and fracture classification. The first stage utilized a 3D V-Net convolutional deep neural network, which produced a 3D segmentation map. From this map, region of each vertebra body were extracted and then input into the second stage of the algorithm. The second stage employed a 3D ResNet convolutional deep neural network to classify each proposed region as positive (fractured) or negative (not fractured). Results: The AI model's accuracy for detecting vertebral fractures in Cohort A's training set (n = 1199), validation set (n =157), and test set (n =152) was 100.0 %, 96.2 %, and 97.4 %, respectively. For Cohort B (n =148), the accuracy was 96.3 %. The area under the receiver operating characteristic curve (AUC-ROC) values for the training, validation, and test sets of Cohort A, as well as Cohort B, and their 95 % confidence intervals (CIs) were as follows: 1.000 (1.000, 1.000), 0.978 (0.944, 1.000), 0.986 (0.969, 1.000), and 0.981 (0.970, 0.992). The area under the precision-recall curve (AUC-PR) values were 1.000 (0.996, 1.000), 0.964 (0.927, 0.985), 0.907 (0.924, 0.984), and 0.890 (0.846, 0.971), respectively. According to the DeLong test, there was no significant difference in the AUC-ROC values between the test set of Cohort A and Cohort B, both for the overall data and for each specific vertebral location (all P&gt;0.05). Conclusion: The developed model demonstrates promising diagnostic accuracy and applicability for detecting lumbar vertebral fractures.</t>
  </si>
  <si>
    <t>Tian, Jingyi; Wang, Kexin; Wu, Pengsheng; Li, Jialun; Zhang, Xiaodong; Wang, Xiaoying</t>
  </si>
  <si>
    <t>Wang, XY (corresponding author), Peking Univ First Hosp, Dept Radiol, Beijing, Peoples R China.</t>
  </si>
  <si>
    <t>wangxiaoying@bjmu.edu.cn</t>
  </si>
  <si>
    <t>[Tian, Jingyi; Zhang, Xiaodong; Wang, Xiaoying] Peking Univ First Hosp, Dept Radiol, Beijing, Peoples R China; [Tian, Jingyi] Beijing Water Conservancy Hosp, Dept Radiol, Beijing, Peoples R China; [Wang, Kexin] Capital Med Univ, Sch Basic Med Sci, Beijing, Peoples R China; [Wu, Pengsheng; Li, Jialun] Beijing Smart Tree Med Technol Co Ltd, Beijing, Peoples R China</t>
  </si>
  <si>
    <t>Peking University; Capital Medical University</t>
  </si>
  <si>
    <t>Development of a deep learning model for detecting lumbar vertebral fractures on CT images: An external validation</t>
  </si>
  <si>
    <t>Deep learning; Lumbar vertebral fracture; Classification prediction; 3D ResNet</t>
  </si>
  <si>
    <t>BODY COMPRESSION FRACTURES; CLASSIFICATION; PREVALENCE</t>
  </si>
  <si>
    <t>Zhang, Xiaodong/NQE-3783-2025</t>
  </si>
  <si>
    <t>Zhang, Xiaodong/0000-0001-9866-5817</t>
  </si>
  <si>
    <t>111685</t>
  </si>
  <si>
    <t>10.1016/j.ejrad.2024.111685</t>
  </si>
  <si>
    <t>http://dx.doi.org/10.1016/j.ejrad.2024.111685</t>
  </si>
  <si>
    <t>E6H0X</t>
  </si>
  <si>
    <t>39197270</t>
  </si>
  <si>
    <t>WOS:001303983600001</t>
  </si>
  <si>
    <t>Venäläinen, MS; Biehl, A; Holstila, M; Kuusalo, L; Elo, LL</t>
  </si>
  <si>
    <t>Objectives: Although deep learning has demonstrated substantial potential in automatic quantification of joint damage in RA, evidence for detecting longitudinal changes at an individual patient level is lacking. Here, we introduce and externally validate our automated RA scoring algorithm (AuRA), and demonstrate its utility for monitoring radiographic progression in a real-world setting. Methods: The algorithm, originally developed during the Rheumatoid Arthritis 2-Dialogue for Reverse Engineering Assessment and Methods (RA2-DREAM) challenge, was trained to predict expert-curated Sharp-van der Heijde total scores in hand and foot radiographs from two previous clinical studies (n = 367). We externally validated AuRA against data (n = 205) from Turku University Hospital and compared the performance against two top-performing RA2-DREAM solutions. Finally, for 54 patients, we extracted additional radiograph sets from another control visit to the clinic (average time interval of 4.6 years). Results: In the external validation cohort, with a root mean square error (RMSE) of 23.6, AuRA outperformed both top-performing RA2-DREAM algorithms (RMSEs 35.0 and 35.6). The improved performance was explained mostly by lower errors at higher expert-assessed scores. The longitudinal changes predicted by our algorithm were significantly correlated with changes in expert-assessed scores (Pearson's R = 0.74, P &lt; 0.001). Conclusion: AuRA had the best external validation performance and demonstrated potential for detecting longitudinal changes in joint damage. Available from https://hub.docker.com/r/elolab/aura, our algorithm can easily be applied for automatic detection of radiographic progression in the future, reducing the need for laborious manual scoring.</t>
  </si>
  <si>
    <t>Venalainen, Mikko S.; Biehl, Alexander; Holstila, Milja; Kuusalo, Laura; Elo, Laura L.</t>
  </si>
  <si>
    <t>Elo, LL (corresponding author), Univ Turku, Turku Biosci Ctr, Tykistokatu 6 A, FI-20520 Turku, Finland.; Elo, LL (corresponding author), Abo Akad Univ, Tykistokatu 6 A, FI-20520 Turku, Finland.</t>
  </si>
  <si>
    <t>laura.elo@utu.fi</t>
  </si>
  <si>
    <t>Academy of Finland [677943, 322123, 310561, 314443, 329278, 335434, 335611, 341342]; European Research Council ERC [677943]; European Union [955321]; Sigrid Juselius Foundation; Urpo Huunonen Fund; Aino Taberman Fund of University of Turku; University of Turku Graduate School (UTUGS); Biocenter Finland; ELIXIR Finland; county of Southwest Finland</t>
  </si>
  <si>
    <t>Academy of Finland (Research Council of Finland); European Research Council ERC (European Research Council (ERC)); European Union (European Union (EU)); Sigrid Juselius Foundation (Sigrid Juselius Foundation); Urpo Huunonen Fund; Aino Taberman Fund of University of Turku; University of Turku Graduate School (UTUGS); Biocenter Finland; ELIXIR Finland; county of Southwest Finland</t>
  </si>
  <si>
    <t>M.S.V. reports funding from the Academy of Finland (grant number 322123) and the state research funding of well-being services county of Southwest Finland. L.L.E. reports grants from the European Research Council ERC (677943), European Union's Horizon 2020 research and innovation programme (955321), Academy of Finland (310561, 314443, 329278, 335434, 335611 and 341342) and Sigrid Juselius Foundation during the conduct of the study. L.K. reports funding from the state research funding of well-being services county of Southwest Finland, Urpo Huunonen Fund and Aino Taberman Fund of University of Turku. Our research is also supported by University of Turku Graduate School (UTUGS), Biocenter Finland, and ELIXIR Finland.</t>
  </si>
  <si>
    <t>[Venalainen, Mikko S.; Biehl, Alexander; Elo, Laura L.] Univ Turku, Turku Biosci Ctr, Tykistokatu 6 A, FI-20520 Turku, Finland; [Venalainen, Mikko S.; Biehl, Alexander; Elo, Laura L.] Abo Akad Univ, Tykistokatu 6 A, FI-20520 Turku, Finland; [Venalainen, Mikko S.] Turku Univ Hosp, Dept Med Phys, Turku, Finland; [Holstila, Milja] Univ Turku, Dept Radiol, Turku, Finland; [Holstila, Milja; Kuusalo, Laura] Turku Univ Hosp, Turku, Finland; [Kuusalo, Laura] Turku Univ, Ctr Rheumatol &amp; Clin Immunol, Div Med, Turku, Finland; [Elo, Laura L.] Univ Turku, Inst Biomed, Turku, Finland</t>
  </si>
  <si>
    <t>University of Turku; Abo Akademi University; University of Turku; University of Turku; University of Turku; University of Turku; University of Turku</t>
  </si>
  <si>
    <t>Deep learning enables automatic detection of joint damage progression in rheumatoid arthritis-model development and external validation</t>
  </si>
  <si>
    <t>RHEUMATOLOGY</t>
  </si>
  <si>
    <t>rheumatoid arthritis; radiographic joint damage; radiographic scoring; disease progression; deep learning</t>
  </si>
  <si>
    <t>RADIOGRAPHIC PROGRESSION; MANAGEMENT; DIAGNOSIS; DISEASE</t>
  </si>
  <si>
    <t>Elo, Laura/A-9449-2015; Kuusalo, Laura/JEB-1154-2023</t>
  </si>
  <si>
    <t>Biehl, Alexander/0000-0002-8558-576X</t>
  </si>
  <si>
    <t>1462-0324</t>
  </si>
  <si>
    <t>1462-0332</t>
  </si>
  <si>
    <t>MAY 14 2024</t>
  </si>
  <si>
    <t>1068</t>
  </si>
  <si>
    <t>1076</t>
  </si>
  <si>
    <t>10.1093/rheumatology/keae215</t>
  </si>
  <si>
    <t>http://dx.doi.org/10.1093/rheumatology/keae215</t>
  </si>
  <si>
    <t>Rheumatology</t>
  </si>
  <si>
    <t>Z1A9I</t>
  </si>
  <si>
    <t>38597875</t>
  </si>
  <si>
    <t>WOS:001222519100001</t>
  </si>
  <si>
    <t>Lu, SC; Chen, GY; Liu, AS; Sun, JT; Gao, JW; Huang, CH; Tsai, CL; Fu, LC</t>
  </si>
  <si>
    <t>Background: In-hospital cardiac arrest (IHCA) is a severe and sudden medical emergency that is characterized by the abrupt cessation of circulatory function, leading to death or irreversible organ damage if not addressed immediately. Emergency department (ED)-based IHCA (EDCA) accounts for 10% to 20% of all IHCA cases. Early detection of EDCA is crucial, yet identifying subtle signs of cardiac deterioration is challenging. Traditional EDCA prediction methods primarily rely on structured vital signs or electrocardiogram (ECG) signals, which require additional preprocessing or specialized devices. This study introduces a novel approach using image-based 12-lead ECG data obtained at ED triage, leveraging the inherent richness of visual ECG patterns to enhance prediction and integration into clinical workflows. Objective: This study aims to address the challenge of early detection of EDCA by developing an innovative deep learning model, the ECG-Image-Aware Network (EIANet), which uses 12-lead ECG images for early prediction of EDCA. By focusing on readily available triage ECG images, this research seeks to create a practical and accessible solution that seamlessly integrates into real-world ED workflows. Methods: For adult patients with EDCA (cases), 12-lead ECG images at ED triage were obtained from 2 independent data sets: National Taiwan University Hospital (NTUH) and Far Eastern Memorial Hospital (FEMH). Control ECGswererandomlyselected from adult ED patients without cardiac arrest during the same study period. In EIANet, ECG images werefirst converted to binary form, followed by noise reduction, connected component analysis, and morphological opening. A spatial attention module was incorporated into the ResNet50 architecture to enhance feature extraction, and a custom binary recall loss (BRLoss) was used to balance precision and recall, addressing slight data set imbalance. The model was developed and internally validated on the NTUH-ECG data set and was externally validated on an independent FEMH-ECG data set. The model performance was evaluated using the F1-score, area under the receiver operating characteristic curve (AUROC), and area under the precision-recall curve (AUPRC). Results: There were 571 case ECGs and 826 control ECGs in the NTUH data set and 378 case ECGs and 713 control ECGs in the FEMH data set. The novel EIANet model achieved an F1-score of 0.805, AUROC of 0.896, and AUPRC of 0.842 on the NTUH-ECG data set with a 40% positive sample ratio. It achieved an F1-score of 0.650, AUROC of 0.803, and AUPRC of 0.678 on the FEMH-ECG data set with a 34.6% positive sample ratio. The feature map showed that the region of interest in the ECG was the ST segment. Conclusions: EIANet demonstrates promising potential for accurately predicting EDCA using triage ECG images, offering an effective solution for early detection of high-risk cases in emergency settings. This approach may enhance the ability of health care professionals to make timely decisions, with the potentialto improve patient outcomes by enabling earlier interventions for EDCA.</t>
  </si>
  <si>
    <t>Lu, Shao-Chi; Chen, Guang-Yuan; Liu, An-Sheng; Sun, Jen-Tang; Gao, Jun-Wan; Huang, Chien-Hua; Tsai, Chu-Lin; Fu, Li-Chen</t>
  </si>
  <si>
    <t>Tsai, CL (corresponding author), Natl Taiwan Univ Hosp, Dept Emergency Med, Taipei 100, Taiwan.; Tsai, CL (corresponding author), Natl Taiwan Univ, Coll Med, 1 Jen Ai Rd, Taipei 100, Taiwan.</t>
  </si>
  <si>
    <t>chulintsai@ntu.edu.tw</t>
  </si>
  <si>
    <t>Ministry of Science and Technology of Taiwan; Center for Artificial Intelligence &amp; Advanced Robotics, National Taiwan University [MOST 110-2634-F-002-049, MOST 110-2221-E-002-166-MY3]; National Health Research Institutes [NHRI-EX114-11332PI]; National Science and Technology Council [NSTC 112-2314-B-002-264]; National Taiwan University Hospital [112-UN-0027, 113-UN0017]</t>
  </si>
  <si>
    <t>Ministry of Science and Technology of Taiwan (National Science &amp; Technology Council (NSTC) Taiwan); Center for Artificial Intelligence &amp; Advanced Robotics, National Taiwan University; National Health Research Institutes; National Science and Technology Council; National Taiwan University Hospital (National Taiwan University)</t>
  </si>
  <si>
    <t>We thank the staff of the National Taiwan University Hospital-Integrative Medical Data Center (NTUH-iMDC) for providing clinical data for this study. This research was supported by the Ministry of Science and Technology of Taiwan and Center for Artificial Intelligence &amp; Advanced Robotics, National Taiwan University, under the grant numbers MOST 110-2634-F-002-049 and MOST 110-2221-E-002-166-MY3. This project was also supported by grants from the National Health Research Institutes (NHRI-EX114-11332PI) , National Science and Technology Council (NSTC 112-2314-B-002-264) , and National Taiwan University Hospital (112-UN-0027 and 113-UN0017) . Generative artificial intelligence was not used in any portion of the manuscript generation.</t>
  </si>
  <si>
    <t>[Lu, Shao-Chi; Chen, Guang-Yuan; Liu, An-Sheng; Fu, Li-Chen] Natl Taiwan Univ, Dept Comp Sci &amp; Informat Engn, Taipei, Taiwan; [Sun, Jen-Tang] Far Eastern Mem Hosp, Dept Emergency Med, Taipei, Taiwan; [Gao, Jun-Wan; Huang, Chien-Hua; Tsai, Chu-Lin] Natl Taiwan Univ Hosp, Dept Emergency Med, Taipei 100, Taiwan; [Tsai, Chu-Lin] Natl Taiwan Univ, Coll Med, 1 Jen Ai Rd, Taipei 100, Taiwan</t>
  </si>
  <si>
    <t>National Taiwan University; Far Eastern Memorial Hospital; National Taiwan University; National Taiwan University Hospital; National Taiwan University</t>
  </si>
  <si>
    <t>Deep Learning-Based Electrocardiogram Model (EIANet) to Predict Emergency Department Cardiac Arrest: Development and External Validation Study</t>
  </si>
  <si>
    <t>cardiac arrest; emergency department; deep learning; computer vision; electrocardiogram</t>
  </si>
  <si>
    <t>EARLY WARNING SCORE; HOSPITALIZED-PATIENTS; SURVIVAL; RISK</t>
  </si>
  <si>
    <t>HUANG, CHIEN-HUA/0000-0003-2981-4537; sun, jen tang/0000-0003-2628-9917; TSAI, CHU-LIN/0000-0003-4639-1513; Liu, An-Sheng/0000-0002-8927-1805; Gao, Jun-Wan/0009-0005-2486-7009; Lu, Shao-Chi/0009-0000-8729-1514; Fu, Li-Chen/0000-0002-6947-7646</t>
  </si>
  <si>
    <t>FEB 28 2025</t>
  </si>
  <si>
    <t>e67576</t>
  </si>
  <si>
    <t>10.2196/67576</t>
  </si>
  <si>
    <t>http://dx.doi.org/10.2196/67576</t>
  </si>
  <si>
    <t>1DG4E</t>
  </si>
  <si>
    <t>40053733</t>
  </si>
  <si>
    <t>WOS:001462271200003</t>
  </si>
  <si>
    <t>Lee, DE; Chae, KJ; Jin, GY; Park, SY; Jeong, JS; Ahn, SY</t>
  </si>
  <si>
    <t>Background: There have been no reports on diagnostic performance of deep learning-based automated detection (DLAD) for thoracic diseases in real-world outpatient clinic.Purpose: To validate DLAD for use at an outpatient clinic and analyze the interpretation time for chest radiographs.Material and Methods: This is a retrospective single-center study. From 18 January 2021 to 18 February 2021, 205 chest radiographs with DLAD and paired chest CT from 205 individuals (107 men and 98 women; mean +/- SD age: 63 +/- 8 years) from an outpatient clinic were analyzed for external validation and observer performance. Two radiologists independently reviewed the chest radiographs by referring to the paired chest CT and made reference standards. Two pulmonologists and two thoracic radiologists participated in observer performance tests, and the total amount of time taken during the test was measured.Results: The performance of DLAD (area under the receiver operating characteristic curve [AUC]=0.920) was significantly higher than that of pulmonologists (AUC=0.756) and radiologists (AUC=0.782) without assistance of DLAD. With help of DLAD, the AUCs were significantly higher for both groups (pulmonologists AUC=0.853; radiologists AUC=0.854). A greater than 50% decrease in mean interpretation time was observed in the pulmonologist group with assistance of DLAD compared to mean reading time without aid of DLAD (from 67 s per case to 30 s per case). No significant difference was observed in the radiologist group (from 61 s per case to 61 s per case).Conclusion: DLAD demonstrated good performance in interpreting chest radiographs of patients at an outpatient clinic, and was especially helpful for pulmonologists in improving performance.</t>
  </si>
  <si>
    <t>Lee, Da Eul; Chae, Kum Ju; Jin, Gong Yong; Park, Seung Yong; Jeong, Jae Seok; Ahn, Su Yeon</t>
  </si>
  <si>
    <t>Chae, KJ (corresponding author), Jeonbuk Natl Univ, Jeonbuk Natl Univ Hosp, Dept Radiol, Biomed Res Inst,Res Inst Clin Med, Jeonju 54907, South Korea.</t>
  </si>
  <si>
    <t>para2727@gmail.com</t>
  </si>
  <si>
    <t>We express special thanks to Sara Park for the statistical analysis. We also extend our gratitude to Hea Jin Yang for participating in the observer performance test.</t>
  </si>
  <si>
    <t>[Lee, Da Eul; Chae, Kum Ju; Jin, Gong Yong] Jeonbuk Natl Univ, Jeonbuk Natl Univ Hosp, Res Inst Clin Med, Biomed Res Inst,Dept Radiol, Jeonju, South Korea; [Chae, Kum Ju] Natl Jewish Hlth, Dept Radiol, Denver, CO USA; [Park, Seung Yong; Jeong, Jae Seok] Jeonbuk Natl Univ, Jeonbuk Natl Univ Hosp, Biomed Res Inst, Res Inst Clin Med,Div Resp Med &amp; Allergy,Dept Inte, Jeonju, South Korea; [Ahn, Su Yeon] Konkuk Univ, Sch Med, Med Ctr, Dept Radiol, Seoul, South Korea; [Chae, Kum Ju] Jeonbuk Natl Univ, Jeonbuk Natl Univ Hosp, Dept Radiol, Biomed Res Inst,Res Inst Clin Med, Jeonju 54907, South Korea</t>
  </si>
  <si>
    <t>Jeonbuk National University; Jeonbuk National University Hospital; National Jewish Health; Konkuk University; Konkuk University Medical Center</t>
  </si>
  <si>
    <t>External validation of deep learning-based automated detection algorithm for chest radiograph: practical issues in outpatient clinic</t>
  </si>
  <si>
    <t>ACTA RADIOLOGICA</t>
  </si>
  <si>
    <t>Deep learning; artificial intelligence; chest radiograph; outpatient clinic; external validation; interpretation time</t>
  </si>
  <si>
    <t>Jeong, Jae Seok/GXH-8417-2022</t>
  </si>
  <si>
    <t>Chae, Kum Ju/0000-0003-3012-3530</t>
  </si>
  <si>
    <t>0284-1851</t>
  </si>
  <si>
    <t>1600-0455</t>
  </si>
  <si>
    <t>ACTA RADIOL</t>
  </si>
  <si>
    <t>Acta Radiol.</t>
  </si>
  <si>
    <t>2898</t>
  </si>
  <si>
    <t>2907</t>
  </si>
  <si>
    <t>02841851231202323</t>
  </si>
  <si>
    <t>10.1177/02841851231202323</t>
  </si>
  <si>
    <t>http://dx.doi.org/10.1177/02841851231202323</t>
  </si>
  <si>
    <t>Z9VZ3</t>
  </si>
  <si>
    <t>37750179</t>
  </si>
  <si>
    <t>WOS:001070641500001</t>
  </si>
  <si>
    <t>Krag, CH; Olech, W; Andersen, MB; Taubmann, O; Müller, FC</t>
  </si>
  <si>
    <t>Objectives: We wanted to develop an AI model for the detection of adrenal lesions on CT scans and validate the model on internal and external datasets. Materials and Methods: The model was trained on 647 CT-scans covering the upper abdomen with at least one adrenal lesion. In the internal test dataset 142 consecutive adult patients (median 72 years, 56% female) with adrenal lesions were retrospectively included, while the external dataset included 50 patients with known lung tumors and adrenal lesions. Presence of a lesion was the reference and the prediction score by the model was the index. We evaluated sensitivity and specific at prespecified thresholds and performed ROC-analysis. We also tested for the influence of lesion size, sex, age, scanner type and scan protocol on accuracy using Fisher's exact test and did a false positive / negative analysis. Results: The model had a sensitivity and specificity in the internal test cohort of 91% (86%-95%) and 92% (86%- 97%) and 95% (85%-99%) and 94% (81%-99%) in the external cohort. AUROC ranged between 0.89 and 1.0. There was a significant (p&lt;0.001) lower accuracy in lesions below 1cm and above 4cm. False positive findings were significantly more often on the left (p=0.027) and false negative findings significantly more often on the right (p=0.035). Sex, age, scanner type and scan protocol did not significantly affect accuracy. Conclusion: We developed a model for the detection of adrenal lesions on CT scans covering the upper abdomen. The model achieved a high sensitivity and specificity in an internal and an external validation dataset.</t>
  </si>
  <si>
    <t>Krag, Christian H.; Olech, Weronika; Andersen, Michael B.; Taubmann, Oliver; Mueller, Felix C.</t>
  </si>
  <si>
    <t>Müller, FC (corresponding author), Copenhagen Univ Hosp Herlev &amp; Gentofte, Dept Radiol, Borgmester Ib Juuls Vej 17,Opgang 4,4 Etage E2, DK-2730 Herlev, Denmark.</t>
  </si>
  <si>
    <t>christoph.felix.mueller@regionh.dk</t>
  </si>
  <si>
    <t>[Krag, Christian H.; Olech, Weronika; Andersen, Michael B.; Mueller, Felix C.] Copenhagen Univ Hosp Herlev &amp; Gentofte, Dept Radiol, Borgmester Ib Juuls Vej 17,Opgang 4,4 Etage E2, DK-2730 Herlev, Denmark; [Taubmann, Oliver] Siemens Healthineers, Forchheim, Germany</t>
  </si>
  <si>
    <t>Siemens AG</t>
  </si>
  <si>
    <t>Detection of adrenal gland lesions on CT: Development and external validation of a deep-learning-based model</t>
  </si>
  <si>
    <t>Tomography; X-Ray Computed; Adrenal Glands; Adrenal lesion; Adrenal Gland Neoplasm; Artificial Intelligence</t>
  </si>
  <si>
    <t>PREVALENCE; GUIDELINES; MANAGEMENT</t>
  </si>
  <si>
    <t>Krag, Christian/LXB-0695-2024; Andersen, Michael Brun/AGY-6755-2022</t>
  </si>
  <si>
    <t>Olech, Weronika Elżbieta/0009-0004-6018-5892; Müller, Felix/0000-0003-1051-8439</t>
  </si>
  <si>
    <t>193</t>
  </si>
  <si>
    <t>112430</t>
  </si>
  <si>
    <t>10.1016/j.ejrad.2025.112430</t>
  </si>
  <si>
    <t>http://dx.doi.org/10.1016/j.ejrad.2025.112430</t>
  </si>
  <si>
    <t>8AU4F</t>
  </si>
  <si>
    <t>40997632</t>
  </si>
  <si>
    <t>WOS:001584231900001</t>
  </si>
  <si>
    <t>Khosravi, P; Huck, NA; Shahraki, K; Ghafari, E; Azimi, R; Kim, SY; Crouch, E; Xie, XH; Suh, DW</t>
  </si>
  <si>
    <t>Retinal hemorrhage (RH) is a significant clinical finding with various etiologies, necessitating accurate classification for effective management. This study aims to externally validate deep learning (DL) models, specifically FastVit_SA12 and ResNet18, for distinguishing between traumatic and medical causes of RH using diverse fundus photography datasets. A comprehensive dataset was compiled, including private collections from South Korea and Virginia, alongside publicly available datasets such as RFMiD, BRSET, and DeepEyeNet. The models were evaluated on a total of 2661 images, achieving high performance metrics. FastVit_SA12 demonstrated an overall accuracy of 96.99%, with a precision of 0.9935 and recall of 0.9723 for medical cases, while ResNet18 achieved a 94.66% accuracy with a precision of 0.9893. A Grad-CAM analysis revealed that ResNet18 emphasized global vascular patterns, such as arcuate vessels, while FastVit_SA12 focused on clinically relevant areas, including the optic disk and hemorrhagic regions. Medical cases showed localized activations, whereas trauma-related images displayed diffuse patterns across the fundus. Both models exhibited strong sensitivity and specificity, indicating their potential utility in clinical settings for accurate RH diagnosis. This study underscores the importance of external validation in enhancing the reliability and applicability of AI models in ophthalmology, paving the way for improved patient care and outcomes.</t>
  </si>
  <si>
    <t>Khosravi, Pooya; Huck, Nolan A.; Shahraki, Kourosh; Ghafari, Elina; Azimi, Reza; Kim, So Young; Crouch, Eric; Xie, Xiaohui; Suh, Donny W.</t>
  </si>
  <si>
    <t>Suh, DW (corresponding author), Univ Calif Irvine, Sch Med, Dept Ophthalmol, Irvine, CA 92697 USA.</t>
  </si>
  <si>
    <t>nahuck@hs.uci.edu; xhx@uci.edu; pooyak@hs.uci.edu; kourosh.shahyar@gmail.com; ercrouch@gmail.com; eghafari@hs.uci.edu; razimi1@hs.uci.edu; donnys@hs.uci.edu; ophdrkim@gmail.com</t>
  </si>
  <si>
    <t>Research to Prevent Blindness to the Gavin Herbert Eye Institute at the University of California, Irvine; Research to Prevent Blindness</t>
  </si>
  <si>
    <t>Research to Prevent Blindness to the Gavin Herbert Eye Institute at the University of California, Irvine; Research to Prevent Blindness (Research to Prevent Blindness (RPB))</t>
  </si>
  <si>
    <t>D.W.S. and K.S. acknowledge an unrestricted grant from Research to Prevent Blindness to the Gavin Herbert Eye Institute at the University of California, Irvine.</t>
  </si>
  <si>
    <t>[Khosravi, Pooya; Huck, Nolan A.; Shahraki, Kourosh; Ghafari, Elina; Azimi, Reza; Suh, Donny W.] Univ Calif Irvine, Sch Med, Dept Ophthalmol, Irvine, CA 92697 USA; [Khosravi, Pooya; Xie, Xiaohui] Univ Calif Irvine, Donald Bren Sch Informat &amp; Comp Sci, Irvine, CA 92697 USA; [Kim, So Young] Soonchunhyang Univ, Dept Ophthalmol, Coll Med, Cheonan 31151, South Korea; [Crouch, Eric] Eastern Virginia Med Sch, Dept Ophthalmol, Norfolk, VA 23507 USA</t>
  </si>
  <si>
    <t>University of California System; University of California Irvine; University of California System; University of California Irvine; Soonchunhyang University; Soonchunhyang University Hospital; Eastern Virginia Medical School</t>
  </si>
  <si>
    <t>External Validation of Deep Learning Models for Classifying Etiology of Retinal Hemorrhage Using Diverse Fundus Photography Datasets</t>
  </si>
  <si>
    <t>retinal hemorrhage (RH); deep learning (DL); fundus photography; external validation</t>
  </si>
  <si>
    <t>Shahraki, Kourosh/AAO-8498-2021</t>
  </si>
  <si>
    <t>Khosravi, Pooya/0000-0002-3631-4760; Shahraki, Kourosh/0000-0001-6448-6351; Azimi, Reza/0009-0005-3943-8266; Xie, Xiaohui/0000-0002-5479-6345; Crouch, Eric/0000-0001-6705-4132; Suh, Donny/0000-0003-0348-2060</t>
  </si>
  <si>
    <t>10.3390/bioengineering12010020</t>
  </si>
  <si>
    <t>http://dx.doi.org/10.3390/bioengineering12010020</t>
  </si>
  <si>
    <t>T4F1X</t>
  </si>
  <si>
    <t>39851294</t>
  </si>
  <si>
    <t>WOS:001404576600001</t>
  </si>
  <si>
    <t>Lehnen, NC; Haase, R; Schmeel, FC; Vatter, H; Dorn, F; Radbruch, A; Paech, D</t>
  </si>
  <si>
    <t>BACKGROUND AND PURPOSE: Cerebral aneurysms yield the risk of rupture, severe disability and death. Thus, early detection of cerebral aneurysms is crucial to ensure timely treatment, if necessary. AI-based software tools are expected to enhance radiologists' performance in detecting pathologies like cerebral aneurysms in the future. Our aim was to evaluate the diagnostic performance of an artificial intelligence?based software designed to detect intracranial aneurysms on TOF-MRA.MATERIALS AND METHODS: One hundred ninety-one MR imaging data sets were analyzed using the software mdbrain for the presence of intracranial aneurysms on TOF-MRA obtained using two 3T MR imaging scanners or a 1.5T MR imaging scanner according to our clinical standard protocol. The results were compared with the reading of an experienced radiologist as a criterion standard to measure the sensitivity, specificity, positive and negative predictive values, and accuracy of the software. Additionally, detection rates depending on size, morphology, and location of the aneurysms were evaluated.RESULTS: Fifty-four aneurysms were detected by the expert reader. The overall sensitivity of the software for the detection of cerebral aneurysms was 72.6%, the specificity was 87.2%, and the accuracy was 82.6%. The positive predictive value was 67.9%, and the negative predictive value was 88.5%. We observed a sensitivity of 100% for saccular aneurysms of &gt; 5?mm without signs of thrombosis and low detection rates for fusiform or thrombosed aneurysms of 33.3% and 16.7%, respectively. Of 8 aneurysms that were not included in the initial written reports but were detected by the expert reader, retrospectively, 4 were detected by the software.CONCLUSIONS: Our data suggest that the software can assist radiologists in reporting TOF-MRA. The software was highly reliable in detecting saccular aneurysms, while for fusiform or thrombosed aneurysms, further improvements are needed. Further studies are necessary to investigate the impact of the software on detection rates, interrater reliability, and reading times.</t>
  </si>
  <si>
    <t>Lehnen, N. C.; Haase, R.; Schmeel, F. C.; Vatter, H.; Dorn, F.; Radbruch, A.; Paech, D.</t>
  </si>
  <si>
    <t>Lehnen, NC (corresponding author), Univ Hosp Bonn, Dept Neuroradiol, Venusberg Campus 1, D-53127 Bonn, Germany.</t>
  </si>
  <si>
    <t>nils.lehnen@ukbonn.de</t>
  </si>
  <si>
    <t>[Lehnen, N. C.; Haase, R.; Schmeel, F. C.; Dorn, F.; Radbruch, A.; Paech, D.] Rhein Friedrich Wilhelms Univ Bonn, Univ Hosp Bonn, Dept Neuroradiol, Bonn, Germany; [Vatter, H.] Rhein Friedrich Wilhelms Univ Bonn, Univ Hosp Bonn, Dept Neurosurg, Bonn, Germany; [Lehnen, N. C.] Univ Hosp Bonn, Dept Neuroradiol, Venusberg Campus 1, D-53127 Bonn, Germany</t>
  </si>
  <si>
    <t>University of Bonn; University of Bonn; University of Bonn</t>
  </si>
  <si>
    <t>Automated Detection of Cerebral Aneurysms on TOF-MRA Using a Deep Learning Approach: An External Validation Study</t>
  </si>
  <si>
    <t>COMPUTER-AIDED DIAGNOSIS; INTRACRANIAL ANEURYSMS</t>
  </si>
  <si>
    <t>Radbruch, Alexander/ABA-6277-2021; Lehnen, Nils/AGE-8922-2022; Dorn, Franziska/AAA-7754-2020; Paech, Daniel/AAU-3551-2021; Haase, Robert/LIC-7349-2024</t>
  </si>
  <si>
    <t>Dorn, Franziska/0000-0001-9093-8307; Paech, Daniel/0000-0001-5755-6833; Haase, Robert/0000-0001-6029-4192</t>
  </si>
  <si>
    <t>DEC 1 2022</t>
  </si>
  <si>
    <t>1700</t>
  </si>
  <si>
    <t>1705</t>
  </si>
  <si>
    <t>10.3174/ajnr.A7695</t>
  </si>
  <si>
    <t>http://dx.doi.org/10.3174/ajnr.A7695</t>
  </si>
  <si>
    <t>8G6ZN</t>
  </si>
  <si>
    <t>36357154</t>
  </si>
  <si>
    <t>WOS:000883714700001</t>
  </si>
  <si>
    <t>Ran, JL; Huang, PC; He, M; Deng, LL; Chen, QQ; Qin, YW; Armstrong, DG; Najafi, B; Jude, E; Wang, YZ; Deng, WQ; Du, CZ</t>
  </si>
  <si>
    <t>Introduction: Diabetic peripheral neuropathy (DPN) is a frequent diabetes complication, affecting over half of patients and causing pain, falls, ulcers, and amputations if undetected. Traditional methods like electromyography are resource-intensive and inaccessible. This study developed and validated STRIDE, a machine learning model using wearable gait and balance data for real-time DPN classification. Methods: In this study conducted across multiple centers, 206 participants from Chongqing hospitals were categorized as follows: healthy controls (n = 32), diabetics without DPN (n = 47), asymptomatic DPN (n = 48), and symptomatic DPN (n = 79). A separate group of 42 was used for validation. During a one-minute walk and modified balance test, LEG-Sys/BalanSens sensors produced 68 features. STRIDE used random forest and logistic regression with cross-validation. The metrics used were area under the receiver operating characteristic curve (AUROC), accuracy, sensitivity, specificity, F1-score, and SHAP for interpretability, with a scoring system allowing for real-time evaluation. Results: Random forest achieved AUROC 0.80 (95% CI: 0.64-0.92); logistic regression 0.79 (95% CI: 0.62-0.95). Key SHAP features: stride length variability (weight = 0.61) and double-support time. External validation: initial accuracy 78.6%, recall 86.5%, precision 88.9%; three of four false positives developed DPN within 1 year, yielding 89.3% adjusted concordance. STRIDE outperformed other parameters in mid-term prediction, unaffected by anemia for up to 4 years. Conclusion: STRIDE provides a scalable, interpretable tool for DPN classification, supporting early intervention and improved outcomes. Larger longitudinal studies are needed for clinical integration.</t>
  </si>
  <si>
    <t>Ran, Junlin; Huang, Pengcheng; He, Min; Deng, Liling; Chen, Qingqing; Qin, Yiwen; Armstrong, David G.; Najafi, Bijan; Jude, Edward; Wang, Yanzhong; Deng, Wuquan; Du, Chenzhen</t>
  </si>
  <si>
    <t>Deng, WQ; Du, CZ (corresponding author), Chongqing Univ, Chongqing Univ Cent Hosp, Diabetic Foot Med Res Ctr, Sch Med,Dept Endocrinol, Chongqing, Peoples R China.</t>
  </si>
  <si>
    <t>cdhxyue@126.com; wuquandeng@cqu.edu.cn</t>
  </si>
  <si>
    <t>Noncommunicable Chronic Diseases-National Science and Technology Major Project [2023ZD0509400, 2023ZD0509402]; The 2023 Key Disciplines on Public Health Construction of Chongqing; Natural Science Foundation of Chongqing Municipal Science and Technology Bureau [cstc2024ycjh-bgzxm0014]; Major Project of Science and Technology Research Program of Chongqing Education Commission of China [KJZD-M202400102]; Science and Technology Research Program of Chongqing Municipal Education Commission [KJQN202500108]; Chongqing Science and Health Joint Medical Research Project [2026MSXM063]</t>
  </si>
  <si>
    <t>Noncommunicable Chronic Diseases-National Science and Technology Major Project; The 2023 Key Disciplines on Public Health Construction of Chongqing; Natural Science Foundation of Chongqing Municipal Science and Technology Bureau; Major Project of Science and Technology Research Program of Chongqing Education Commission of China; Science and Technology Research Program of Chongqing Municipal Education Commission; Chongqing Science and Health Joint Medical Research Project</t>
  </si>
  <si>
    <t>This work was supported by the Noncommunicable Chronic Diseases-National Science and Technology Major Project (2023ZD0509400 &amp; 2023ZD0509402), the 2023 Key Disciplines on Public Health Construction of Chongqing, the Natural Science Foundation of Chongqing Municipal Science and Technology Bureau (cstc2024ycjh-bgzxm0014), the Major Project of Science and Technology Research Program of Chongqing Education Commission of China (Grant No. KJZD-M202400102), and the Science and Technology Research Program of Chongqing Municipal Education Commission (Grant No. KJQN202500108) and the Chongqing Science and Health Joint Medical Research Project (Grant No. 2026MSXM063). The authors are entirely responsible for the content, which does not reflect the official views of the funders. The funders were not involved in the study design, data collection, data analysis, or the writing of this manuscript.</t>
  </si>
  <si>
    <t>[Ran, Junlin; Huang, Pengcheng; Deng, Liling; Chen, Qingqing; Deng, Wuquan; Du, Chenzhen] Chongqing Univ, Chongqing Univ Cent Hosp, Diabetic Foot Med Res Ctr, Sch Med,Dept Endocrinol, Chongqing, Peoples R China; [He, Min] Chongqing Southwest Hosp, Gen Practice Dept, Chongqing, Peoples R China; [Armstrong, David G.] Univ Southern Calif, Dept Surg, Keck Sch Med, Los Angeles, CA USA; [Najafi, Bijan] UCLA, Geffen Coll Med, Ctr Adv Surg &amp; Intervent Technol CASIT, Dept Surg, Los Angeles, CA USA; [Jude, Edward] Tameside &amp; Glossop Integrated Care NHS Fdn Trust, Dept Diabet &amp; Endocrinol, Ashton under Lyne, England; [Wang, Yanzhong; Deng, Wuquan] Kings Coll London, Sch Life Course &amp; Populat Hlth Sci, London, England</t>
  </si>
  <si>
    <t>Chongqing University; University of Southern California; University of California System; University of California Los Angeles; University of London; King's College London</t>
  </si>
  <si>
    <t>Int Flow &amp; Toe Res Team iFORT</t>
  </si>
  <si>
    <t>Development and Multicenter External Validation of a Real-Time Artificial Intelligence Diagnostic System for Diabetic Peripheral Neuropathy Based on Wearable Devices</t>
  </si>
  <si>
    <t>GERONTOLOGY</t>
  </si>
  <si>
    <t>Diabetic peripheral neuropathy; Biomechanical parameters; Machine learning; Prediction model</t>
  </si>
  <si>
    <t>GAIT; HISTORY</t>
  </si>
  <si>
    <t>Du, ChenZhen/ABY-3311-2022; Junlin, Ran/JEG-0017-2023; Najafi, Bijan/AAK-5650-2020</t>
  </si>
  <si>
    <t>KARGER</t>
  </si>
  <si>
    <t>ALLSCHWILERSTRASSE 10, CH-4009 BASEL, SWITZERLAND</t>
  </si>
  <si>
    <t>0304-324X</t>
  </si>
  <si>
    <t>1423-0003</t>
  </si>
  <si>
    <t>Gerontology</t>
  </si>
  <si>
    <t>10.1159/000551704</t>
  </si>
  <si>
    <t>http://dx.doi.org/10.1159/000551704</t>
  </si>
  <si>
    <t>Geriatrics &amp; Gerontology</t>
  </si>
  <si>
    <t>JZ4CC</t>
  </si>
  <si>
    <t>41950120</t>
  </si>
  <si>
    <t>WOS:001801595900001</t>
  </si>
  <si>
    <t>Green Published</t>
  </si>
  <si>
    <t>Hatzl, J; Uhl, C; Barb, A; Henning, D; Fiering, J; El-Sanosy, E; Cuypers, PWM; Böckler, D</t>
  </si>
  <si>
    <t>Purpose: This study investigates the accuracy of fully-automated maximum aortic diameter measurements in abdominal aortic aneurysm (AAA) patients using artificial intelligence software (PRAEVAorta 2, Nurea, Bordeaux, France).Materials and Methods: This is a multicenter, retrospective validation study using prospectively collected data from the Zenith alpha for aneurysm Repair Registry (ZEPHYR). Automated measurements of PRAEVAorta 2 are compared with measurements of an internationally recognized core laboratory (Syntactx, New York, New York State). The reviewers at the core laboratory were measurement technologists trained to and utilizing established measurement standards, overseen by vascular surgeons and radiologists. The data set comprised 871 computed tomography angiography scans from the ZEPHYR registry with 347 patients who underwent endovascular aneurysm repair (EVAR) with the Zenith Alpha Endovascular Abdominal Graft (Cook Medical, Bloomington, Indiana) in Germany, Belgium, and The Netherlands between 2016 and 2019.Results: The analysis demonstrated excellent correlation of the measurements (r=0.97) with an intraclass correlation (ICC) of 0.972 (95% confidence interval [CI]=0.968-0.976) across all scans. For preoperative computed tomography (CT) scans, ICC was 0.953 (95% CI=0.941-0.963), and for postoperative scans, ICC was 0.979 (95% CI=0.975-0,983), respectively. In total, 95.4% of measurements were within the clinically acceptable range of 5 mm in absolute difference. In total, 10% of scans demonstrated obvious segmentation errors, mainly due to failure in detecting vessel segments (renal arteries, aortic bifurcation) or due to mis-detecting the outer border of the AAA (duodenum, inferior vena cava, aortic branches) and were excluded from the analysis.Conclusion: In this study, the maximum AAA diameter could be accurately measured fully-automatically by PRAEVAorta 2 (Nurea) in most cases demonstrating that artificial intelligence (AI) software could serve as an important adjunct for research and clinical practice. However, critical review of the generated reports by an experienced observer and cautious use is warranted to identify flawed segmentations.Clinical Impact This multicenter, retrospective validation study assessed the accuracy of fully-automated maximum infrarenal aortic aneurysm diameter measurements. It was demonstrated, that 95.4% of measurements were within the clinically acceptable range of 5 mm in absolute difference, positioning the software as a potential adjunct for clinical practice and research. It is also highlighted however, that critical review of the measurements is obligatory, due to a 10% segmentation error rate.</t>
  </si>
  <si>
    <t>Hatzl, Johannes; Uhl, Christian; Barb, Alexandru; Henning, Daniel; Fiering, Jonathan; El-Sanosy, Edris; Cuypers, Philippe W. M.; Boeckler, Dittmar</t>
  </si>
  <si>
    <t>Hatzl, J (corresponding author), Univ Hosp Heidelberg, Dept Vasc &amp; Endovascular Surg, Neuenheimer Feld 420, D-69120 Heidelberg, Germany.</t>
  </si>
  <si>
    <t>johannes.hatzl@web.de</t>
  </si>
  <si>
    <t>Dietmar Hopp Stiftung</t>
  </si>
  <si>
    <t>The author(s) disclosed receipt of the following financial support for the research, authorship, and/or publication of this article: This study was funded by the "Dietmar Hopp Stiftung."</t>
  </si>
  <si>
    <t>[Hatzl, Johannes; Barb, Alexandru; Henning, Daniel; Fiering, Jonathan; El-Sanosy, Edris; Boeckler, Dittmar] Univ Hosp Heidelberg, Dept Vasc &amp; Endovascular Surg, Neuenheimer Feld 420, D-69120 Heidelberg, Germany; [Uhl, Christian] Univ Hosp RWTH Aachen, Dept Vasc Surg, Aachen, Germany; [Cuypers, Philippe W. M.] Catharina Hosp, Dept Vasc Surg, Eindhoven, Netherlands</t>
  </si>
  <si>
    <t>Ruprecht Karls University Heidelberg; RWTH Aachen University; RWTH Aachen University Hospital; Catharina Hospital</t>
  </si>
  <si>
    <t>Zephyr Study Grp Collaborators</t>
  </si>
  <si>
    <t>External Validation of Fully-Automated Infrarenal Maximum Aortic Aneurysm Diameter Measurements in Computed Tomography Angiography Scans Using Artificial Intelligence (PRAEVAorta 2)</t>
  </si>
  <si>
    <t>JOURNAL OF ENDOVASCULAR THERAPY</t>
  </si>
  <si>
    <t>EVAR; artificial intelligence; abdominal aortic aneurysm; endovascular; automated</t>
  </si>
  <si>
    <t>INTEROBSERVER VARIABILITY; VASCULAR-SURGERY</t>
  </si>
  <si>
    <t>Fiering, Jonathan/0000-0001-6895-9072; Hatzl, Johannes/0000-0002-3152-7791</t>
  </si>
  <si>
    <t>1526-6028</t>
  </si>
  <si>
    <t>1545-1550</t>
  </si>
  <si>
    <t>J ENDOVASC THER</t>
  </si>
  <si>
    <t>J. Endovascular Ther.</t>
  </si>
  <si>
    <t>10.1177/15266028241295563</t>
  </si>
  <si>
    <t>http://dx.doi.org/10.1177/15266028241295563</t>
  </si>
  <si>
    <t>Surgery; Peripheral Vascular Disease</t>
  </si>
  <si>
    <t>Surgery; Cardiovascular System &amp; Cardiology</t>
  </si>
  <si>
    <t>L8T1P</t>
  </si>
  <si>
    <t>39534983</t>
  </si>
  <si>
    <t>WOS:001353382400001</t>
  </si>
  <si>
    <t>Liu, ZY; Xu, J; Yin, CL; Han, GJ; Che, Y; Fan, G; Li, XF; Xie, LX; Bao, L; Peng, ZM; Wang, JD; Chen, Y; Zhang, FW; Ouyang, WB; Wang, SZ; Guo, JW; Ma, YQ; Meng, XZ; Fan, TB; Zhi, AH; Dawaciren; Yi, K; You, T; Yang, YJ; Liu, J; Shi, Y; Huang, Y; Pan, XB</t>
  </si>
  <si>
    <t>Problem: Chest radiography is a crucial tool for diagnosing thoracic disorders, but interpretation errors and a lack of qualified practitioners can cause delays in treatment. Aim: This study aimed to develop a reliable multi-classification artificial intelligence (AI) tool to improve the accuracy and efficiency of chest radiograph diagnosis. Methods: We developed a convolutional neural network (CNN) capable of distinguishing among 26 thoracic diagnoses. The model was trained and externally validated using 795,055 chest radiographs from 13 datasets across 4 countries. Results: The CNN model achieved an average area under the curve (AUC) of 0.961 across all 26 diagnoses in the testing set. COVID-19 detection achieved perfect accuracy (AUC 1.000, [95% confidence interval {CI}, 1.000 to 1.000]), while effusion or pleural effusion detection showed the lowest accuracy (AUC 0.8453, [95% CI, 0.8417 to 0.8489]). In external validation, the model demonstrated strong reproducibility and generalizability within the local dataset, achieving an AUC of 0.9634 for lung opacity detection (95% CI, 0.9423 to 0.9702). The CNN outperformed both radiologists and nonradiological physicians, particularly in trans-device image recognition. Even for diseases not specifically trained on, such as aortic dissection, the AI model showed considerable scalability and enhanced diagnostic accuracy for physicians of varying experience levels (all P &lt; 0.05). Additionally, our model exhibited no gender bias (P &gt; 0.05). Conclusion: The developed AI algorithm, now available as professional web-based software, substantively improves chest radiograph interpretation. This research advances medical imaging and offers substantial diagnostic support in clinical settings.</t>
  </si>
  <si>
    <t>Liu, Zeye; Xu, Jing; Yin, Chengliang; Han, Guojing; Che, Yue; Fan, Ge; Li, Xiaofei; Xie, Lixin; Bao, Lei; Peng, Zimin; Wang, Jinduo; Chen, Yan; Zhang, Fengwen; Ouyang, Wenbin; Wang, Shouzheng; Guo, Junwei; Ma, Yanqiu; Meng, Xiangzhi; Fan, Taibing; Zhi, Aihua; Dawaciren; Yi, Kang; You, Tao; Yang, Yuejin; Liu, Jue; Shi, Yi; Huang, Yuan; Pan, Xiangbin</t>
  </si>
  <si>
    <t>Shi, Y (corresponding author), Peking Univ, Peking Univ Peoples Hosp, Dept Cardiac Surg, Beijing, Peoples R China.; Yang, YJ; Huang, Y (corresponding author), Chinese Acad Med Sci &amp; Peking Union Med Coll, Natl Ctr Cardiovasc Dis, Fuwai Hosp, State Key Lab Cardiovasc Dis, Beijing, Peoples R China.; Pan, XB (corresponding author), Chinese Acad Med Sci &amp; Peking Union Med Coll, China &amp; Fuwai Hosp, Natl Ctr Cardiovasc Dis, Dept Struct Heart Dis, Beijing 100037, Peoples R China.; Liu, J; Pan, XB (corresponding author), Natl Hlth Commiss, Key Lab Cardiovasc Regenerat Med, Beijing 100037, Peoples R China.; Pan, XB (corresponding author), Chinese Acad Med Sci, Key Lab Innovat Cardiovasc Devices, Beijing 100037, Peoples R China.; Liu, J; Pan, XB (corresponding author), Chinese Acad Med Sci, Fuwai Hosp, Natl Clin Res Ctr Cardiovasc Dis, Beijing 100037, Peoples R China.</t>
  </si>
  <si>
    <t>shiyi1088@126.com; jueliu@bjmu.edu.cn; panxiangbin@fuwaihospital.org; yangyjfw@126.com; clevelandhuangyuan@163.com</t>
  </si>
  <si>
    <t>Fundamental Research Funds for the Central Universities [2019PT350005]; National Natural Science Foundation of China [81970444, 82300345]; Beijing Municipal Science and Technology Project [Z201100005420030]; National high level talents special support plan [2020-RSW02]; CAMS Innovation Fund for Medical Sciences [2021-I2M-1-065]; Sanming Project of Medicine in Shenzhen [SZSM202011013]; The project for the distinguishing academic discipline of Fuwai Hospital [2022-FWQN16]; National High Level Hospital Clinical Research Funding [2023-GSP-RC-04, 2023-GSP-QN-23]</t>
  </si>
  <si>
    <t>Fundamental Research Funds for the Central Universities (Fundamental Research Funds for the Central Universities); National Natural Science Foundation of China (National Natural Science Foundation of China (NSFC)); Beijing Municipal Science and Technology Project; National high level talents special support plan; CAMS Innovation Fund for Medical Sciences (CAMS Innovation Fund for Medical Sciences (CIFMS)); Sanming Project of Medicine in Shenzhen; The project for the distinguishing academic discipline of Fuwai Hospital; National High Level Hospital Clinical Research Funding</t>
  </si>
  <si>
    <t>This work was supported by the Fundamental Research Funds for the Central Universities (2019PT350005), National Natural Science Foundation of China (nos. 81970444 and 82300345), Beijing Municipal Science and Technology Project (Z201100005420030), National high level talents special support plan (2020-RSW02), CAMS Innovation Fund for Medical Sciences (2021-I2M-1-065), Sanming Project of Medicine in Shenzhen (SZSM202011013), the project for the distinguishing academic discipline of Fuwai Hospital (2022-FWQN16), the National High Level Hospital Clinical Research Funding (2023-GSP-QN-23), and the National High Level Hospital Clinical Research Funding (2023-GSP-RC-04).</t>
  </si>
  <si>
    <t>[Liu, Zeye; Shi, Yi] Peking Univ, Peking Univ Peoples Hosp, Dept Cardiac Surg, Beijing, Peoples R China; [Xu, Jing; Yang, Yuejin; Huang, Yuan] Chinese Acad Med Sci &amp; Peking Union Med Coll, Natl Ctr Cardiovasc Dis, Fuwai Hosp, State Key Lab Cardiovasc Dis, Beijing, Peoples R China; [Liu, Zeye; Zhang, Fengwen; Ouyang, Wenbin; Wang, Shouzheng; Pan, Xiangbin] Chinese Acad Med Sci &amp; Peking Union Med Coll, China &amp; Fuwai Hosp, Natl Ctr Cardiovasc Dis, Dept Struct Heart Dis, Beijing 100037, Peoples R China; [Liu, Zeye; Zhang, Fengwen; Ouyang, Wenbin; Wang, Shouzheng; Liu, Jue; Pan, Xiangbin] Natl Hlth Commiss, Key Lab Cardiovasc Regenerat Med, Beijing 100037, Peoples R China; [Liu, Zeye; Zhang, Fengwen; Ouyang, Wenbin; Wang, Shouzheng; Pan, Xiangbin] Chinese Acad Med Sci, Key Lab Innovat Cardiovasc Devices, Beijing 100037, Peoples R China; [Liu, Zeye; Zhang, Fengwen; Ouyang, Wenbin; Wang, Shouzheng; Liu, Jue; Pan, Xiangbin] Chinese Acad Med Sci, Fuwai Hosp, Natl Clin Res Ctr Cardiovasc Dis, Beijing 100037, Peoples R China; [Yin, Chengliang] Chinese Peoples Liberat Army Gen Hosp, Med Big Data Res Ctr, Med Innovat Res Div, Beijing, Peoples R China; [Yin, Chengliang] Chinese Peoples Liberat Army PLA Gen Hosp, Natl Engn Res Ctr Med Big Data Applicat Technol, Beijing, Peoples R China; [Han, Guojing; Xie, Lixin] Chinese Peoples Liberat Army Gen Hosp, Coll Pulm &amp; Crit Care Med, Beijing, Peoples R China; [Che, Yue] Renmin Univ China, Ctr Hlth Policy Res &amp; Evaluat, Beijing, Peoples R China; [Che, Yue] Renmin Univ China, Sch Publ Adm &amp; Policy, Beijing, Peoples R China; [Fan, Ge] Tencent Inc, Lightspeed &amp; Quantum Studios, Shenzhen, Peoples R China; [Li, Xiaofei] Chinese Acad Med Sci &amp; Peking Union Med Coll, Fuwai Hosp, Dept Cardiol, Beijing, Peoples R China; [Bao, Lei; Peng, Zimin] Shenzhen Benevolence Med Sci&amp;Tech Co Ltd, Shenzhen, Peoples R China; [Wang, Jinduo; Chen, Yan] Univ Sci &amp; Technol China, Sch Cyber Sci &amp; Technol, Hefei 230000, Peoples R China; [Guo, Junwei] Chinese Acad Med Sci &amp; Peking Union Med Coll, Peking Union Med Coll Hosp, Dept Resp &amp; Crit Care Med, Beijing, Peoples R China; [Ma, Yanqiu] Peking Univ Third Hosp, Beijing, Peoples R China; [Meng, Xiangzhi] Chinese Acad Med Sci &amp; Peking Union Med Coll, Natl Canc Ctr, Dept Thorac Surg Oncol, Canc Hosp, Beijing 100021, Peoples R China; [Fan, Taibing] Zhengzhou Univ, Dept Pediat Cardiac Surg, Fuwai Cent China Cardiovasc Hosp, Zhengzhou 450000, Henan, Peoples R China; [Zhi, Aihua] Fuwai Yunnan Cardiovasc Hosp, Dept Med Imaging, Kunming 650000, Peoples R China; [Dawaciren] Autonomous Reg Peoples Hosp, Xizang, Peoples R China; [Yi, Kang; You, Tao] Gansu Prov Hosp, Dept Cardiovasc Surg, Lanzhou, Peoples R China; [Yi, Kang; You, Tao] Gansu Int Sci &amp; Technol Cooperat Base Diag &amp; Treat, Lanzhou, Peoples R China; Peking Univ, Sch Publ Hlth, Dept Epidemiol &amp; Biostat, Beijing, Peoples R China; Chinese Acad Med Sci &amp; Peking Union Med Coll, Cardiac Surg Ctr, Fuwai Hosp, State Key Lab Cardiovasc Dis,Natl Ctr Cardiovasc D, Beijing, Peoples R China</t>
  </si>
  <si>
    <t>Peking University; Chinese Academy of Medical Sciences - Peking Union Medical College; Fu Wai Hospital - CAMS; Peking Union Medical College; Chinese Academy of Medical Sciences - Peking Union Medical College; Fu Wai Hospital - CAMS; Peking Union Medical College; Chinese Academy of Medical Sciences - Peking Union Medical College; Chinese Academy of Medical Sciences - Peking Union Medical College; Fu Wai Hospital - CAMS; Chinese People's Liberation Army General Hospital; Chinese People's Liberation Army General Hospital; Chinese People's Liberation Army General Hospital; Renmin University of China; Renmin University of China; Tencent; Chinese Academy of Medical Sciences - Peking Union Medical College; Fu Wai Hospital - CAMS; Peking Union Medical College; Chinese Academy of Sciences; University of Science &amp; Technology of China, CAS; Chinese Academy of Medical Sciences - Peking Union Medical College; Peking Union Medical College; Peking Union Medical College Hospital; Peking University; Chinese Academy of Medical Sciences - Peking Union Medical College; Cancer Institute &amp; Hospital - CAMS; Peking Union Medical College; Zhengzhou University; Peking University; Chinese Academy of Medical Sciences - Peking Union Medical College; Fu Wai Hospital - CAMS; Peking Union Medical College</t>
  </si>
  <si>
    <t>Development and External Validation of an Artificial Intelligence-Based Method for Scalable Chest Radiograph Diagnosis: A Multi-Country Cross-Sectional Study</t>
  </si>
  <si>
    <t>RESEARCH</t>
  </si>
  <si>
    <t>X-RAY; COVID-19; FEASIBILITY; IMAGES</t>
  </si>
  <si>
    <t>Chen, Yan/P-5344-2019; guo, junwei/GSI-5525-2022; Liu, Jue/AAF-7581-2021; Che, Yue/GRE-7952-2022; Huang, Yuan/KBB-0345-2024; yin, chengliang/ADP-5778-2022; Li, Xiaofei/AFC-6690-2022</t>
  </si>
  <si>
    <t>Wang, Shouzheng/0000-0003-1856-7825; Xu, Jing/0000-0001-8708-6748; Liu, Zeye/0009-0000-8607-5406; Huang, Yuan/0000-0002-1420-8932; Pan, Xiangbin/0009-0006-0134-4157; Chen, Yan/0000-0002-3227-4562</t>
  </si>
  <si>
    <t>AMER ASSOC ADVANCEMENT SCIENCE</t>
  </si>
  <si>
    <t>1200 NEW YORK AVE, NW, WASHINGTON, DC 20005 USA</t>
  </si>
  <si>
    <t>2096-5168</t>
  </si>
  <si>
    <t>2639-5274</t>
  </si>
  <si>
    <t>RESEARCH-CHINA</t>
  </si>
  <si>
    <t>Research</t>
  </si>
  <si>
    <t>AUG 6 2024</t>
  </si>
  <si>
    <t>0426</t>
  </si>
  <si>
    <t>10.34133/research.0426</t>
  </si>
  <si>
    <t>http://dx.doi.org/10.34133/research.0426</t>
  </si>
  <si>
    <t>C9B6U</t>
  </si>
  <si>
    <t>39109248</t>
  </si>
  <si>
    <t>WOS:001292248700001</t>
  </si>
  <si>
    <t>Kim, C; Yang, ZP; Park, SH; Hwang, SH; Oh, YW; Kang, EY; Yong, HS</t>
  </si>
  <si>
    <t>Objectives To externally validate the performance of a commercial AI software program for interpreting CXRs in a large, consecutive, real-world cohort from primary healthcare centres.Methods A total of 3047 CXRs were collected from two primary healthcare centres, characterised by low disease prevalence, between January and December 2018. All CXRs were labelled as normal or abnormal according to CT findings. Four radiology residents read all CXRs twice with and without AI assistance. The performances of the AI and readers with and without AI assistance were measured in terms of area under the receiver operating characteristic curve (AUROC), sensitivity, and specificity.Results The prevalence of clinically significant lesions was 2.2% (68 of 3047). The AUROC, sensitivity, and specificity of the AI were 0.648 (95% confidence interval [CI] 0.630-0.665), 35.3% (CI, 24.7-47.8), and 94.2% (CI, 93.3-95.0), respectively. AI detected 12 of 41 pneumonia, 3 of 5 tuberculosis, and 9 of 22 tumours. AI-undetected lesions tended to be smaller than true positive lesions. The readers' AUROCs ranged from 0.534-0.676 without AI and 0.571-0.688 with AI (all p values &lt; 0.05). For all readers, the mean reading time was 2.96-10.27 s longer with AI assistance (all p values &lt; 0.05).Conclusions The performance of commercial AI in these high-volume, low-prevalence settings was poorer than expected, although it modestly boosted the performance of less-experienced readers. The technical prowess of AI demonstrated in experimental settings and approved by regulatory bodies may not directly translate to real-world practice, especially where the demand for AI assistance is highest.</t>
  </si>
  <si>
    <t>Kim, Cherry; Yang, Zepa; Park, Seong Ho; Hwang, Sung Ho; Oh, Yu-Whan; Kang, Eun-Young; Yong, Hwan Seok</t>
  </si>
  <si>
    <t>Yong, HS (corresponding author), Korea Univ, Guro Hosp, Dept Radiol, Coll Med, 33-41 Gurodong Ro 28 Gil, Seoul 08308, South Korea.</t>
  </si>
  <si>
    <t>yhwanseok@naver.com</t>
  </si>
  <si>
    <t>DongKook Life Science Co., Lunit Inc.; Department of Radiology of Korea University Medical Center</t>
  </si>
  <si>
    <t>DongKook Life Science Co., Lunit Inc.; Department of Radiology of Korea University Medical Center (Korea University)</t>
  </si>
  <si>
    <t>This study has received funding from DongKook Life Science Co., Lunit Inc., and the Department of Radiology of Korea University Medical Center.</t>
  </si>
  <si>
    <t>[Kim, Cherry] Korea Univ, Ansan Hosp, Dept Radiol, Coll Med, 123 Jeokgeum Ro, Ansan 15355, Gyeonggin, South Korea; [Yang, Zepa] Korea Univ, Guro Hosp, Biomed Res Ctr, Coll Med, Seoul 08308, South Korea; [Park, Seong Ho] Univ Ulsan, Asan Med Ctr, Dept Radiol, Coll Med, Seoul 05505, South Korea; [Park, Seong Ho] Univ Ulsan, Res Inst Radiol, Asan Med Ctr, Coll Med, Seoul 05505, South Korea; [Hwang, Sung Ho; Oh, Yu-Whan] Korea Univ, Anam Hosp, Dept Radiol, Coll Med, Seoul 02841, South Korea; [Kang, Eun-Young; Yong, Hwan Seok] Korea Univ, Guro Hosp, Dept Radiol, Coll Med, 33-41 Gurodong Ro 28 Gil, Seoul 08308, South Korea</t>
  </si>
  <si>
    <t>Korea University; Korea University Medicine (KU Medicine); Korea University; Korea University Medicine (KU Medicine); University of Ulsan; Asan Medical Center; University of Ulsan; Asan Medical Center; Korea University; Korea University Medicine (KU Medicine); Korea University; Korea University Medicine (KU Medicine)</t>
  </si>
  <si>
    <t>Multicentre external validation of a commercial artificial intelligence software to analyse chest radiographs in health screening environments with low disease prevalence</t>
  </si>
  <si>
    <t>Artificial intelligence; Thoracic radiography; Software; Multicentre study; Validation study</t>
  </si>
  <si>
    <t>CLINICAL VALIDATION</t>
  </si>
  <si>
    <t>Hwang, Sung Ho/V-4159-2019; Yang, Zepa/GVT-9696-2022</t>
  </si>
  <si>
    <t>Hwang, Sung Ho/0000-0003-1850-0751; Yong, Hwan Seok/0000-0003-0247-8932; Kim, Cherry/0000-0002-3361-5496</t>
  </si>
  <si>
    <t>3501</t>
  </si>
  <si>
    <t>3509</t>
  </si>
  <si>
    <t>10.1007/s00330-022-09315-z</t>
  </si>
  <si>
    <t>http://dx.doi.org/10.1007/s00330-022-09315-z</t>
  </si>
  <si>
    <t>KG2X8</t>
  </si>
  <si>
    <t>36624227</t>
  </si>
  <si>
    <t>WOS:000911288500001</t>
  </si>
  <si>
    <t>Rudolph, J; Schachtner, B; Fink, N; Koliogiannis, V; Schwarze, V; Goller, S; Trappmann, L; Hoppe, BF; Mansour, N; Fischer, M; Ben Khaled, N; Jörgens, M; Dinkel, J; Kunz, WG; Ricke, J; Ingrisch, M; Sabel, BO; Rueckel, J</t>
  </si>
  <si>
    <t>Artificial intelligence (AI) algorithms evaluating [supine] chest radiographs ([S]CXRs) have remarkably increased in number recently. Since training and validation are often performed on subsets of the same overall dataset, external validation is mandatory to reproduce results and reveal potential training errors. We applied a multicohort benchmarking to the publicly accessible (S)CXR analyzing AI algorithm CheXNet, comprising three clinically relevant study cohorts which differ in patient positioning ([S]CXRs), the applied reference standards (CT-/[S]CXR-based) and the possibility to also compare algorithm classification with different medical experts' reading performance. The study cohorts include [1] a cohort, characterized by 563 CXRs acquired in the emergency unit that were evaluated by 9 readers (radiologists and non-radiologists) in terms of 4 common pathologies, [2] a collection of 6,248 SCXRs annotated by radiologists in terms of pneumothorax presence, its size and presence of inserted thoracic tube material which allowed for subgroup and confounding bias analysis and [3] a cohort consisting of 166 patients with SCXRs that were evaluated by radiologists for underlying causes of basal lung opacities, all of those cases having been correlated to a timely acquired computed tomography scan (SCXR and CT within &lt; 90 min). CheXNet non-significantly exceeded the radiology resident (RR) consensus in the detection of suspicious lung nodules (cohort [1], AUC AI/RR: 0.851/0.839, p = 0.793) and the radiological readers in the detection of basal pneumonia (cohort [3], AUC AI/reader consensus: 0.825/0.782, p = 0.390) and basal pleural effusion (cohort [3], AUC AI/reader consensus: 0.762/0.710, p = 0.336) in SCXR, partly with AUC values higher than originally published ("Nodule": 0.780, "Infiltration": 0.735, "Effusion": 0.864). The classifier "Infiltration" turned out to be very dependent on patient positioning (best in CXR, worst in SCXR). The pneumothorax SCXR cohort [2] revealed poor algorithm performance in CXRs without inserted thoracic material and in the detection of small pneumothoraces, which can be explained by a known systematic confounding error in the algorithm training process. The benefit of clinically relevant external validation is demonstrated by the differences in algorithm performance as compared to the original publication. Our multi-cohort benchmarking finally enables the consideration of confounders, different reference standards and patient positioning as well as the AI performance comparison with differentially qualified medical readers.</t>
  </si>
  <si>
    <t>Rudolph, Jan; Schachtner, Balthasar; Fink, Nicola; Koliogiannis, Vanessa; Schwarze, Vincent; Goller, Sophia; Trappmann, Lena; Hoppe, Boj F.; Mansour, Nabeel; Fischer, Maximilian; Ben Khaled, Najib; Joergens, Maximilian; Dinkel, Julien; Kunz, Wolfgang G.; Ricke, Jens; Ingrisch, Michael; Sabel, Bastian O.; Rueckel, Johannes</t>
  </si>
  <si>
    <t>Rudolph, J (corresponding author), Ludwig Maximilians Univ Munchen, Dept Radiol, Univ Hosp, Marchioninistr 15, D-81377 Munich, Germany.</t>
  </si>
  <si>
    <t>jan.rudolph@med.uni-muenchen.de</t>
  </si>
  <si>
    <t>Projekt DEAL; Siemens Healthcare GmbH</t>
  </si>
  <si>
    <t>Projekt DEAL (Projekt DEAL); Siemens Healthcare GmbH</t>
  </si>
  <si>
    <t>Open Access funding enabled and organized by Projekt DEAL. Department of Radiology, University Hospital, LMU Munich received funding (research cooperation) from Siemens Healthcare GmbH.</t>
  </si>
  <si>
    <t>[Rudolph, Jan; Schachtner, Balthasar; Fink, Nicola; Koliogiannis, Vanessa; Schwarze, Vincent; Goller, Sophia; Trappmann, Lena; Hoppe, Boj F.; Mansour, Nabeel; Dinkel, Julien; Kunz, Wolfgang G.; Ricke, Jens; Ingrisch, Michael; Sabel, Bastian O.; Rueckel, Johannes] Ludwig Maximilians Univ Munchen, Dept Radiol, Univ Hosp, Marchioninistr 15, D-81377 Munich, Germany; [Schachtner, Balthasar; Fink, Nicola; Dinkel, Julien] German Ctr Lung Res, Comprehens Pneumol Ctr, Munich, Germany; [Fischer, Maximilian] Ludwig Maximilians Univ Munchen, Dept Med 1, Univ Hosp, Munich, Germany; [Ben Khaled, Najib] Ludwig Maximilians Univ Munchen, Dept Med 2, Univ Hosp, Munich, Germany; [Joergens, Maximilian] Musculoskeletal Univ Ctr Munich MUM, Univ Hosp, Dept Orthopaed &amp; Trauma Surg, LMU Munich, Munich, Germany; [Dinkel, Julien] Asklepios Fachklin Munchen, Dept Radiol, Gauting, Germany; [Rueckel, Johannes] Ludwig Maximilians Univ Munchen, Inst Neuroradiol, Univ Hosp, Munich, Germany</t>
  </si>
  <si>
    <t>University of Munich; University of Munich; University of Munich; University of Munich; University of Munich</t>
  </si>
  <si>
    <t>Clinically focused multi-cohort benchmarking as a tool for external validation of artificial intelligence algorithm performance in basic chest radiography analysis</t>
  </si>
  <si>
    <t>MARROW TRANSPLANT PATIENTS; EMERGENCY-DEPARTMENT; DIAGNOSTIC-ACCURACY; X-RAY; PNEUMONIA; CANCER; CLASSIFICATION</t>
  </si>
  <si>
    <t>Fischer, Maximilian/LCD-3266-2024; Wesp, Philipp/HNO-9426-2023; Rudolph, Jan/JRX-8049-2023; Mansour, Nabeel/GYE-0355-2022; Ben Khaled, Najib/OLP-9332-2025; Jörgens, Maximilian/PSK-5104-2026; Ingrisch, Michael/T-3408-2017</t>
  </si>
  <si>
    <t>Jörgens, Maximilian/0000-0002-1877-7673; Fischer, Maximilian/0000-0001-9172-3316; Hoppe, Boj Frieich/0000-0001-6248-5128</t>
  </si>
  <si>
    <t>JUL 27 2022</t>
  </si>
  <si>
    <t>12764</t>
  </si>
  <si>
    <t>10.1038/s41598-022-16514-7</t>
  </si>
  <si>
    <t>http://dx.doi.org/10.1038/s41598-022-16514-7</t>
  </si>
  <si>
    <t>3H2RJ</t>
  </si>
  <si>
    <t>35896763</t>
  </si>
  <si>
    <t>WOS:000831887000056</t>
  </si>
  <si>
    <t>Attia, ZI; Kapa, S; Yao, XX; Lopez-Jimenez, F; Mohan, TL; Pellikka, PA; Carter, RE; Shah, ND; Friedman, PA; Noseworthy, PA</t>
  </si>
  <si>
    <t>Objectives We sought to validate a deep learning algorithm designed to predict an ejection fraction (EF) less than or equal to 35% based on the 12-lead electrocardiogram (ECG) in a large prospective cohort. Background Patients undergoing routine ECG may have undetected left ventricular (LV) dysfunction that warrants further echocardiographic assessment. However, identification of these patients can be challenging. Methods We applied the algorithm to all ECGs interpreted by the Mayo Clinic ECG laboratory in September 2018. The performance of the algorithm was tested among patients with recent echocardiographic assessments of LV function. We also applied the algorithm in patients with no recent echocardiographic assessments of LV function to determine the rate of new "positive screens." Results Among 16 056 adult patients who underwent routine ECG, 8600 (age 67.1 +/- 15.2 years, 45.6% male), had a transthoracic echocardiogram (TTE) and 3874 patients had a TTE and ECG less than 1 month apart. Among these patients, the algorithm was able to detect an EF less than or equal to 35% with 86.8% specificity, 82.5% sensitivity, and 86.5% accuracy, (area under the curve, 0.918). Among 474 "false-positives screens," 189 (39.8%) had an EF of 36% to 50%. Among patients with no prior TTE, the algorithm identified 3.5% of the patients with suspected EF less than or equal to 35%. Exploratory analysis suggests false positives could be reduced by assessing NT-pro-BNP after the initial "positive screen." Conclusions A deep learning algorithm detected depressed LV function with good accuracy in routine practice. Further studies are needed to validate the algorithm in patients with no prior echocardiogram and to assess the impact on echocardiography utilization, cost, and clinical outcomes.</t>
  </si>
  <si>
    <t>Attia, Zachi I.; Kapa, Suraj; Yao, Xiaoxi; Lopez-Jimenez, Francisco; Mohan, Tarun L.; Pellikka, Patricia A.; Carter, Rickey E.; Shah, Nilay D.; Friedman, Paul A.; Noseworthy, Peter A.</t>
  </si>
  <si>
    <t>Noseworthy, PA (corresponding author), Mayo Clin, Heart Rhythm &amp; Physiol Monitoring Lab, Dept Cardiovasc Med, Rochester, MN 55905 USA.</t>
  </si>
  <si>
    <t>Noseworthy.peter@mayo.edu</t>
  </si>
  <si>
    <t>[Attia, Zachi I.; Kapa, Suraj; Lopez-Jimenez, Francisco; Mohan, Tarun L.; Pellikka, Patricia A.; Friedman, Paul A.; Noseworthy, Peter A.] Mayo Clin, Dept Cardiovasc Med, Rochester, MN USA; [Yao, Xiaoxi; Shah, Nilay D.] Mayo Clin, Dept Hlth Sci Res, Div Hlth Care Policy &amp; Res, Rochester, MN USA; [Yao, Xiaoxi; Shah, Nilay D.; Noseworthy, Peter A.] Mayo Clin, Robert D &amp; Patricia E Kern Ctr Sci Hlth Care Deli, Rochester, MN USA; [Carter, Rickey E.] Mayo Clin, Div Biomed Stat &amp; Informat, Hlth Sci Res, Coll Med, Jacksonville, FL 32224 USA</t>
  </si>
  <si>
    <t>Mayo Clinic; Mayo Clinic; Mayo Clinic; Mayo Clinic</t>
  </si>
  <si>
    <t>Prospective validation of a deep learning electrocardiogram algorithm for the detection of left ventricular systolic dysfunction</t>
  </si>
  <si>
    <t>JOURNAL OF CARDIOVASCULAR ELECTROPHYSIOLOGY</t>
  </si>
  <si>
    <t>artificial intelligence; deep learning; electrocardiogram; echocardiography; ejection fraction</t>
  </si>
  <si>
    <t>MYOCARDIAL-INFARCTION; ASSOCIATION; MANAGEMENT</t>
  </si>
  <si>
    <t>Attia, Zachi/AAI-2497-2019; Pellikka, Patricia/N-5387-2014; Carter, Rickey/A-1594-2012</t>
  </si>
  <si>
    <t>Noseworthy, Peter/0000-0002-4308-0456; Pellikka, Patricia/0000-0001-6800-3521; Carter, Rickey/0000-0002-0818-273X</t>
  </si>
  <si>
    <t>178</t>
  </si>
  <si>
    <t>1045-3873</t>
  </si>
  <si>
    <t>1540-8167</t>
  </si>
  <si>
    <t>J CARDIOVASC ELECTR</t>
  </si>
  <si>
    <t>J. Cardiovasc. Electrophysiol.</t>
  </si>
  <si>
    <t>668</t>
  </si>
  <si>
    <t>674</t>
  </si>
  <si>
    <t>10.1111/jce.13889</t>
  </si>
  <si>
    <t>http://dx.doi.org/10.1111/jce.13889</t>
  </si>
  <si>
    <t>IC5YZ</t>
  </si>
  <si>
    <t>30821035</t>
  </si>
  <si>
    <t>WOS:000471046800006</t>
  </si>
  <si>
    <t>Gulamali, F; Jayaraman, P; Sawant, AS; Desman, J; Fox, B; Chang, A; Soong, BY; Arivazagan, N; Reynolds, AS; Duong, SQ; Vaid, A; Kovatch, P; Freeman, R; Hofer, IS; Sakhuja, A; Dangayach, NS; Reich, DS; Charney, AW; Nadkarni, GN</t>
  </si>
  <si>
    <t>Increased intracranial pressure (ICP) &gt;= 15 mmHg is associated with adverse neurological outcomes, but needs invasive intracranial monitoring. Using the publicly available MIMIC-III Waveform Database (2000-2013) from Boston, we developed an artificial intelligence-derived biomarker for elevated ICP (aICP) for adult patients. aICP uses routinely collected extracranial waveform data as input, reducing the need for invasive monitoring. We externally validated aICP with an independent dataset from the Mount Sinai Hospital (2020-2022) in New York City. The AUROC, accuracy, sensitivity, and specificity on the external validation dataset were 0.80 (95% CI, 0.80-0.80), 73.8% (95% CI, 72.0-75.6%), 73.5% (95% CI 72.5-74.5%), and 73.0% (95% CI, 72.0-74.0%), respectively. We also present an exploratory analysis showing aICP predictions are associated with clinical phenotypes. A ten-percentile increment was associated with brain malignancy (OR = 1.68; 95% CI, 1.09-2.60), intracerebral hemorrhage (OR = 1.18; 95% CI, 1.07-1.32), and craniotomy (OR = 1.43; 95% CI, 1.12-1.84; P &lt; 0.05 for all).</t>
  </si>
  <si>
    <t>Gulamali, Faris; Jayaraman, Pushkala; Sawant, Ashwin S.; Desman, Jacob; Fox, Benjamin; Chang, Annette; Soong, Brian Y.; Arivazagan, Naveen; Reynolds, Alexandra S.; Duong, Son Q.; Vaid, Akhil; Kovatch, Patricia; Freeman, Robert; Hofer, Ira S.; Sakhuja, Ankit; Dangayach, Neha S.; Reich, David S.; Charney, Alexander W.; Nadkarni, Girish N.</t>
  </si>
  <si>
    <t>Nadkarni, GN (corresponding author), Icahn Sch Med Mt Sinai, Charles Bronfman Inst Personalized Med, New York, NY 10029 USA.; Nadkarni, GN (corresponding author), Icahn Sch Med Mt Sinai, Div Data Driven &amp; Digital Med, New York, NY 10029 USA.</t>
  </si>
  <si>
    <t>Girish.Nadkarni@mountsinai.org</t>
  </si>
  <si>
    <t>U.S. Department of Health &amp; Human Services | NIH | National Center for Advancing Translational Sciences (NCATS) [UL1TR004419]; Clinical and Translational Science Awards (CTSA); National Center for Advancing Translational Sciences [S10OD026880, S10OD030463]; Office of Research Infrastructure of the National Institutes of Health</t>
  </si>
  <si>
    <t>U.S. Department of Health &amp; Human Services | NIH | National Center for Advancing Translational Sciences (NCATS) (United States Department of Health &amp; Human Services, National Institutes of Health (NIH) - USA, NIH National Center for Advancing Translational Sciences (NCATS)); Clinical and Translational Science Awards (CTSA) (United States Department of Health &amp; Human Services, National Institutes of Health (NIH) - USA, NIH National Center for Advancing Translational Sciences (NCATS)); National Center for Advancing Translational Sciences (United States Department of Health &amp; Human Services, National Institutes of Health (NIH) - USA, NIH National Center for Advancing Translational Sciences (NCATS)); Office of Research Infrastructure of the National Institutes of Health</t>
  </si>
  <si>
    <t>This work was supported in part through the computational and data resources and staff expertize provided by Scientific Computing and Data at the Icahn School of Medicine at Mount Sinai and supported by the Clinical and Translational Science Awards (CTSA) grant UL1TR004419 from the National Center for Advancing Translational Sciences. Research reported in this publication was also supported by the Office of Research Infrastructure of the National Institutes of Health under award number S10OD026880 and S10OD030463. The content is solely the responsibility of the authors and does not necessarily represent the official views of the National Institutes of Health. The funders played no role in study design, data collction, analysis and interpretation of data, or the writing of this manuscript.</t>
  </si>
  <si>
    <t>[Gulamali, Faris; Jayaraman, Pushkala; Sawant, Ashwin S.; Desman, Jacob; Fox, Benjamin; Chang, Annette; Arivazagan, Naveen; Duong, Son Q.; Vaid, Akhil; Kovatch, Patricia; Freeman, Robert; Hofer, Ira S.; Sakhuja, Ankit; Reich, David S.; Charney, Alexander W.; Nadkarni, Girish N.] Icahn Sch Med Mt Sinai, Charles Bronfman Inst Personalized Med, New York, NY 10029 USA; [Gulamali, Faris; Jayaraman, Pushkala; Sawant, Ashwin S.; Desman, Jacob; Fox, Benjamin; Chang, Annette; Duong, Son Q.; Vaid, Akhil; Hofer, Ira S.; Sakhuja, Ankit; Nadkarni, Girish N.] Icahn Sch Med Mt Sinai, Div Data Driven &amp; Digital Med, New York, NY 10029 USA; [Soong, Brian Y.] Icahn Sch Med Mt Sinai, Dept Med Educ, New York, NY USA; [Reynolds, Alexandra S.; Dangayach, Neha S.] Icahn Sch Med Mt Sinai, Dept Neurosurg &amp; Neurol, New York, NY USA</t>
  </si>
  <si>
    <t>Icahn School of Medicine at Mount Sinai; Icahn School of Medicine at Mount Sinai; Icahn School of Medicine at Mount Sinai; Icahn School of Medicine at Mount Sinai</t>
  </si>
  <si>
    <t>Derivation, external and clinical validation of a deep learning approach for detecting intracranial hypertension</t>
  </si>
  <si>
    <t>Reynolds, Alexandra/CAJ-2729-2022; Duong, Son/IQS-0081-2023; Jayaraman, Pushkala/ABD-5638-2021; mirzaei, hamed/X-2374-2018</t>
  </si>
  <si>
    <t>Freeman, Robert/0000-0003-4946-6533; Desman, Jacob/0000-0002-5411-6637; Reynolds, Alexandra/0000-0002-6364-6250; Gulamali, Faris/0000-0002-2973-6594; Jayaraman, Pushkala/0000-0003-1159-8354; Soong, Brian/0000-0003-4647-7704</t>
  </si>
  <si>
    <t>SEP 5 2024</t>
  </si>
  <si>
    <t>233</t>
  </si>
  <si>
    <t>10.1038/s41746-024-01227-0</t>
  </si>
  <si>
    <t>http://dx.doi.org/10.1038/s41746-024-01227-0</t>
  </si>
  <si>
    <t>F1Z2S</t>
  </si>
  <si>
    <t>39237755</t>
  </si>
  <si>
    <t>WOS:001307864500001</t>
  </si>
  <si>
    <t>Pan, J; Liu, ZP; Liu, YX; Zhang, Y; Xu, MQ; Li, XZ; Chen, XM; Wei, GS; Liu, DX</t>
  </si>
  <si>
    <t>Objective This study aimed to develop and validate a deep learning-based artificial intelligence (AI) system capable of automatically generating accurate MSE placement plans to enhance clinical efficiency, safety, and consistency. Methods A total of 120 patients with skeletal Class III malocclusion and transverse maxillary deficiency (ages 10-39) were included. Cone-beam computed tomography (CBCT) and intraoral scan data were used to construct individualized three-dimensional anatomical coordinate systems. A deep learning model was trained to automatically segment key anatomical structures (e.g., the incisive foramen and transverse palatine suture) and identify essential craniofacial landmarks. The MSE was then automatically positioned within this coordinate system, while a collision detection algorithm ensured appropriate spacing from the palatal mucosa and avoided vital anatomical structures. Model performance was compared with manual placement using metrics such as mean Intersection over Union (mIoU), Avoidance Success Rate (ASR), Mean Radial Error (MRE), Mean Angular Error (MAE), and Concordance Correlation Coefficient (CCC). Results The average mIoU of the segmentation network was 0.75. The ASR exceeded 90%, demonstrating effective anatomical avoidance. The automated system achieved an axial MRE of 0.32 +/- 0.32 mm, a three-dimensional (3D) Euclidean distance error of 0.69 +/- 0.36 mm, and an MAE of 1.84 +/- 2.13 degrees, with CCC values above 0.90 for linear and translational directions and between 0.87 and 0.93 for angular directions. These results showed no statistically significant differences from manual placement (P &gt; 0.05).Bland-Altman analysis further showed minimal mean bias between AI and manual planning (translation bias &lt;= 0.047 mm; rotation bias within - 0.26 degrees to 1.52 degrees), with 95% limits of agreement for all parameters remaining within clinically acceptable ranges; a mild proportional bias was observed only for yaw (P = 0.013).The automated process required an average of 3 min, significantly faster than the 45-60 minutes typically required for manual planning. Conclusion The proposed deep learning-based automated MSE positioning system enables accurate and efficient MSE digital planning in a retrospective setting, shows promising clinical potential, and may contribute to more standardized and intelligent orthodontic expansion workflows.</t>
  </si>
  <si>
    <t>Pan, Jie; Liu, Zhenpeng; Liu, Yixin; Zhang, Yu; Xu, Mengqi; Li, Xiaozhe; Chen, Xianming; Wei, Guangshun; Liu, Dongxu</t>
  </si>
  <si>
    <t>Liu, DX (corresponding author), Shandong Univ, Sch &amp; Hosp Stomatol, Cheeloo Coll Med, Dept Orthodont,Shandong Key Lab Oral Tissue Regene, 44-1 Wenhua Rd West, Jinan 250012, Shandong, Peoples R China.; Liu, DX (corresponding author), Shandong Univ, Shandong Engn Res Ctr Dent Mat &amp; Oral Tissue Regen, 44-1 Wenhua Rd West, Jinan 250012, Shandong, Peoples R China.; Wei, GS (corresponding author), Shandong Univ, Sch Software, 1500 ShunHua Rd, Jinan 250101, Shandong, Peoples R China.</t>
  </si>
  <si>
    <t>gswei@sdu.edu.cn; liudongxu@sdu.edu.cn</t>
  </si>
  <si>
    <t>Zhejiang Xinya Medical Technology Co., Ltd; National Natural Science Foundation of China [Grant No. 82471036]</t>
  </si>
  <si>
    <t>Zhejiang Xinya Medical Technology Co., Ltd; National Natural Science Foundation of China (National Natural Science Foundation of China (NSFC))</t>
  </si>
  <si>
    <t>This research was supported by the National Natural Science Foundation of China (Grant No. 82471036) and by the industry-university collaborative project "MSE Digital Positioning and Integrated Orthodontic Treatment with Clear Aligners," jointly supported by Zhejiang Xinya Medical Technology Co., Ltd. (Party A) and Shandong University (Party B).</t>
  </si>
  <si>
    <t>[Pan, Jie; Liu, Yixin; Zhang, Yu; Xu, Mengqi; Li, Xiaozhe; Liu, Dongxu] Shandong Univ, Sch &amp; Hosp Stomatol, Cheeloo Coll Med, Dept Orthodont,Shandong Key Lab Oral Tissue Regene, 44-1 Wenhua Rd West, Jinan 250012, Shandong, Peoples R China; [Pan, Jie; Liu, Yixin; Zhang, Yu; Xu, Mengqi; Li, Xiaozhe; Liu, Dongxu] Shandong Univ, Shandong Engn Res Ctr Dent Mat &amp; Oral Tissue Regen, 44-1 Wenhua Rd West, Jinan 250012, Shandong, Peoples R China; [Liu, Zhenpeng; Wei, Guangshun] Shandong Univ, Sch Software, 1500 ShunHua Rd, Jinan 250101, Shandong, Peoples R China; [Chen, Xianming] Zhejiang Xinya Med Technol Co Ltd, Hangzhou, Zhejiang, Peoples R China</t>
  </si>
  <si>
    <t>Shandong University; Shandong University; Shandong University</t>
  </si>
  <si>
    <t>Deep learning-based automated positioning system for maxillary skeletal expander: development and clinical validation</t>
  </si>
  <si>
    <t>CLINICAL ORAL INVESTIGATIONS</t>
  </si>
  <si>
    <t>Maxillary skeletal expander; Deep learning; CBCT; Automated positioning; Artificial intelligence; Intraoral scan</t>
  </si>
  <si>
    <t>RAPID PALATAL EXPANSION; BEAM COMPUTED-TOMOGRAPHY</t>
  </si>
  <si>
    <t>1432-6981</t>
  </si>
  <si>
    <t>1436-3771</t>
  </si>
  <si>
    <t>CLIN ORAL INVEST</t>
  </si>
  <si>
    <t>Clin. Oral Investig.</t>
  </si>
  <si>
    <t>90</t>
  </si>
  <si>
    <t>10.1007/s00784-026-06790-2</t>
  </si>
  <si>
    <t>http://dx.doi.org/10.1007/s00784-026-06790-2</t>
  </si>
  <si>
    <t>EC7FV</t>
  </si>
  <si>
    <t>41729332</t>
  </si>
  <si>
    <t>WOS:001697961400001</t>
  </si>
  <si>
    <t>Grinberg, N; Arbel, S; Boyadjiev, YY; Ianculovici, C; Kleinman, S; Peleg, O</t>
  </si>
  <si>
    <t>Background Searching online for dental emergency treatment as a non-expert can lead to unreliable guidance. We tested the publicly available first multimodal large-language model, ChatGPT-4o, prospectively with real emergency-department avulsion cases to determine if it would deliver guideline-correct, time-critical directions within seconds.Methods Seventy-eight anonymized avulsion charts (42 permanent, 36 primary teeth; 39 dry, 39 moist; 40 immature roots) were rewritten as lay prompts. ChatGPT-4o created two single responses to each vignette, 14 days apart (156 responses). Three oral and maxillofacial surgeons (OMFS) scored diagnostic accuracy, immediate action, contraindication identification, and completeness. Three lay assessors scored clarity (0-15 composite rating). An additional time-critical safety flag required simultaneous accuracy in immediate action and contraindication advice. Statistical analysis was performed at a 95% confidence level.Results ChatGPT-4o demonstrated significant rates of accurate guidance. Inter-rater reproducibility was near perfect (ICC = 0.94; kappa = 0.88-0.998). The median composite score was 13 (IQR 12-14); permanent dentition elevated the probability for perfect diagnostic, contraindication, and immediate-action scores (p &lt;= 0.046), but extra-oral dry time lowered immediate-action (p = 0.003) and reduced completeness (p = 0.023). Root maturity had no effect. Clarity was rated at more than 93% in both sessions. The safety flag was present in 81% and 89% of cases (chi 2 = 6.73, p = 0.009), with one in eight potentially unsafe situations.Conclusions This first clinical validation of ChatGPT-4o demonstrates expert-level, reproducible triage for tooth avulsion and introduces the "time-critical safety" composite as a strict benchmark for emergency chatbots. There is still a need for guideline-linked retrieval before unsupervised deployment. Clinically, these findings show that while ChatGPT can offer quick and largely accurate advice, the remaining deficiencies highlight the risk of incomplete or unsafe guidance during emergencies.</t>
  </si>
  <si>
    <t>Grinberg, Nadav; Arbel, Shimrit; Boyadjiev, Yana Yarden; Ianculovici, Clariel; Kleinman, Shlomi; Peleg, Oren</t>
  </si>
  <si>
    <t>Grinberg, N (corresponding author), Tel Aviv Univ, Grey Fac Med, Tel Aviv Sourasky Med Ctr, Dept Oral &amp; Maxillofacial Surg, Tel Aviv, Israel.</t>
  </si>
  <si>
    <t>nadav.grinberg@mail.huji.ac.il</t>
  </si>
  <si>
    <t>[Grinberg, Nadav; Arbel, Shimrit; Boyadjiev, Yana Yarden; Ianculovici, Clariel; Kleinman, Shlomi; Peleg, Oren] Tel Aviv Univ, Grey Fac Med, Tel Aviv Sourasky Med Ctr, Dept Oral &amp; Maxillofacial Surg, Tel Aviv, Israel; [Peleg, Oren] Tel Aviv Univ, Grey Fac Med, Maurice &amp; Gabriela Goldschleger Sch Dent Med, Tel Aviv, Israel</t>
  </si>
  <si>
    <t>Tel Aviv University; Sackler Faculty of Medicine; Tel Aviv Sourasky Medical Center; Tel Aviv University</t>
  </si>
  <si>
    <t>The Performance of Artificial Intelligence in Providing Real-Time Aid in Emergency Dental Trauma: A Clinical Validation Study</t>
  </si>
  <si>
    <t>DENTAL TRAUMATOLOGY</t>
  </si>
  <si>
    <t>artificial intelligence; ChatGPT; dental education; dental trauma; tooth avulsion</t>
  </si>
  <si>
    <t>AVULSED PERMANENT INCISORS; INJURIES; SCHOOLCHILDREN; REPLANTATION; TEETH</t>
  </si>
  <si>
    <t>Grinberg, Nadav/NKO-8754-2025</t>
  </si>
  <si>
    <t>Grinberg, Nadav/0009-0001-6347-9106</t>
  </si>
  <si>
    <t>1600-4469</t>
  </si>
  <si>
    <t>1600-9657</t>
  </si>
  <si>
    <t>DENT TRAUMATOL</t>
  </si>
  <si>
    <t>Dent. Traumatol.</t>
  </si>
  <si>
    <t>356</t>
  </si>
  <si>
    <t>362</t>
  </si>
  <si>
    <t>10.1111/edt.70022</t>
  </si>
  <si>
    <t>http://dx.doi.org/10.1111/edt.70022</t>
  </si>
  <si>
    <t>IB5QE</t>
  </si>
  <si>
    <t>41025382</t>
  </si>
  <si>
    <t>WOS:001583643000001</t>
  </si>
  <si>
    <t>Nam, HK; Lea, WWI; Yang, Z; Noh, E; Rhie, YJ; Lee, KH; Hong, SJ</t>
  </si>
  <si>
    <t>Purpose: Bone age (BA) is needed to assess developmental status and growth disorders. We evaluated the clinical performance of a deep-learning-based BA software to estimate the chronological age (CA) of healthy Korean children. Methods: This retrospective study included 371 healthy children (217 boys, 154 girls), aged between 4 and 17 years, who visited the Department of Pediatrics for health check-ups between January 2017 and December 2018. A total of 553 left-hand radiographs from 371 healthy Korean children were evaluated using a commercial deep-learning-based BA software (BoneAge, Vuno, Seoul, Korea). The clinical performance of the deep learning (DL) software was determined using the concordance rate and Bland-Altman analysis via comparison with the CA. Results: A 2-sample t-test (P&lt;0.001) and Fisher exact test (P=0.011) showed a significant difference between the normal CA and the BA estimated by the DL software. There was good correlation between the 2 variables (r=0.96, P&lt;0.001); however, the root mean square error was 15.4 months. With a 12-month cutoff, the concordance rate was 58.8%. The Bland-Altman plot showed that the DL software tended to underestimate the BA compared with the CA, especially in children under the age of 8.3 years. Conclusion: The DL-based BA software showed a low concordance rate and a tendency to underestimate the BA in healthy Korean children.</t>
  </si>
  <si>
    <t>Nam, Hyo-Kyoung; Lea, Winnah Wu-In; Yang, Zepa; Noh, Eunjin; Rhie, Young-Jun; Lee, Kee-Hyoung; Hong, Suk-Joo</t>
  </si>
  <si>
    <t>Hong, SJ (corresponding author), Korea Univ, Coll Med, Dept Radiol, Guro Hosp, 148 Gurodong Ro, Seoul 08308, South Korea.</t>
  </si>
  <si>
    <t>Technology Development Program - Ministry of SMEs and Startups (MSS, Sejong, Korea) [S2844049, 1425142385]; Technology Innovation Program - Ministry of Trade, Industry, &amp; Energy (MOTIE, Sejong, Korea) [20010927]</t>
  </si>
  <si>
    <t>Technology Development Program - Ministry of SMEs and Startups (MSS, Sejong, Korea); Technology Innovation Program - Ministry of Trade, Industry, &amp; Energy (MOTIE, Sejong, Korea)</t>
  </si>
  <si>
    <t>This work was partly supported by the Technology Development Program [S2844049, NTIS#1425142385] funded by the Ministry of SMEs and Startups (MSS, Sejong, Korea), and the Technology Innovation Program [20010927, NTIS#1415169348] funded by the Ministry of Trade, Industry, &amp; Energy (MOTIE, Sejong, Korea).</t>
  </si>
  <si>
    <t>[Nam, Hyo-Kyoung; Rhie, Young-Jun; Lee, Kee-Hyoung] Korea Univ, Coll Med, Dept Pediat, Seoul, South Korea; [Lea, Winnah Wu-In; Hong, Suk-Joo] Korea Univ, Coll Med, Dept Radiol, Seoul, South Korea; [Yang, Zepa; Noh, Eunjin] Korea Univ, Guro Hosp, Smart Hlth Care Ctr, Seoul, South Korea; [Yang, Zepa; Hong, Suk-Joo] Korea Univ, Guro Hosp, Med Image Data Ctr KUGH MIDC, Seoul, South Korea; [Hong, Suk-Joo] Korea Univ, Coll Med, Dept Radiol, Guro Hosp, 148 Gurodong Ro, Seoul 08308, South Korea</t>
  </si>
  <si>
    <t>Korea University; Korea University Medicine (KU Medicine); Korea University; Korea University Medicine (KU Medicine); Korea University; Korea University Medicine (KU Medicine); Korea University; Korea University Medicine (KU Medicine); Korea University; Korea University Medicine (KU Medicine)</t>
  </si>
  <si>
    <t>Clinical validation of a deep-learning-based bone age software in healthy Korean children</t>
  </si>
  <si>
    <t>ANNALS OF PEDIATRIC ENDOCRINOLOGY &amp; METABOLISM</t>
  </si>
  <si>
    <t>Age determination by skeleton; Child; Child health; Deep learning; Software</t>
  </si>
  <si>
    <t>CLASSIFICATION; ACCURACY; GREULICH; SYSTEM</t>
  </si>
  <si>
    <t>NAM, HYO-KYOUNG/JTV-1018-2023; Yang, Zepa/GVT-9696-2022; Rhie, Young-Jun/AAV-4929-2020</t>
  </si>
  <si>
    <t>Hong, Suk Joo/0000-0002-3923-1426; Rhie, Young-Jun/0000-0002-1250-6469</t>
  </si>
  <si>
    <t>KOREAN SOC PEDIATRIC ENDOCRINOLOGY</t>
  </si>
  <si>
    <t>610 DOOSAN BEARSTEL, 1319-11 SEOCHO 2-DONG, SEOCHO-GU, SEOUL, 137-857, SOUTH KOREA</t>
  </si>
  <si>
    <t>2287-1012</t>
  </si>
  <si>
    <t>2287-1292</t>
  </si>
  <si>
    <t>ANN PEDIATR ENDOCRIN</t>
  </si>
  <si>
    <t>Ann. Pediatr. Endocrinol,. Metab.</t>
  </si>
  <si>
    <t>108</t>
  </si>
  <si>
    <t>10.6065/apem.2346050.025</t>
  </si>
  <si>
    <t>http://dx.doi.org/10.6065/apem.2346050.025</t>
  </si>
  <si>
    <t>Endocrinology &amp; Metabolism; Pediatrics</t>
  </si>
  <si>
    <t>QA8K3</t>
  </si>
  <si>
    <t>38271993</t>
  </si>
  <si>
    <t>WOS:001218248900005</t>
  </si>
  <si>
    <t>Chen, XL; Hu, L; Yu, RT</t>
  </si>
  <si>
    <t>Objective Cellulitis is the most common cause of skin-related hospitalisations, and the mortality of patients with sepsis remains high. Some stratification models have been developed, but their performance in external validation has been unsatisfactory. This study was designed to develop and compare different models for predicting patients with cellulitis developing sepsis during hospitalisation. Design This is a retrospective cohort study. Setting This study included both the development and the external-validation phases from two independent large cohorts internationally. Participants and methods A total of 6695 patients with cellulitis in the Medical Information Mart for Intensive care (MIMIC)-IV database were used to develop models with different machine-learning algorithms. The best models were selected and then externally validated in 2506 patients with cellulitis from the YiduCloud database of our university. The performances and robustness of selected models were further compared in the external-validation group by area under the curve (AUC), diagnostic accuracy, sensitivity, specificity and diagnostic OR. Primary outcome measures The primary outcome of interest in this study was the development based on the Sepsis-3.0 criteria during hospitalisation. Results Patient characteristics were significantly different between the two groups. In internal validation, XGBoost was the best model, with an AUC of 0.780, and AdaBoost was the worst model, with an AUC of 0.585. In external validation, the AUC of the artificial neural network (ANN) model was the highest, 0.830, while the AUC of the logistic regression (LR) model was the lowest, 0.792. The AUC values changed less in the boosting and ANN models than in the LR model when variables were deleted. Conclusions Boosting and neural network models performed slightly better than the LR model and were more robust in complex clinical situations. The results could provide a tool for clinicians to detect hospitalised patients with cellulitis developing sepsis early.</t>
  </si>
  <si>
    <t>Chen, Xilingyuan; Hu, Li; Yu, Rentao</t>
  </si>
  <si>
    <t>Hu, L; Yu, RT (corresponding author), Chongqing Med Univ, Dept Dermatol, Affiliated Hosp 1, Chongqing, Peoples R China.</t>
  </si>
  <si>
    <t>rentaoyu@hotmail.com; 993602708@qq.com</t>
  </si>
  <si>
    <t>Special Foundation for Postdoctoral Research Projects of Chongqing [2021XM3080]</t>
  </si>
  <si>
    <t>Special Foundation for Postdoctoral Research Projects of Chongqing</t>
  </si>
  <si>
    <t>This study was funded by the Special Foundation for Postdoctoral Research Projects of Chongqing (grant number: 2021XM3080).</t>
  </si>
  <si>
    <t>[Chen, Xilingyuan] Chongqing Med Univ, Chongqing, Peoples R China; [Hu, Li; Yu, Rentao] Chongqing Med Univ, Dept Dermatol, Affiliated Hosp 1, Chongqing, Peoples R China</t>
  </si>
  <si>
    <t>Chongqing Medical University; Chongqing Medical University</t>
  </si>
  <si>
    <t>Development and external validation of machine learning-based models to predict patients with cellulitis developing sepsis during hospitalisation</t>
  </si>
  <si>
    <t>BMJ OPEN</t>
  </si>
  <si>
    <t>Infectious diseases &amp; infestations; Dermatology; Prognosis</t>
  </si>
  <si>
    <t>MISSING DATA; MANAGEMENT; DIAGNOSIS; OUTCOMES; SKIN</t>
  </si>
  <si>
    <t>Yu, Rentao/AEI-4893-2022</t>
  </si>
  <si>
    <t>Yu, Rentao/0000-0003-4952-9274</t>
  </si>
  <si>
    <t>2044-6055</t>
  </si>
  <si>
    <t>BMJ Open</t>
  </si>
  <si>
    <t>e084183</t>
  </si>
  <si>
    <t>10.1136/bmjopen-2024-084183</t>
  </si>
  <si>
    <t>http://dx.doi.org/10.1136/bmjopen-2024-084183</t>
  </si>
  <si>
    <t>XY3W7</t>
  </si>
  <si>
    <t>38969379</t>
  </si>
  <si>
    <t>WOS:001265212100025</t>
  </si>
  <si>
    <t>Zhou, HY; Li, F; Liu, XX</t>
  </si>
  <si>
    <t>Background: Septic shock is a severe and life-threatening complication of sepsis associated with high mortality. Early identification remains challenging due to the heterogeneous clinical presentation of patients, incomplete real-world ICU data, and the dynamic pathophysiological progression of sepsis. This study aimed to develop and externally validate machine learning (ML) models to predict the progression to septic shock in intensive care unit (ICU) patients with sepsis. Methods: Data were extracted from two large critical care databases: MIMIC-IV (training set) and eICU-CRD (validation set). Variable selection was performed using LASSO regression. Six ML algorithms-random forest (RF), XGBoost, support vector machine, light gradient boosting machine, logistic regression, and na &amp; iuml;ve Bayes-were trained on the MIMIC-IV dataset and externally validated on the eICU dataset. Model performance was evaluated using AUC, F1 score, sensitivity, specificity, and balanced accuracy. Model interpretability was assessed using SHapley Additive exPlanations (SHAP). Results: A total of 11,383 septic patients were included, of whom 2,259 in the training cohort and 1,212 in the validation cohort developed septic shock. The RF model achieved the best performance, with an AUC of 0.785, balanced accuracy of 0.717, and an F1 score of 0.511. SHAP analysis identified SOFA score, heart rate, creatinine, SAPS II, and OASIS as the most influential predictors. Conclusion: The proposed ML model enables early prediction of septic shock using routinely collected ICU data. SHAP-based interpretation enhances transparency and clinical interpretability. This approach may assist in timely risk stratification, support data-driven decision-making, and ultimately improve outcomes in patients with sepsis.</t>
  </si>
  <si>
    <t>Zhou, Haoyun; Li, Feng; Liu, Xiaoxue</t>
  </si>
  <si>
    <t>Liu, XX (corresponding author), Jiangnan Univ, Publ Hlth Res Ctr, Wuxi Sch Med, Global Hlth Res Div, Wuxi 214122, Jiangsu, Peoples R China.; Liu, XX (corresponding author), Jiangnan Univ, Wuxi Sch Med, Dept Publ Hlth &amp; Prevent Med, Wuxi 214122, Jiangsu, Peoples R China.</t>
  </si>
  <si>
    <t>liuxx019@jiangnan.edu.cn</t>
  </si>
  <si>
    <t>National Natural Science Foundation of China [82404375]; Basic Research Program of Jiangsu [BK20241622]; Fundamental Research Funds for the Central Universities [JUSRP124038]</t>
  </si>
  <si>
    <t>National Natural Science Foundation of China (National Natural Science Foundation of China (NSFC)); Basic Research Program of Jiangsu; Fundamental Research Funds for the Central Universities (Fundamental Research Funds for the Central Universities)</t>
  </si>
  <si>
    <t>Funding This work was funded by National Natural Science Foundation of China (grant number 82404375) , Basic Research Program of Jiangsu (grant number BK20241622) , and Fundamental Research Funds for the Central Universities (grant number JUSRP124038) .</t>
  </si>
  <si>
    <t>[Zhou, Haoyun; Liu, Xiaoxue] Jiangnan Univ, Publ Hlth Res Ctr, Wuxi Sch Med, Global Hlth Res Div, Wuxi 214122, Jiangsu, Peoples R China; [Zhou, Haoyun; Liu, Xiaoxue] Jiangnan Univ, Wuxi Sch Med, Dept Publ Hlth &amp; Prevent Med, Wuxi 214122, Jiangsu, Peoples R China; [Li, Feng] Shanghai Jiao Tong Univ, Ruijin Hosp, Sch Med, Dept Neurosurg, Shanghai 200025, Peoples R China</t>
  </si>
  <si>
    <t>Jiangnan University; Jiangnan University; Shanghai Jiao Tong University</t>
  </si>
  <si>
    <t>Early prediction of septic shock in ICU patients using machine learning: development, external validation, and explainability with SHAP</t>
  </si>
  <si>
    <t>Septic shock; Machine learning; Shapley additive explanations</t>
  </si>
  <si>
    <t>MORTALITY PREDICTION; GLOBAL BURDEN; SEPSIS; MODELS</t>
  </si>
  <si>
    <t>206</t>
  </si>
  <si>
    <t>106169</t>
  </si>
  <si>
    <t>10.1016/j.ijmedinf.2025.106169</t>
  </si>
  <si>
    <t>http://dx.doi.org/10.1016/j.ijmedinf.2025.106169</t>
  </si>
  <si>
    <t>OCT 2025</t>
  </si>
  <si>
    <t>9UB1R</t>
  </si>
  <si>
    <t>41175845</t>
  </si>
  <si>
    <t>WOS:001615029700004</t>
  </si>
  <si>
    <t>He, SP; Liu, Y; Wu, YL</t>
  </si>
  <si>
    <t>Background Postoperative pulmonary embolism (PE) remains a rare but life-threatening complication after surgery. Early identification of high-risk patients is essential but remains challenging due to heterogeneous perioperative risk factors. This study aimed to develop and externally validate a machine learning-based prediction model for postoperative PE and to explore key clinical determinants using interpretable artificial intelligence.Methods This multicenter retrospective study included surgical patients from six hospitals between January 2020 and January 2025. Patients were divided into internal and external datasets according to hospital source. A total of 3,494 patients were included, with 2005 in the internal cohort and 1,489 in the external validation cohort. Candidate variables were selected using a hybrid strategy combining univariate and multivariate logistic regression with feature importance ranking from five machine learning algorithms, including XGBoost, Random Forest, Support Vector Machine, K-Nearest Neighbors, and Multilayer Perceptron. Model performance was evaluated using receiver operating characteristic (ROC) curves, calibration curves, decision curve analysis (DCA), Kolmogorov-Smirnov (KS) statistics, and confusion matrices. K-fold cross-validation and external validation were further performed to assess model robustness. SHapley Additive exPlanations (SHAP) were used for model interpretability and individualized prediction.Results A total of 48 patients (1.38%) developed postoperative PE. The final selected predictors included age, body mass index (BMI), malignancy history, prolonged bed rest, surgery duration, intraoperative tachycardia, C-reactive protein (CRP), neutrophil-to-lymphocyte ratio (NLR), and postoperative D-dimer. Among five machine learning models, XGBoost demonstrated the best overall performance and stability, achieving superior discrimination and calibration. In the internal validation, the model showed strong predictive performance, and in the external validation cohort, it achieved an AUC of 0.925 (95% CI 0.877-0.972), with good calibration and favorable clinical net benefit on DCA. K-fold cross-validation confirmed model robustness with stable performance across resampling sets. SHAP analysis identified surgery duration, CRP level, malignancy history, age, BMI, postoperative D-dimer, NLR, and intraoperative tachycardia as the most influential predictors. Individual-level SHAP interpretation further demonstrated clinically meaningful risk attribution patterns for postoperative PE.Conclusion We developed and externally validated a robust machine learning model for predicting postoperative pulmonary embolism across multiple surgical populations. The model demonstrated strong discrimination, good calibration, and favorable clinical utility. Importantly, SHAP-based interpretation revealed key perioperative inflammatory, thrombotic, and hemodynamic factors associated with PE risk, providing both predictive and mechanistic insights to support clinical decision-making.</t>
  </si>
  <si>
    <t>He, Shunpeng; Liu, Yuan; Wu, Yilin</t>
  </si>
  <si>
    <t>Wu, YL (corresponding author), Zhejiang Univ, Sch Med, Sir Run Run Shaw Hosp, Dept Emergency Med, Hangzhou, Peoples R China.</t>
  </si>
  <si>
    <t>wyl9808@zju.edu.cn</t>
  </si>
  <si>
    <t>XZHMU-QL Joint Research Fund [QL-YB068]; Tengzhou Central Peopl'e's Hospital "Sailing" Program - Hospital-Level Research Project [202501]</t>
  </si>
  <si>
    <t>XZHMU-QL Joint Research Fund; Tengzhou Central Peopl'e's Hospital "Sailing" Program - Hospital-Level Research Project</t>
  </si>
  <si>
    <t>The author(s) declared that financial support was received for this work and/or its publication. This study was supported by XZHMU-QL Joint Research Fund (QL-YB068) and Tengzhou Central Peopl'e's Hospital "Sailing" Program - Hospital-Level Research Project (Grant No. 202501).</t>
  </si>
  <si>
    <t>[He, Shunpeng; Wu, Yilin] Zhejiang Univ, Sch Med, Sir Run Run Shaw Hosp, Dept Emergency Med, Hangzhou, Peoples R China; [Liu, Yuan] Xuzhou Med Univ, Dept Gen Surg, Zao Zhuang, Tengzhou Cent Peoples Hosp, Zao Zhuang, Peoples R China</t>
  </si>
  <si>
    <t>Zhejiang University; Xuzhou Medical University</t>
  </si>
  <si>
    <t>Machine learning prediction of postoperative pulmonary embolism: a multicenter external validation study highlighting inflammatory response and intraoperative hemodynamics</t>
  </si>
  <si>
    <t>FRONTIERS IN CARDIOVASCULAR MEDICINE</t>
  </si>
  <si>
    <t>inflammatory response; machine learning; multicenter study; predictive model; pulmonary embolism</t>
  </si>
  <si>
    <t>VENOUS THROMBOEMBOLISM; ENDOTHELIAL GLYCOCALYX; D-DIMER; VTE; DIAGNOSIS; RISK; AGE</t>
  </si>
  <si>
    <t>69</t>
  </si>
  <si>
    <t>2297-055X</t>
  </si>
  <si>
    <t>FRONT CARDIOVASC MED</t>
  </si>
  <si>
    <t>Front. Cardiovasc. Med.</t>
  </si>
  <si>
    <t>JUN 18 2026</t>
  </si>
  <si>
    <t>1870642</t>
  </si>
  <si>
    <t>10.3389/fcvm.2026.1870642</t>
  </si>
  <si>
    <t>http://dx.doi.org/10.3389/fcvm.2026.1870642</t>
  </si>
  <si>
    <t>KJ7ND</t>
  </si>
  <si>
    <t>42395880</t>
  </si>
  <si>
    <t>WOS:001808601200001</t>
  </si>
  <si>
    <t>Jagtap, R; Samata, Y; Parekh, A; Tretto, P; Roach, MD; Sethumanjusha, S; Tejaswi, C; Jaju, P; Friedel, A; Garrido, MB; Feinberg, M; Suri, M</t>
  </si>
  <si>
    <t>Periapical radiographs are routinely used in dental practice for diagnosis and treatment planning purposes. However, they often suffer from artifacts, distortions, and superimpositions, which can lead to potential misinterpretations. Thus, an automated detection system is required to overcome these challenges. Artificial intelligence (AI) has been revolutionizing various fields, including medicine and dentistry, by facilitating the development of intelligent systems that can aid in performing complex tasks such as diagnosis and treatment planning. The purpose of the present study was to verify the diagnostic performance of an AI system for the automatic detection of teeth, caries, implants, restorations, and fixed prosthesis on periapical radiographs. A dataset comprising 1000 periapical radiographs collected from 500 adult patients was analyzed by an AI system and compared with annotations provided by two oral and maxillofacial radiologists. A strong correlation (R &gt; 0.5) was observed between AI perception and observers 1 and 2 in carious teeth (0.7-0.73), implants (0.97-0.98), restored teeth (0.85-0.89), teeth with fixed prosthesis (0.92-0.94), and missing teeth (0.82-0.85). The automatic detection by the AI system was comparable to the oral radiologists and may be useful for automatic identification in periapical radiographs.</t>
  </si>
  <si>
    <t>Jagtap, Rohan; Samata, Yalamanchili; Parekh, Amisha; Tretto, Pedro; Roach, Michael D.; Sethumanjusha, Saranu; Tejaswi, Chennupati; Jaju, Prashant; Friedel, Alan; Briner Garrido, Michelle; Feinberg, Maxine; Suri, Mini</t>
  </si>
  <si>
    <t>Jagtap, R (corresponding author), Univ Mississippi, Sch Dent, Dept Care Planning &amp; Restorat Sci, Div Oral &amp; Maxillofacial Radiol,Med Ctr, 500 North State St, Jackson, MS 39216 USA.</t>
  </si>
  <si>
    <t>drrohanjagtap@gmail.com</t>
  </si>
  <si>
    <t>[Jagtap, Rohan] Univ Mississippi, Sch Dent, Dept Care Planning &amp; Restorat Sci, Div Oral &amp; Maxillofacial Radiol,Med Ctr, 500 North State St, Jackson, MS 39216 USA; [Samata, Yalamanchili; Sethumanjusha, Saranu; Tejaswi, Chennupati] Sibar Inst Dent Sci, Dept Oral Med &amp; Radiol, Guntur 522509, Andhra Pradesh, India; [Parekh, Amisha; Roach, Michael D.] Univ Mississippi, Med Ctr, Sch Dent, Dept Biomed Mat Sci, 2500 North State St, Jackson, MS 39216 USA; [Tretto, Pedro] Reg Integrated Univ Alto Uruguai &amp; Missions, Dept Oral Surg, BR-99709910 Erechim, Brazil; [Jaju, Prashant] Rishiraj Coll Dent Sci &amp; Res Ctr, Dept Oral Med &amp; Radiol, Bhopal 462036, Madhya Pradesh, India; [Friedel, Alan; Feinberg, Maxine; Suri, Mini] VELMENI Inc, 333 Maude Ave, Sunnyvale, CA 94085 USA; [Briner Garrido, Michelle] Univ Missouri, Kansas City Sch Dent, Dept Oral Pathol Radiol &amp; Med, 650 East 25th St, Kansas City, MO 64108 USA</t>
  </si>
  <si>
    <t>University of Mississippi; University of Mississippi Medical Center; University of Mississippi; University of Mississippi Medical Center; Universidade Regional Integrada do Alto Uruguai e das Missoes (URI); University of Missouri System; University of Missouri Kansas City</t>
  </si>
  <si>
    <t>Clinical Validation of Deep Learning for Segmentation of Multiple Dental Features in Periapical Radiographs</t>
  </si>
  <si>
    <t>artificial intelligence; deep learning; periapical radiographs; dentistry; diagnosis; caries; implants; fixed prosthesis; dental restoration; teeth numbering</t>
  </si>
  <si>
    <t>Parekh, Amisha/OVY-5562-2025; Jagtap, Rohan/AAR-4407-2021</t>
  </si>
  <si>
    <t>JAJU, Prashant/0000-0003-2812-8885; Roach, Michael/0000-0002-8250-4610; Parekh, Amisha/0000-0002-3478-4806; Chennupati, Tejaswi/0000-0003-4671-5848</t>
  </si>
  <si>
    <t>1001</t>
  </si>
  <si>
    <t>10.3390/bioengineering11101001</t>
  </si>
  <si>
    <t>http://dx.doi.org/10.3390/bioengineering11101001</t>
  </si>
  <si>
    <t>K5R4B</t>
  </si>
  <si>
    <t>39451377</t>
  </si>
  <si>
    <t>WOS:001344440900001</t>
  </si>
  <si>
    <t>Mannhart, D; Lefebvre, B; Gardella, C; Henry, C; Serban, T; Knecht, S; Kuehne, M; Sticherling, C; Badertscher, P</t>
  </si>
  <si>
    <t>Background: Several smart devices are able to detect atrial fibrillation automatically by recording a singlelead electrocardiogram, and have created a work overload at the hospital level as a result of the need for over-reads by physicians.Aim: To compare the atrial fibrillation detection performances of the manufacturers' algorithms of five smart devices and a novel deep neural network-based algorithm.Methods: We compared the rate of inconclusive tracings and the diagnostic accuracy for the detection of atrial fibrillation between the manufacturers' algorithms and the deep neural network-based algorithm on five smart devices, using a physician-interpreted 12-lead electrocardiogram as the reference standard.Results: Of the 117 patients (27% female, median age 65 years, atrial fibrillation present at time of recording in 30%) included in the final analysis (resulting in 585 analyzed single-lead electrocardiogram tracings), the deep neural network-based algorithm exhibited a higher conclusive rate relative to the manufacturer algorithm for all five models: 98% vs. 84% for Apple; 99% vs. 81% for Fitbit; 96% vs. 77% for AliveCor; 99% vs. 85% for Samsung; and 97% vs. 74% for Withings (P &lt; 0.01, for each model). When applying our deep neural network-based algorithm, sensitivity and specificity to correctly identify atrial fibrillation were not significantly different for all assessed smart devices.Conclusion: In this clinical validation, the deep neural network-based algorithm significantly reduced the number of tracings labeled inconclusive, while demonstrating similarly high diagnostic accuracy for the detection of atrial fibrillation, thereby providing a possible solution to the data surge created by these smart devices.</t>
  </si>
  <si>
    <t>Mannhart, Diego; Lefebvre, Baptiste; Gardella, Christophe; Henry, Christine; Serban, Teodor; Knecht, Sven; Kuehne, Michael; Sticherling, Christian; Badertscher, Patrick</t>
  </si>
  <si>
    <t>Badertscher, P (corresponding author), Univ Hosp Basel, Petersgraben 4, CH-4031 Basel, Switzerland.</t>
  </si>
  <si>
    <t>patrick.badertscher@usb.ch</t>
  </si>
  <si>
    <t>[Mannhart, Diego; Serban, Teodor; Knecht, Sven; Kuehne, Michael; Sticherling, Christian; Badertscher, Patrick] Univ Hosp Basel, Petersgraben 4, CH-4031 Basel, Switzerland; [Lefebvre, Baptiste; Gardella, Christophe; Henry, Christine] Cardiologs, F-75002 Paris, France</t>
  </si>
  <si>
    <t>University of Basel</t>
  </si>
  <si>
    <t>Clinical validation of an artificial intelligence algorithm offering cross-platform detection of atrial fibrillation using smart device electrocardiograms</t>
  </si>
  <si>
    <t>ARCHIVES OF CARDIOVASCULAR DISEASES</t>
  </si>
  <si>
    <t>Atrial fibrillation; Smartwatch; Artificial intelligence; Deep neural network; Digital health</t>
  </si>
  <si>
    <t>WATCH</t>
  </si>
  <si>
    <t>Kühne, Michael/AAB-5202-2022; Knecht, Sven/AAP-6941-2020; Sticherling, Christian/AAY-4435-2021; Serban, Teodor/JZV-2520-2024; Badertscher, Patrick/ABA-7212-2020</t>
  </si>
  <si>
    <t>Serban, Teodor/0000-0002-2377-2893; Badertscher, Patrick/0000-0001-9751-0557</t>
  </si>
  <si>
    <t>1875-2136</t>
  </si>
  <si>
    <t>1875-2128</t>
  </si>
  <si>
    <t>ARCH CARDIOVASC DIS</t>
  </si>
  <si>
    <t>Arch. Cardiovasc. Dis.</t>
  </si>
  <si>
    <t>249</t>
  </si>
  <si>
    <t>257</t>
  </si>
  <si>
    <t>10.1016/j.acvd.2023.04.003</t>
  </si>
  <si>
    <t>http://dx.doi.org/10.1016/j.acvd.2023.04.003</t>
  </si>
  <si>
    <t>J4SW3</t>
  </si>
  <si>
    <t>37183163</t>
  </si>
  <si>
    <t>WOS:001009537000001</t>
  </si>
  <si>
    <t>de Hond, AAH; Kant, IMJ; Fornasa, M; Cina, G; Elbers, PWG; Thoral, PJ; Arbous, MS; Steyerberg, EW</t>
  </si>
  <si>
    <t>OBJECTIVES:Many machine learning (ML) models have been developed for application in the ICU, but few models have been subjected to external validation. The performance of these models in new settings therefore remains unknown. The objective of this study was to assess the performance of an existing decision support tool based on a ML model predicting readmission or death within 7 days after ICU discharge before, during, and after retraining and recalibration. DESIGN:A gradient boosted ML model was developed and validated on electronic health record data from 2004 to 2021. We performed an independent validation of this model on electronic health record data from 2011 to 2019 from a different tertiary care center. SETTING:Two ICUs in tertiary care centers in The Netherlands. PATIENTS:Adult patients who were admitted to the ICU and stayed for longer than 12 hours. INTERVENTIONS:None. MEASUREMENTS AND MAIN RESULTS:We assessed discrimination by area under the receiver operating characteristic curve (AUC) and calibration (slope and intercept). We retrained and recalibrated the original model and assessed performance via a temporal validation design. The final retrained model was cross-validated on all data from the new site. Readmission or death within 7 days after ICU discharge occurred in 577 of 10,052 ICU admissions (5.7%) at the new site. External validation revealed moderate discrimination with an AUC of 0.72 (95% CI 0.67-0.76). Retrained models showed improved discrimination with AUC 0.79 (95% CI 0.75-0.82) for the final validation model. Calibration was poor initially and good after recalibration via isotonic regression. CONCLUSIONS:In this era of expanding availability of ML models, external validation and retraining are key steps to consider before applying ML models to new settings. Clinicians and decision-makers should take this into account when considering applying new ML models to their local settings.</t>
  </si>
  <si>
    <t>de Hond, Anne A. H.; Kant, Ilse M. J.; Fornasa, Mattia; Cina, Giovanni; Elbers, Paul W. G.; Thoral, Patrick J. J.; Arbous, M. Sesmu; Steyerberg, Ewout W. W.</t>
  </si>
  <si>
    <t>de Hond, AAH (corresponding author), Leiden Univ Med Ctr, Dept Informat Technol &amp; Digital Innovat 1, Leiden, Netherlands.; de Hond, AAH (corresponding author), Stanford Med, Dept Biomed Informat, Stanford, CA 94305 USA.; de Hond, AAH (corresponding author), Leiden Univ, Med Ctr, Dept Biomed Data Sci, Leiden, Netherlands.</t>
  </si>
  <si>
    <t>a.a.h.de_hond@lumc.nl</t>
  </si>
  <si>
    <t>[de Hond, Anne A. H.; Kant, Ilse M. J.] Leiden Univ Med Ctr, Dept Informat Technol &amp; Digital Innovat 1, Leiden, Netherlands; [de Hond, Anne A. H.] Stanford Med, Dept Biomed Informat, Stanford, CA 94305 USA; [de Hond, Anne A. H.; Kant, Ilse M. J.; Steyerberg, Ewout W. W.] Leiden Univ, Med Ctr, Dept Biomed Data Sci, Leiden, Netherlands; [Fornasa, Mattia; Cina, Giovanni] 4 Pacmed, Stadhouderskade 55, Amsterdam, Netherlands; [Cina, Giovanni] Univ Amsterdam, Inst Logic Language &amp; Computat, Amsterdam, Netherlands; [Elbers, Paul W. G.; Thoral, Patrick J. J.] Amsterdam UMC, Dept Intens Care Med, Lab Crit Care Computat Intelligence, Amsterdam, Netherlands; [Arbous, M. Sesmu] Leiden Univ, Med Ctr, Dept Intens Care Med, Leiden, Netherlands</t>
  </si>
  <si>
    <t>Leiden University; Leiden University Medical Center (LUMC); Leiden University; Leiden University - Excl LUMC; Leiden University Medical Center (LUMC); University of Amsterdam; University of Amsterdam; Leiden University - Excl LUMC; Leiden University; Leiden University Medical Center (LUMC)</t>
  </si>
  <si>
    <t>Predicting Readmission or Death After Discharge From the ICU: External Validation and Retraining of a Machine Learning Model</t>
  </si>
  <si>
    <t>CRITICAL CARE MEDICINE</t>
  </si>
  <si>
    <t>clinical decision support; critical care; data science; external validation; generalizability; machine learning</t>
  </si>
  <si>
    <t>PERFORMANCE; FRAMEWORK</t>
  </si>
  <si>
    <t>Elbers, Paul/AHA-0344-2022; Steyerberg, Ewout/C-1509-2018; Arbous, Sesmu/ABI-1083-2020; Cinà, Giovanni/ABE-8056-2021</t>
  </si>
  <si>
    <t>Arbous, Sesmu/0000-0001-5242-3257; Cinà, Giovanni/0000-0002-3521-8208</t>
  </si>
  <si>
    <t>0090-3493</t>
  </si>
  <si>
    <t>1530-0293</t>
  </si>
  <si>
    <t>CRIT CARE MED</t>
  </si>
  <si>
    <t>Crit. Care Med.</t>
  </si>
  <si>
    <t>291</t>
  </si>
  <si>
    <t>300</t>
  </si>
  <si>
    <t>10.1097/CCM.0000000000005758</t>
  </si>
  <si>
    <t>http://dx.doi.org/10.1097/CCM.0000000000005758</t>
  </si>
  <si>
    <t>8F3WQ</t>
  </si>
  <si>
    <t>36524820</t>
  </si>
  <si>
    <t>WOS:000919597500020</t>
  </si>
  <si>
    <t>Temte, B; Carey, K; Spicer, A; Shah, N; Winslow, C; Gilbert, E; Afshar, M; Edelson, D; Churpek, M</t>
  </si>
  <si>
    <t>BACKGROUND: Bilevel positive airway pressure (BPAP) ventilation is an important treatment option for patients with both acute hypoxic and hypercarbic respiratory failure. To date, no predictive models have been developed to identify patients at high risk of BPAP failure in a broad population of hospitalized patients. RESEARCH QUESTION: Will an externally validated machine learning model predict BPAP failure with greater discrimination compared to the existing HACOR score and ROX index? STUDY DESIGN AND METHODS: Adult inpatients hospitalized at 7 hospitals in 4 health systems in the United States who received BPAP therapy for acute hypoxic or hypercarbic respiratory failure, or both, were eligible for inclusion. Patients were excluded if they were previously intubated, the outcome occurred within 1 hour of starting BPAP, or if they began BPAP or experienced the outcome in a location other than the wards, intermediate care, the emergency department, or the ICU. A gradient boosting machine (GBM) machine learning model was used to predict the composite outcome of intubation or death within the next 24 hours after BPAP initiation and compared with the ROX index and HACOR score. RESULTS: Of the 18,230 patients included in the study, 15,915 patients were included in the training cohort and 2,315 patients were included in the external validation cohort. In external validation, the area under the receiver operating characteristic curve of the GBM model for predicting BPAP failure within 24 hours was 0.80 (95% CI, 0.78-0.82), which was significantly higher than the ROX index at 0.70 (95% CI, 0.67-0.73) and HACOR scores at 0.68 (95% CI, 0.65-0.71; P &lt; .01 for both comparisons). INTERPRETATION: We developed and externally validated a novel machine learning algorithm for the prediction of BPAP failure in patients with respiratory failure that was shown to provide better discrimination than existing models. This model may be useful for clinical decision support in hospitalized patients with respiratory failure.</t>
  </si>
  <si>
    <t>Temte, Brandon; Carey, Kyle; Spicer, Alexandra; Shah, Nirav; Winslow, Christopher; Gilbert, Emily; Afshar, Majid; Edelson, Dana; Churpek, Matthew</t>
  </si>
  <si>
    <t>Temte, B (corresponding author), Univ Wisconsin, Dept Med, Madison, WI 53706 USA.</t>
  </si>
  <si>
    <t>brandon.temte@gmail.com</t>
  </si>
  <si>
    <t>National Heart, Lung, and Blood Institute [R01-HL157262]</t>
  </si>
  <si>
    <t>National Heart, Lung, and Blood Institute (United States Department of Health &amp; Human Services, National Institutes of Health (NIH) - USA, NIH National Heart Lung &amp; Blood Institute (NHLBI))</t>
  </si>
  <si>
    <t>This study was supported by the National Heart, Lung, and Blood Institute [Grant R01-HL157262] .</t>
  </si>
  <si>
    <t>[Temte, Brandon; Spicer, Alexandra; Afshar, Majid; Churpek, Matthew] Univ Wisconsin, Dept Med, Madison, WI 53706 USA; [Afshar, Majid; Churpek, Matthew] Univ Wisconsin, Dept Biostat &amp; Med Informat, Madison, WI USA; [Carey, Kyle; Edelson, Dana] Univ Chicago, Dept Med, Chicago, IL USA; [Gilbert, Emily] Loyola Univ Med Ctr, Dept Med, Chicago, IL USA; [Shah, Nirav; Winslow, Christopher] NorthShore Univ HealthSyst, Evanston, IL USA</t>
  </si>
  <si>
    <t>University of Wisconsin System; University of Wisconsin Madison; University of Wisconsin System; University of Wisconsin Madison; University of Chicago; NorthShore University Health System</t>
  </si>
  <si>
    <t>Development and External Validation of a Machine Learning Model to Predict Bilevel Noninvasive Ventilation Failure in Hospitalized Patients</t>
  </si>
  <si>
    <t>CHEST CRITICAL CARE</t>
  </si>
  <si>
    <t>critical care; machine learning; mechanical ventilation; noninvasive positive pressure ventilation; respiratory failure; respiratory failure</t>
  </si>
  <si>
    <t>CARDIOGENIC PULMONARY-EDEMA; HYPOXEMIC RESPIRATORY-FAILURE; RISK; EXACERBATIONS; PNEUMONIA; ADULTS; COPD</t>
  </si>
  <si>
    <t>2949-7884</t>
  </si>
  <si>
    <t>CHEST CRIT CARE</t>
  </si>
  <si>
    <t>CHEST Crit. Care</t>
  </si>
  <si>
    <t>100241</t>
  </si>
  <si>
    <t>10.1016/j.chstcc.2026.100241</t>
  </si>
  <si>
    <t>http://dx.doi.org/10.1016/j.chstcc.2026.100241</t>
  </si>
  <si>
    <t>FP1DM</t>
  </si>
  <si>
    <t>WOS:001724046600001</t>
  </si>
  <si>
    <t>Raciti, P; Sue, J; Retamero, JA; Ceballos, R; Godrich, R; Kunz, JD; Casson, A; Thiagarajan, D; Ebrahimzadeh, Z; Viret, J; Lee, DH; Schüffler, PJ; DeMuth, G; Gulturk, E; Kanan, C; Rothrock, B; Reis, J; Klimstra, DS; Reuter, V; Fuchs, TJ</t>
  </si>
  <si>
    <t>center dot Context.-Prostate cancer diagnosis rests on accurate assessment of tissue by a pathologist. The application of artificial intelligence (AI) to digitized whole slide images (WSIs) can aid pathologists in cancer diagnosis, but robust, diverse evidence in a simulated clinical setting is lacking. Objective.-To compare the diagnostic accuracy of pathologists reading WSIs of prostatic biopsy specimens with and without AI assistance. Design.-Eighteen pathologists, 2 of whom were geni-tourinary subspecialists, evaluated 610 prostate needle core biopsy WSIs prepared at 218 institutions, with the option for deferral. Two evaluations were performed sequentially for each WSI: initially without assistance, and immediately thereafter aided by Paige Prostate (PaPr), a deep learning-based system that provides a WSI-level binary classification of suspicious for cancer or benign and pinpoints the location that has the greatest probability of harboring cancer on suspicious WSIs. Pathologists' changes in sensitivity and specificity between the assisted and unassisted modalities were assessed, together with the impact of PaPr output on the assisted reads. Results.-Using PaPr, pathologists improved their sensi-tivity and specificity across all histologic grades and tumor sizes. Accuracy gains on both benign and cancerous WSIs could be attributed to PaPr, which correctly classified 100% of the WSIs showing corrected diagnoses in the PaPr-assisted phase. Conclusions.-This study demonstrates the effectiveness and safety of an AI tool for pathologists in simulated diagnostic practice, bridging the gap between computa-tional pathology research and its clinical application, and resulted in the first US Food and Drug Administration authorization of an AI system in pathology.</t>
  </si>
  <si>
    <t>Raciti, Patricia; Sue, Jillian; Retamero, Juan A.; Ceballos, Rodrigo; Godrich, Ran; Kunz, Jeremy D.; Casson, Adam; Thiagarajan, Dilip; Ebrahimzadeh, Zahra; Viret, Julian; Lee, Donghun; Schuffler, Peter J.; DeMuth, George; Gulturk, Emre; Kanan, Christopher; Rothrock, Brandon; Reis-Filho, Jorge; Klimstra, David S.; Reuter, Victor; Fuchs, Thomas J.</t>
  </si>
  <si>
    <t>Fuchs, TJ (corresponding author), Paige, 11 Times Sq,FL 37, New York, NY 10036 USA.</t>
  </si>
  <si>
    <t>thomas.fuchs@paige.ai</t>
  </si>
  <si>
    <t>Paige</t>
  </si>
  <si>
    <t>This study was funded by Paige. Paige supported the study design; the collection, analysis, and interpretation of data; the writing of the report; and the decision to submit the paper for publication.</t>
  </si>
  <si>
    <t>[Raciti, Patricia; Sue, Jillian; Retamero, Juan A.; Ceballos, Rodrigo; Godrich, Ran; Kunz, Jeremy D.; Casson, Adam; Thiagarajan, Dilip; Ebrahimzadeh, Zahra; Viret, Julian; Lee, Donghun; Schuffler, Peter J.; Gulturk, Emre; Kanan, Christopher; Rothrock, Brandon; Klimstra, David S.; Fuchs, Thomas J.] Paige, 11 Times Sq,FL 37, New York, NY 10036 USA; [DeMuth, George] Stat One, Morrisville, NC USA; [Reis-Filho, Jorge; Reuter, Victor] Mem Sloan Kettering Canc Ctr, Dept Pathol &amp; Lab Med, New York, NY USA</t>
  </si>
  <si>
    <t>Clinical Validation of Artificial Intelligence-Augmented Pathology Diagnosis Demonstrates Significant Gains in Diagnostic Accuracy in Prostate Cancer Detection</t>
  </si>
  <si>
    <t>ARCHIVES OF PATHOLOGY &amp; LABORATORY MEDICINE</t>
  </si>
  <si>
    <t>BIOPSIES</t>
  </si>
  <si>
    <t>Schüffler, Peter/C-1821-2018; Reis, Joao/KLD-5318-2024</t>
  </si>
  <si>
    <t>Raciti, Patricia/0000-0001-5136-1955; Retamero, Juan Antonio/0000-0002-2284-826X; Kanan, Christopher/0000-0002-6412-995X; Schüffler, Peter/0000-0002-1353-8921</t>
  </si>
  <si>
    <t>COLL AMER PATHOLOGISTS</t>
  </si>
  <si>
    <t>NORTHFIELD</t>
  </si>
  <si>
    <t>C/O KIMBERLY GACKI, 325 WAUKEGAN RD, NORTHFIELD, IL 60093-2750 USA</t>
  </si>
  <si>
    <t>0003-9985</t>
  </si>
  <si>
    <t>1543-2165</t>
  </si>
  <si>
    <t>ARCH PATHOL LAB MED</t>
  </si>
  <si>
    <t>Arch. Pathol. Lab. Med.</t>
  </si>
  <si>
    <t>1178</t>
  </si>
  <si>
    <t>1185</t>
  </si>
  <si>
    <t>10.5858/arpa.2022-0066-OA</t>
  </si>
  <si>
    <t>http://dx.doi.org/10.5858/arpa.2022-0066-OA</t>
  </si>
  <si>
    <t>Medical Laboratory Technology; Medicine, Research &amp; Experimental; Pathology</t>
  </si>
  <si>
    <t>Medical Laboratory Technology; Research &amp; Experimental Medicine; Pathology</t>
  </si>
  <si>
    <t>Y9XJ0</t>
  </si>
  <si>
    <t>36538386</t>
  </si>
  <si>
    <t>WOS:001108713600001</t>
  </si>
  <si>
    <t>Bai, J; Fang, X; Ding, XY; Huang, X</t>
  </si>
  <si>
    <t>Background: Insulin resistance (IR) represents a critical metabolic complication in iron-deficient children, yet existing predictive models target general or overweight pediatric populations and do not account for iron-deficiency as a distinct risk modifier. This study aimed to develop and externally validate machine learning (ML) models using routinely available clinical parameters to address this diagnostic gap. Methods: We utilized data from 222 iron-deficient children and adolescents aged 6 to 17 years from the China Health and Nutrition Survey (CHNS) for model training, and 125 cases from two hospitals for external validation. Iron-deficiency was defined using age- and sex-specific soluble transferrin receptor (sTfR) thresholds, with exclusion of elevated high-sensitivity C-reactive protein (hs-CRP) (&gt;= 5 mg/L) or missing metabolic variables. IR was defined as Homeostatic Model Assessment for Insulin Resistance (HOMA IR) exceeding 3.0. Least Absolute Shrinkage and Selection Operator (LASSO) regression selected nine predictors from 27 candidate variables (demographics, anthropometrics, blood pressure, hematology, glucose metabolism, lipids, hepatic and renal function). Four ML algorithms [logistic regression (LR), random forest (RF), k-nearest neighbor (KNN), and extreme gradient boosting (XGBoost)] were developed and evaluated by area under the curve, sensitivity, specificity, and calibration, with five-fold repeated cross-validation for Results: XGBoost achieved optimal discriminative performance with an external validation area under the receiver operating characteristic curve (AUC) of 0.940 [95% confidence interval (CI): 0.889-0.991], outperforming other algorithms. RF demonstrated the highest training AUC (0.993, 95% CI: 0.987-1.000) with near-perfect sensitivity (0.985, 95% CI: 0.920-1.000) but showed limited generalization capacity given minimal training-validation divergence. LR and KNN achieved lower validation AUC values of 0.832 (95% CI: 0.743-0.922) and 0.823 (95% CI: 0.740-0.905), respectively. XGBoost was selected as the final model based on superior specificity (0.967, 95% CI: 0.906-0.993) and tighter CIs, indicating more stable performance estimation. Fasting glucose (mean | SHAP | =0.707) and triglycerides (0.383) emerged as dominant predictors, while albumin demonstrated a protective association [odds ratio (OR) 0.86, 95% CI: 0.78-0.95]. Conclusions: This study establishes an externally validated, interpretable ML framework for predicting IR among iron-deficient youth using routine clinical data. While the XGBoost model demonstrates promising discriminative performance and geographic generalizability, the modest sample size and single-province validation limit immediate deployment readiness. Prospective multi-site validation is required before any consideration of clinical implementation as a developmental screening framework.</t>
  </si>
  <si>
    <t>Bai, Jing; Fang, Xiao; Ding, Xiaoyan; Huang, Xiu</t>
  </si>
  <si>
    <t>Fang, X (corresponding author), Chinese Acad Sci, Natl Sci Lib Chengdu, 289 Qunxian South St, Chengdu 610000, Peoples R China.</t>
  </si>
  <si>
    <t>fangx@clas.ac.cn</t>
  </si>
  <si>
    <t>[Bai, Jing; Ding, Xiaoyan] Capital Med Univ, Beijing Anzhen Nanchong Hosp, Pediat Dept, Nanchong, Peoples R China; [Bai, Jing; Ding, Xiaoyan] Nanchong Cent Hosp, Nanchong, Peoples R China; [Fang, Xiao] Chinese Acad Sci, Natl Sci Lib Chengdu, 289 Qunxian South St, Chengdu 610000, Peoples R China; [Huang, Xiu] Nanchong Cent Hosp, Nanchong City Jialing Dist Peoples Hosp, Pediat Dept, Jialing Branch, Nanchong, Peoples R China</t>
  </si>
  <si>
    <t>Capital Medical University; North Sichuan Medical University; Chinese Academy of Sciences; North Sichuan Medical University</t>
  </si>
  <si>
    <t>Development and external validation of machine learning models to predict insulin resistance among iron-deficient children and adolescents</t>
  </si>
  <si>
    <t>TRANSLATIONAL PEDIATRICS</t>
  </si>
  <si>
    <t>Machine learning (ML); insulin resistance (IR); iron-deficiency; external validation; children</t>
  </si>
  <si>
    <t>METABOLISM</t>
  </si>
  <si>
    <t>AME PUBLISHING COMPANY</t>
  </si>
  <si>
    <t>SHATIN</t>
  </si>
  <si>
    <t>FLAT-RM C 16F, KINGS WING PLAZA 1, NO 3 KWAN ST, SHATIN, HONG KONG 00000, PEOPLES R CHINA</t>
  </si>
  <si>
    <t>2224-4336</t>
  </si>
  <si>
    <t>2224-4344</t>
  </si>
  <si>
    <t>TRANSL PEDIATR</t>
  </si>
  <si>
    <t>Transl. Pediatr.</t>
  </si>
  <si>
    <t>231</t>
  </si>
  <si>
    <t>10.21037/tp-2026-1-0146</t>
  </si>
  <si>
    <t>http://dx.doi.org/10.21037/tp-2026-1-0146</t>
  </si>
  <si>
    <t>Pediatrics</t>
  </si>
  <si>
    <t>LJ3GQ</t>
  </si>
  <si>
    <t>42433965</t>
  </si>
  <si>
    <t>WOS:001825948500046</t>
  </si>
  <si>
    <t>Chen, XL; Wang, PR; Hu, XY; Wang, GL; Zhang, ZJ; Liu, QB; Yang, YH; Tafur, AJ; Pan, L</t>
  </si>
  <si>
    <t>Objectives To develop and externally validate a machine learning (ML) model of VTE in hospitalized Chinese patients. Methods We retrospectively reviewed structured data from patients with and without VTE (N = 1126 in each group) at Beijing Shijitan Hospital between January 2012 and December 2021. ML algorithms, including logistic regression (LR), decision tree (DT), or gradient boosting (GBoost) were used to establish prediction models. Patients were prospectively enrolled at Beijing Shijitan Hospital (N = 2916) or Beijing Chaoyang Hospital (N = 1339) for internal and external model validation, respectively. Results Several clinical features were had high weighted correlation with VTE in ML models: age, D-dimer level, platelet count, hemoglobin level, coronary heart disease, cancer, male sex, and comorbidity. The two highest weighted features were age and D-dimer. Optimal cut-off values indicated that age &gt;65 years, white blood cell count &gt;8.69 (109/L), hemoglobin level &gt;126 (g/L), platelet count &gt;197 (109/L), neutrophil percentage &gt;72%, and D-dimer level &gt;965 (ng/ml, D-dimer units) were significantly correlated with VTE occurrence. The AUC value of the GBoost model (0.88 +/- 0.03) was significantly higher than the DT (0.70 +/- 0.03) or LR (0.64 +/- 0.03) models. GBoost also had a higher sensitivity, specificity, Youden index and Matthews correlation coefficient (MCC) than DT or LR (P &lt; 0.05). In the internal validation cohort, the AUC value of the GBoost model (0.85 +/- 0.03) was higher than the DT (0.76 +/- 0.03) and LR (0.67 +/- 0.03) models and the Caprini Risk Assessment Model (RAM) (0.75 +/- 0.03). GBoost also had a greater sensitivity, specificity, Youden index and MCC than DT and LR (P &lt; 0.05). In the external validation cohort, the AUC value of the GBoost model (0.81 +/- 0.03) was also better than the DT (0.72 +/- 0.03) and LR (0.71 +/- 0.03) models and the Caprini RAM (0.73 +/- 0.03). The GBoost model also had a higher sensitivity, specificity, Youden index and MCC than DT and LR (P &lt; 0.05). Conclusion The GBoost ML model was better at identifying hospitalized Chinese patients at risk of VTE than other ML algorithms and the Caprini RAM.</t>
  </si>
  <si>
    <t>Chen, Xiaolan; Wang, Peiran; Hu, Xinyu; Wang, Guilian; Zhang, Zhijia; Liu, Qibo; Yang, Yuanhua; Tafur, Alfonso J.; Pan, Lei</t>
  </si>
  <si>
    <t>Pan, L (corresponding author), Capital Med Univ, Beijing Shijitan Hosp, Emergency &amp; Crit Care Med Ctr, Dept Resp &amp; Crit Care Med, Beijing 100038, Peoples R China.</t>
  </si>
  <si>
    <t>panlei@bjsjth.cn</t>
  </si>
  <si>
    <t>Beijing Municipal Administration of Hospitals Incubating Program</t>
  </si>
  <si>
    <t>The authors thank Dr Jawed Fareed, Dr Grigorios Gerotziafas, and Dr Joseph A. Caprini for their support and encouragement during this study as well as reviewing the manuscript and providing editorial support.</t>
  </si>
  <si>
    <t>[Chen, Xiaolan; Hu, Xinyu; Pan, Lei] Capital Med Univ, Beijing Shijitan Hosp, Emergency &amp; Crit Care Med Ctr, Dept Resp &amp; Crit Care Med, Beijing 100038, Peoples R China; [Wang, Peiran] Peking Union Med Coll &amp; Chinese Acad Med Sci, Peking Union Med Coll Hosp, Dept Cardiol, Beijing, Peoples R China; [Wang, Guilian; Zhang, Zhijia] Tianjin Univ Technol, Sch Mech Engn, Tianjin Key Lab Adv Mechatron Syst Design &amp; Intell, Tianjin, Peoples R China; [Wang, Guilian; Zhang, Zhijia] Tianjin Univ Technol, Natl Demonstrat Ctr Expt Mech &amp; Elect Engn Educ, Tianjin, Peoples R China; [Liu, Qibo] Hunan Univ, Coll Mech &amp; Vehicle Engn, Changsha, Peoples R China; [Yang, Yuanhua] Capital Med Univ, Beijing Chaoyang Hosp, Dept Resp &amp; Crit Care Med, Beijing, Peoples R China; [Tafur, Alfonso J.] Endeavor Hlth, Dept Vasc Med, Evanston, IL USA; [Tafur, Alfonso J.] Univ Chicago, Pritzker Sch Med, Chicago, IL USA</t>
  </si>
  <si>
    <t>Capital Medical University; Chinese Academy of Medical Sciences - Peking Union Medical College; Peking Union Medical College; Peking Union Medical College Hospital; Tianjin University of Technology; Tianjin University of Technology; Hunan University; Capital Medical University; University of Chicago</t>
  </si>
  <si>
    <t>Development and External Validation of a Machine Learning Model to Predict Venous Thromboembolism Risk in Hospitalized Chinese Patients</t>
  </si>
  <si>
    <t>CLINICAL AND APPLIED THROMBOSIS-HEMOSTASIS</t>
  </si>
  <si>
    <t>machine learning; venous thromboembolism; risk model development; external validation; Chinese patients</t>
  </si>
  <si>
    <t>MEDICAL PATIENTS</t>
  </si>
  <si>
    <t>Tafur, Alfonso/AAN-7950-2020</t>
  </si>
  <si>
    <t>chen, xiaolan/0000-0002-8071-4286</t>
  </si>
  <si>
    <t>1076-0296</t>
  </si>
  <si>
    <t>1938-2723</t>
  </si>
  <si>
    <t>CLIN APPL THROMB-HEM</t>
  </si>
  <si>
    <t>Clin. Appl. Thromb.-Hemost.</t>
  </si>
  <si>
    <t>10760296251372942</t>
  </si>
  <si>
    <t>10.1177/10760296251372942</t>
  </si>
  <si>
    <t>http://dx.doi.org/10.1177/10760296251372942</t>
  </si>
  <si>
    <t>6QG1P</t>
  </si>
  <si>
    <t>WOS:001559429600001</t>
  </si>
  <si>
    <t>Wu, XL; Song, QZ; Li, DL; Liu, ZX; Wang, XY; Yang, RW; He, YK; Yang, HW</t>
  </si>
  <si>
    <t>Background: Acute liver failure (ALF) is a rapidly progressive and life-threatening condition that requires accurate risk stratification. Existing prognostic tools have limited sensitivity and generalizability. This study aimed to develop and externally validate a machine learning-based modeling framework for early in-hospital dynamic prediction of in-hospital mortality in patients with acute liver failure. Methods: Patients with ALF were identified from the MIMIC-IV database, with an independent external cohort from Guangxi Medical University Cancer Hospital for validation. Eleven predictors were selected using LASSO regression and the Boruta algorithm. Seven ML models were trained and optimized through cross-validation and grid search. Model performance was assessed using discrimination, calibration, and decision curve analysis, with interpretability evaluated by SHAP. Results: A total of 1,228 patients from MIMIC-IV and 108 external patients were included. Among all evaluated models, logistic regression demonstrated the most robust and stable performance, with AUCs of 0.802 in internal validation and 0.774 in external validation. Calibration and decision curve analyses demonstrated good clinical utility. SHAP identified temperature, vasopressor use, age, CRRT, and sedative/analgesic use as key predictors. A nomogram and online tool were developed for individualized risk prediction. Conclusion: This study presents an interpretable and externally validated ML model for predicting inhospital mortality in ALF, providing a practical tool for early in-hospital dynamic risk stratification and clinical decision support. (c) 2026 The Author(s). Published by Elsevier Ltd on behalf of Editrice Gastroenterologica Italiana S.r.l. This is an open access article under the CC BY-NC-ND license ( http://creativecommons.org/licenses/by-nc-nd/4.0/ )</t>
  </si>
  <si>
    <t>Wu, Xuanlin; Song, Qingzhou; Li, Delin; Liu, Zixuan; Wang, Xinyu; Yang, Ruiwei; He, Yukun; Yang, Huawei</t>
  </si>
  <si>
    <t>Yang, HW (corresponding author), Guangxi Med Univ, Canc Hosp, Dept Breast Surg, Nanning 530021, Guangxi Zhuang, Peoples R China.</t>
  </si>
  <si>
    <t>yanghuawei@stu.gxmu.edu.cn</t>
  </si>
  <si>
    <t>Guangxi Natrual Science Foun-dation [2018GXNAFAA138049]; National Natu-ral Science Foundation of China [8180464]; Wu Jieping medical foundation [2025-20]</t>
  </si>
  <si>
    <t>Guangxi Natrual Science Foun-dation; National Natu-ral Science Foundation of China (National Natural Science Foundation of China (NSFC)); Wu Jieping medical foundation</t>
  </si>
  <si>
    <t>Funding This work was supported by the Guangxi Natrual Science Foun-dation [grant numbers 2018GXNAFAA138049] ; the National Natu-ral Science Foundation of China [grant numbers 8180464] ; the Wu Jieping medical foundation [grant numbers 2025-20] .</t>
  </si>
  <si>
    <t>[Wu, Xuanlin; Wang, Xinyu; He, Yukun; Yang, Huawei] Guangxi Med Univ, Canc Hosp, Dept Breast Surg, Nanning 530021, Guangxi Zhuang, Peoples R China; [Song, Qingzhou; Li, Delin; Liu, Zixuan; Yang, Ruiwei] Guangxi Med Univ, Canc Hosp, Dept Gastrointestinal Surg, Div Colorectal &amp; Anal Surg, Nanning 530021, Guangxi Zhuang, Peoples R China</t>
  </si>
  <si>
    <t>Guangxi Medical University; Guangxi Medical University</t>
  </si>
  <si>
    <t>Development and external validation of a machine learning model for predicting in-hospital mortality in acute liver failure</t>
  </si>
  <si>
    <t>DIGESTIVE AND LIVER DISEASE</t>
  </si>
  <si>
    <t>Acute liver failure; Machine learning; Mortality; Nomogram; MIMIC-IV</t>
  </si>
  <si>
    <t>OUTCOMES; LACTATE</t>
  </si>
  <si>
    <t>1590-8658</t>
  </si>
  <si>
    <t>1878-3562</t>
  </si>
  <si>
    <t>DIGEST LIVER DIS</t>
  </si>
  <si>
    <t>Dig. Liver Dis.</t>
  </si>
  <si>
    <t>644</t>
  </si>
  <si>
    <t>653</t>
  </si>
  <si>
    <t>10.1016/j.dld.2026.01.226</t>
  </si>
  <si>
    <t>http://dx.doi.org/10.1016/j.dld.2026.01.226</t>
  </si>
  <si>
    <t>HD7DN</t>
  </si>
  <si>
    <t>41692645</t>
  </si>
  <si>
    <t>WOS:001751597800001</t>
  </si>
  <si>
    <t>Jeon, YD; Jung, KH; Kim, MS; Kim, H; Yoon, D; Park, KB</t>
  </si>
  <si>
    <t>Background If reduction images of fractures can be provided in advance with artificial-intelligence (AI)-based technology, it can assist with preoperative surgical planning. Recently, we developed the AI-based preoperative virtual reduction model for orthopedic trauma, which can provide an automatic segmentation and reduction of fractured fragments. The purpose of this study was to validate a quality of reduction model of Neer 3- or 4-part proximal humerus fractures established by AI-based technology. Methods To develop the AI-based preoperative virtual reduction model, deep learning performed the segmentation of fracture fragments, and a Monte Carlo simulation completed the virtual reduction to determine the best model. A total of 20 pre/postoperative three-dimensional computed tomography (CT) scans of proximal humerus fracture were prepared. The preoperative CT scans were employed as the input of AI-based automated reduction (AI-R) to deduce the reduction models of fracture fragments, meanwhile, the manual reduction (MR) was conducted using the same CT images. Dice similarity coefficient (DSC) and intersection over union (IoU) between the reduction model from the AI-R/MR and postoperative CT scans were evaluated. Working times were compared between the two groups. Clinical validity agreement (CVA) and reduction quality score (RQS) were investigated for clinical validation outcomes by 20 orthopedic surgeons. Results The mean DSC and IoU were better when using AI-R that when using MR (0.78 +/- 0.13 vs. 0.69 +/- 0.16, p &lt; 0.001 and 0.65 +/- 0.16 vs. 0.55 +/- 0.18, p &lt; 0.001, respectively). The working time of AI-R was, on average, 1.41% of that of MR. The mean CVA of all cases was 81%+/- 14.7% (AI-R, 82.25%+/- 14.27%; MR, 76.75%+/- 14.17%, p = 0.06). The mean RQS was significantly higher when AI-R compared with MR was used (91.47 +/- 1.12 vs. 89.30 +/- 1.62, p = 0.045). Conclusion The AI-based preoperative virtual reduction model showed good performance in the reduction model in proximal humerus fractures with faster working times. Beyond diagnosis, classification, and outcome prediction, the AI-based technology can change the paradigm of preoperative surgical planning in orthopedic surgery.</t>
  </si>
  <si>
    <t>Jeon, Young Dae; Jung, Kwang-Hwan; Kim, Moo-Sub; Kim, Hyeonjoo; Yoon, Do-Kun; Park, Ki-Bong</t>
  </si>
  <si>
    <t>Park, KB (corresponding author), Univ Ulsan, Ulsan Univ Hosp, Dept Orthopaed Surg, Coll Med, 25 Daehakbyeongwon Ro, Ulsan 44033, South Korea.</t>
  </si>
  <si>
    <t>kbpark@uuh.ulsan.kr</t>
  </si>
  <si>
    <t>[Jeon, Young Dae; Jung, Kwang-Hwan; Park, Ki-Bong] Univ Ulsan, Ulsan Univ Hosp, Dept Orthopaed Surg, Coll Med, 25 Daehakbyeongwon Ro, Ulsan 44033, South Korea; [Kim, Moo-Sub; Kim, Hyeonjoo; Yoon, Do-Kun] KAVILAB Co Ltd, Ind R&amp;D Ctr, Seoul, South Korea</t>
  </si>
  <si>
    <t>University of Ulsan; Ulsan University Hospital</t>
  </si>
  <si>
    <t>Clinical validation of artificial intelligence-based preoperative virtual reduction for Neer 3-or 4-part proximal humerus fractures</t>
  </si>
  <si>
    <t>Artificial intelligence; Preoperative surgical planning; Proximal humerus fracture; Reduction quality</t>
  </si>
  <si>
    <t>COMPUTER</t>
  </si>
  <si>
    <t>Jung, Kwang-Hwan/KIB-4333-2024; Park, Ki-Bong/GRY-4294-2022</t>
  </si>
  <si>
    <t>Park, Ki-Bong/0000-0002-2978-8300; Kim, Moo-Sub/0000-0002-8202-617X</t>
  </si>
  <si>
    <t>AUG 27 2024</t>
  </si>
  <si>
    <t>10.1186/s12891-024-07798-z</t>
  </si>
  <si>
    <t>http://dx.doi.org/10.1186/s12891-024-07798-z</t>
  </si>
  <si>
    <t>E0M9T</t>
  </si>
  <si>
    <t>39192203</t>
  </si>
  <si>
    <t>WOS:001300045900004</t>
  </si>
  <si>
    <t>Tokai, T; Ishii, M; Ikebe, S; Nakamura, T; Tsujita, K; Akashi, N; Fujita, H; Nakano, Y; Matoba, T; Kohro, T; Oba, Y; Makimoto, H; Kabutoya, T; Kario, K; Imai, Y; Kodera, S; Kiyosue, A; Mizuno, Y; Nochioka, K; Nakayama, M; Iwai, T; Miyamoto, Y; Sato, H; Nagai, R</t>
  </si>
  <si>
    <t>Background: Conventional bleeding risk scores after percutaneous coronary intervention (PCI) have limited discrimination and external validation, so we developed and validated a machine learning (ML)-based bleeding risk score using real-world data. Methods and Results: The primary outcome was major bleeding. In the Clinical Deep Data Accumulation System (CLIDAS) cohort, bleeding events occurring &gt;30 days after PCI were identified by chart review and classified as moderate or severe bleeding by the Global Utilization of Streptokinase and TPA for Occluded Coronary Arteries criteria. In the Health, Clinic, and Education Information Evaluation Institute (HCEI) cohort, major bleeding was identified using ICD-10 codes and Diagnosis Procedure Combination (DPC) data. We analyzed 2,502 acute coronary syndrome patients undergoing PCI from CLIDAS and externally validated the model in 10,928 patients from HCEI. A total of 5 ML algorithms were trained. Key predictors were age, body mass index, B-type natriuretic peptide, and hemoglobin. Logistic regression demonstrated the best performance (area under the curve [AUC] 0.748) and was used to derive the CLIDAS bleeding risk score. The CLIDAS score outperformed the binary J-HBR (AUC 0.74 vs. 0.63, P=0.007) and binary ARC-HBR (AUC 0.74 vs. 0.62, P=0.011), but in external validation the CLIDAS score demonstrated limited discrimination (AUC 0.64), lower than continuous conventional scores. Conclusions: Our novel ML-based bleeding risk score showed better discrimination than conventional binary classifications in the derivation/internal validation, but external performance was limited.</t>
  </si>
  <si>
    <t>Tokai, Tatsuya; Ishii, Masanobu; Ikebe, So; Nakamura, Taishi; Tsujita, Kenichi; Akashi, Naoyuki; Fujita, Hideo; Nakano, Yasuhiro; Matoba, Tetsuya; Kohro, Takahide; Oba, Yusuke; Makimoto, Hisaki; Kabutoya, Tomoyuki; Kario, Kazuomi; Imai, Yasushi; Kodera, Satoshi; Kiyosue, Arihiro; Mizuno, Yoshiko; Nochioka, Kotaro; Nakayama, Masaharu; Iwai, Takamasa; Miyamoto, Yoshihiro; Sato, Hisahiko; Nagai, Ryozo</t>
  </si>
  <si>
    <t>Ishii, M (corresponding author), Kumamoto Univ, Grad Sch Med Sci, Dept Cardiovasc Med, 1-1-1 Honjo,Chuo Ku, Kumamoto, Kumamoto 8608556, Japan.</t>
  </si>
  <si>
    <t>mishii4@kumamoto-u.ac.jp</t>
  </si>
  <si>
    <t>[Tokai, Tatsuya; Ishii, Masanobu; Ikebe, So; Tsujita, Kenichi] Kumamoto Univ, Grad Sch Med Sci, Dept Cardiovasc Med, 1-1-1 Honjo,Chuo Ku, Kumamoto, Kumamoto 8608556, Japan; [Ishii, Masanobu; Nakamura, Taishi] Kumamoto Univ, Grad Sch Med Sci, Dept Med Informat Sci, Kumamoto, Japan; [Akashi, Naoyuki; Fujita, Hideo] Jichi Med Univ, Saitama Med Ctr, Div Cardiovasc Med, Saitama, Japan; [Nakano, Yasuhiro; Matoba, Tetsuya] Kyushu Univ, Grad Sch Med Sci, Dept Cardiovasc Med, Fukuoka, Japan; [Kohro, Takahide] Jichi Med Univ, Sch Med, Dept Clin Informat, Shimotsuke, Tochigi, Japan; [Oba, Yusuke; Makimoto, Hisaki; Kabutoya, Tomoyuki; Kario, Kazuomi] Jichi Med Univ, Sch Med, Div Cardiovasc Med, Shimotsuke, Tochigi, Japan; [Imai, Yasushi] Jichi Med Univ, Dept Pharmacol, Div Clin Pharmacol, Shimotsuke, Tochigi, Japan; [Kodera, Satoshi; Kiyosue, Arihiro; Mizuno, Yoshiko] Univ Tokyo Hosp, Dept Cardiovasc Med, Tokyo, Japan; [Mizuno, Yoshiko] Dev Bank Japan Inc, Tokyo, Japan; [Nochioka, Kotaro] Tohoku Univ Hosp, Div Cardiovasc Med, Sendai, Miyagi, Japan; [Nakayama, Masaharu] Tohoku Univ, Grad Sch Med, Dept Med Informat, Sendai, Miyagi, Japan; [Iwai, Takamasa] Natl Cerebral &amp; Cardiovasc Ctr, Dept Cardiovasc Med, Osaka, Japan; [Miyamoto, Yoshihiro] Natl Cerebral &amp; Cardiovasc Ctr, Open Innovat Ctr, Osaka, Japan; [Sato, Hisahiko] Precision Inc, Tokyo, Japan; [Nagai, Ryozo] Jichi Med Univ, Sch Med, Shimotsuke, Tochigi, Japan</t>
  </si>
  <si>
    <t>Kumamoto University; Kumamoto University; Jichi Medical University; Kyushu University; Jichi Medical University; Jichi Medical University; Jichi Medical University; University of Tokyo; Tohoku University; Tohoku University; National Cerebral &amp; Cardiovascular Center - Japan; National Cerebral &amp; Cardiovascular Center - Japan; Jichi Medical University</t>
  </si>
  <si>
    <t>CLIDAS Res Grp</t>
  </si>
  <si>
    <t>Development and External Validation of a Machine Learning-Based Bleeding Risk Score for Patients Undergoing Percutaneous Coronary Intervention</t>
  </si>
  <si>
    <t>CIRCULATION REPORTS</t>
  </si>
  <si>
    <t>Clinical Deep Data Accumulation System (CLIDAS); High bleeding risk; Machine learning; Percutaneous coronary intervention</t>
  </si>
  <si>
    <t>ARTERY-DISEASE; THERAPY</t>
  </si>
  <si>
    <t>Makimoto, Hisaki/ABH-9630-2020; Ishii, Masanobu/CAG-0498-2022; Matoba, Tetsuya/M-1920-2013; Tsujita, Kenichi/AAG-4562-2021</t>
  </si>
  <si>
    <t>JAPANESE CIRCULATION SOC</t>
  </si>
  <si>
    <t>TOYKO</t>
  </si>
  <si>
    <t>6th Floor, Uchikanda Central Building, 1-18-13 Uchikanda, Chiyoda-ku, TOYKO, 101-0047, JAPAN</t>
  </si>
  <si>
    <t>2434-0790</t>
  </si>
  <si>
    <t>CIRC REP</t>
  </si>
  <si>
    <t>Circ. Rep.</t>
  </si>
  <si>
    <t>10.1253/circrep.CR-26-0116</t>
  </si>
  <si>
    <t>http://dx.doi.org/10.1253/circrep.CR-26-0116</t>
  </si>
  <si>
    <t>LB3VM</t>
  </si>
  <si>
    <t>WOS:001820567200001</t>
  </si>
  <si>
    <t>Cullaro, G; Lai, JC; Liu, T; Gomez, ME; Simonetto, DA; Lee, S; Lee, BP; Allegretti, AS; Mazumder, NR; Patidar, KR; Verna, EC</t>
  </si>
  <si>
    <t>Ascites development in cirrhosis reduces 5-year survival from 80% to 30%, yet substantial heterogeneity exists among patients with comparable ascites severity. This multicenter retrospective cohort study included adult liver transplant candidates with ascites at 4 United States centers (2015-2024). Latent class analysis was performed using 7 clinical variables: ascites grade, bilirubin, albumin, platelet count, estimated glomerular filtration rate, systolic blood pressure, and portal vein thrombosis. The derivation cohort (n=625) from the University of California San Francisco and Columbia University was randomly split 80/20 for model development and internal validation. External validation was performed at the University of Southern California (n=59) and Mayo Clinic (n=93). Primary outcomes were acute kidney injury (AKI) and waitlist mortality over 365 days. Three phenotypes emerged: "CKD-Metabolic" (30.4%, lowest eGFR 76.5 mL/min/1.73 m(2)), "Vasodilatory-Synthetic Dysfunction" (38.9%, highest bilirubin 7.03 mg/dL, lowest blood pressure 117.5 mmHg), and "PVT-Intermediate" (30.7%, severe thrombocytopenia 68.1 &amp; times;10(3)/mu L, 24.0% PVT). In validation cohorts (n=305), phenotypes demonstrated robust classification (mean posterior probability 0.823-0.855). Vasodilatory-Synthetic Dysfunction showed increased AKI risk versus CKD-Metabolic in derivation (MELD 3.0-adjusted HR 2.95, 95% CI 2.07-4.22, p&lt;0.001) and validation cohorts (HR 3.39, 95% CI 1.93-5.94, p&lt;0.001). Competing risk analysis revealed no mortality differences, but Vasodilatory-Synthetic Dysfunction was associated with higher transplantation rates (validation: HR 1.63, 95% CI 1.19-2.22, p=0.002). Three reproducible clinical phenotypes of ascites were identified with distinct risk profiles. The Vasodilatory-Synthetic Dysfunction phenotype was associated with a 3-fold increase in the risk of AKI that persisted after adjustment for MELD 3.0. No differences in waitlist mortality were observed, likely reflecting effective MELD-based transplant allocation that preferentially removes the highest-acuity patients from the waitlist.</t>
  </si>
  <si>
    <t>Cullaro, Giuseppe; Lai, Jennifer C.; Liu, Taryn; Gomez, Miguel E.; Simonetto, Douglas A.; Lee, Sean; Lee, Brian P.; Allegretti, Andrew S.; Mazumder, Nikhilesh R.; Patidar, Kavish R.; Verna, Elizabeth C.</t>
  </si>
  <si>
    <t>Cullaro, G (corresponding author), Columbia Univ, Vagelos Coll Phys &amp; Surg, Ctr Liver Dis &amp; Transplantat, 622 West 168th St,PH14,Room 202, New York, NY 10032 USA.</t>
  </si>
  <si>
    <t>gomez.miguel2@mayo.edu; simonetto.douglas@mayo.edu; gc2576@cumc.columbia.edu; jennifer.lai@ucsf.edu; mazumde@med.umich.edu; tl3419@cumc.columbia.edu; brian.lee@med.usc.edu; krpatidar@houstonmethodist.org; ev77@cumc.columbia.edu; slee03398@usc.edu; aallegretti@mgh.harvard.edu</t>
  </si>
  <si>
    <t>NIH [R01AG059183, K24AG080021, K23DK131278, L30DK133959, K23 DK128567, K23 DK140535]; UCSF Liver Center [P30 DK026743]; American Association</t>
  </si>
  <si>
    <t>NIH (United States Department of Health &amp; Human Services, National Institutes of Health (NIH) - USA, Office of the Administrator (NIH)); UCSF Liver Center; American Association</t>
  </si>
  <si>
    <t>This study was funded by NIH R01AG059183 (Lai), NIH K24AG080021 (Lai), the UCSF Liver Center P30 DK026743 (Lai), NIH K23DK131278 (Cullaro), NIH L30DK133959 (Cullaro), NIH K23 DK128567 (Allegretti), NIH K23 DK140535 (Mazumder), and the American Association for the Study of Liver Disease Clinical, Translational, and Outcomes Research Award (Cullaro). These funding agencies played no role in the analysis of the data or the preparation of this manuscript.</t>
  </si>
  <si>
    <t>[Cullaro, Giuseppe; Liu, Taryn; Verna, Elizabeth C.] Columbia Univ, Vagelos Coll Phys &amp; Surg, Ctr Liver Dis &amp; Transplantat, 622 West 168th St,PH14,Room 202, New York, NY 10032 USA; [Lai, Jennifer C.] Univ Calif San Francisco, Div Gastroenterol &amp; Hepatol, San Francisco, CA USA; [Gomez, Miguel E.; Simonetto, Douglas A.] Mayo Clin, Div Gastroenterol &amp; Hepatol, Rochester, MN USA; [Lee, Sean; Lee, Brian P.] Univ Southern Calif, Keck Sch Med, Div Gastroenterol &amp; Liver Dis, Los Angeles, CA USA; [Lee, Brian P.] Univ Southern Calif, Inst Addict Sci, Los Angeles, CA USA; [Allegretti, Andrew S.] Massachusetts Gen Hosp, Dept Med, Div Nephrol, Boston, MA USA; [Mazumder, Nikhilesh R.] Univ Michigan, Div Gastroenterol &amp; Hepatol, Ann Arbor, MI USA; [Mazumder, Nikhilesh R.] VA Ann Arbor Healthcare Syst, Dept Med, Gastroenterol Sect, Ann Arbor, MI USA; [Patidar, Kavish R.] Houston Methodist Hosp, Houston, TX USA</t>
  </si>
  <si>
    <t>Columbia University; University of California System; University of California San Francisco; Mayo Clinic; University of Southern California; Harvard University; Harvard University Medical Affiliates; Massachusetts General Hospital; University of Michigan System; University of Michigan; Houston Methodist</t>
  </si>
  <si>
    <t>Machine learning-derived clinical phenotypes of ascites in cirrhosis: A multi-center latent class analysis with external validation</t>
  </si>
  <si>
    <t>LIVER TRANSPLANTATION</t>
  </si>
  <si>
    <t>ascites; cirrhosis; portal hypertension</t>
  </si>
  <si>
    <t>SPONTANEOUS BACTERIAL PERITONITIS; PORTAL-VEIN THROMBOSIS; HOSPITALIZED-PATIENTS; MANAGEMENT; MORTALITY; PATHOGENESIS; GUIDELINES; FAILURE</t>
  </si>
  <si>
    <t>1527-6465</t>
  </si>
  <si>
    <t>1527-6473</t>
  </si>
  <si>
    <t>LIVER TRANSPLANT</t>
  </si>
  <si>
    <t>Liver Transplant.</t>
  </si>
  <si>
    <t>10.1097/LVT.0000000000000942</t>
  </si>
  <si>
    <t>http://dx.doi.org/10.1097/LVT.0000000000000942</t>
  </si>
  <si>
    <t>Gastroenterology &amp; Hepatology; Surgery; Transplantation</t>
  </si>
  <si>
    <t>MX9IN</t>
  </si>
  <si>
    <t>42560069</t>
  </si>
  <si>
    <t>WOS:001853517500001</t>
  </si>
  <si>
    <t>Nicoletti, R; Ho, N; Lee, HY; Wu, WJ; Laukhtina, E; Spatafora, P; Wong, CHM; Ko, ICH; Leung, CH; Giannarini, G; Vasdev, N; Gontero, P; Ng, CF; Li, CC; Li, WM; Ke, HL; Yeh, HC; Campi, R; Serni, S; Gacci, M; Shariat, S; Choi, T; Teoh, JYC</t>
  </si>
  <si>
    <t>The European association of Urology (EAU) suggests a prognostic stratification of Upper Tract Urothelial Cancer (UTUC) based on high and low risk patients, with Radical nephroureterectomy (RNU) and bladder cuff resection being the gold standard for the treatment of non-metastatic High risk UTUC. However, no consensus on post-operative patient management or tools that predict who would benefit the most from a close follow-up rather than adjuvant chemotherapy regimen exist. in Machine Learning (ML) is gaining interest in Urology providing models for prognostic prediction purpose; It's role in UTUC has not yet been investigated. We aim to develop and validate multiple supervised ML models based on patient- and tumor- related features to predict prognosis in patients with preoperative Histological or Imaging proved UTUC treated with RNU within a multiethnic large cohort. Data from an international multicenter large cohort of histologically proven UTUC patients from Asia and Europe treated with RNU were retrospectively collected. Twenty different ML-supervised predictive models were first trained and then external validate with two separate set. Nomograms were constructed based on 8 independent prognostic factors (age, gender, grading, pT, pN, presence of Carcinoma in Situ (CIS), multifocality and Lymphovascular invasion(LVI)) to predict 6 Outcomes (Overall Survival (OS), Cancer Specific Survival (CSS) and Disease Free Survival (DFS) at 3 and 5 year). Performances were compared using Area-under-curve (AUC) of Receiver-Operating Characteristics (ROC). A total of 3129 patients were enrolled: 637 Asian Patients (training cohort) and 2492 European patients (validation cohort). Upon training assessment, LR models achieved the best results, being the best model for prediction of 4/6 outcomes, with the best result in CSS both at 3 and 5 years (AUC: 0.85, 0.84, 0.81 for CSS-3y, CSS-5y and DFS-3y respectively). Upon external validation, LR(CSL) models achieve the best results, being the number 1 model for prediction of 3/6 outcomes (AUC: 0.84, 0.79, 0.77 for CSS-3y, OS-3y and OS-5y respectively). ML is a promising technology in the field of UTUC. Our model achieve favorable results in terms of prediction of prognosis after RNU, especially in terms of CSS at 3 and 5 years, moreover is the first model of prognosis taking into account the differences in epidemiology existing between European and Asian patients. Further clinical validation and verification of its reliability for the case selection of adjuvant therapy are needed to assess its use in clinical practice linked to clinical decision making. ML is an advancing technology in the field of medicine and urology, which can also be applied to the definition of the prognosis of patients with UTUC undergoing RNU. Our study represents the first experience investigating this potential.</t>
  </si>
  <si>
    <t>Nicoletti, Rossella; Ho, Nick; Lee, Hsiang-Ying; Wu, Wen-Jeng; Laukhtina, Ekaterina; Spatafora, Pietro; Wong, Chris Ho-Ming; Ko, Ivan Ching-Ho; Leung, Chi-Ho; Giannarini, Gianluca; Vasdev, Nikhil; Gontero, Paolo; Ng, Chi-Fai; Li, Ching-Chia; Li, Wei-Ming; Ke, Hung-Lung; Yeh, Hsin-chih; Campi, Riccardo; Serni, Sergio; Gacci, Mauro; Shariat, Shahrokh; Choi, Thomas; Teoh, Jeremy Yuen-Chun</t>
  </si>
  <si>
    <t>Teoh, JYC (corresponding author), Chinese Univ Hong Kong, Fac Med, SH Ho Urol Ctr, Dept Surg,Sha Tin, Hong Kong, Peoples R China.; Teoh, JYC (corresponding author), Med Univ Vienna, Dept Urol, Vienna, Austria.</t>
  </si>
  <si>
    <t>jeremyteoh@surgery.cuhk.edu.hk</t>
  </si>
  <si>
    <t>[Nicoletti, Rossella; Wong, Chris Ho-Ming; Ko, Ivan Ching-Ho; Leung, Chi-Ho; Ng, Chi-Fai; Teoh, Jeremy Yuen-Chun] Chinese Univ Hong Kong, Fac Med, SH Ho Urol Ctr, Dept Surg,Sha Tin, Hong Kong, Peoples R China; [Nicoletti, Rossella; Spatafora, Pietro; Campi, Riccardo; Serni, Sergio; Gacci, Mauro] Univ Florence, Dept Expt &amp; Clin Biomed Sci, Florence, Italy; [Ho, Nick; Choi, Thomas] Hong Kong Polytech Univ, Hung Hom, Hong Kong, Peoples R China; [Lee, Hsiang-Ying; Wu, Wen-Jeng; Li, Ching-Chia; Li, Wei-Ming; Ke, Hung-Lung] Kaohsiung Med Univ Hosp, Kaohsiung, Taiwan; [Lee, Hsiang-Ying; Wu, Wen-Jeng; Li, Ching-Chia; Li, Wei-Ming; Ke, Hung-Lung] Kaohsiung Med Univ, Coll Med, Sch Med, Dept Urol, Kaohsiung, Taiwan; [Laukhtina, Ekaterina; Shariat, Shahrokh; Teoh, Jeremy Yuen-Chun] Med Univ Vienna, Dept Urol, Vienna, Austria; [Giannarini, Gianluca] Santa Maria Misericordia Acad Med Ctr, Unit Pathol, Udine, Italy; [Vasdev, Nikhil] Lister Hosp, Hertfordshire &amp; Bedfordshire Urol Canc Ctr, Dept Urol, Stevenage, England; [Vasdev, Nikhil] Univ Hertfordshire, Sch Life &amp; Med Sci, Hatfield, England; [Gontero, Paolo] Torino Sch Med, AOU Citta Salute &amp; Sci Torino, Turin, Italy; [Li, Ching-Chia; Li, Wei-Ming; Ke, Hung-Lung] Kaohsiung Med Univ, Dept Urol, Gangshan Hosp, Kaohsiung, Taiwan; [Shariat, Shahrokh] Weill Cornell Med Coll, Dept Urol, New York, NY USA; [Shariat, Shahrokh] Univ Texas Southwestern, Dept Urol, Dallas, TX USA; [Shariat, Shahrokh] Al Ahliyya Amman Univ, Hourani Ctr Appl Sci Res, Salt, Jordan</t>
  </si>
  <si>
    <t>Chinese University of Hong Kong; University of Florence; Hong Kong Polytechnic University; Kaohsiung Medical University; Kaohsiung Medical University Hospital; Kaohsiung Medical University; Medical University of Vienna; University Hospital Vienna; Lister Hospital; University of Hertfordshire; A.O.U. Citta della Salute e della Scienza di Torino; Kaohsiung Medical University; Cornell University; Weill Cornell Medicine; University of Texas System; University of Texas Southwestern Medical Center; Al-Ahliyya Amman University</t>
  </si>
  <si>
    <t>Training and external validation of machine learning supervised prognostic models of upper tract urothelial cancer (UTUC) after nephroureterectomy</t>
  </si>
  <si>
    <t>Upper tract urothelial cancer; Nephroureterectomy; Machine learning</t>
  </si>
  <si>
    <t>RADICAL NEPHROURETERECTOMY; POSTOPERATIVE NOMOGRAM; BLADDER-CANCER; CARCINOMA; SURVIVAL</t>
  </si>
  <si>
    <t>Nicoletti, Rossella/IXN-6451-2023; Teoh, Jeremy/H-5184-2016; Li, Ching-Chia/D-5024-2009; Laukhtina, Ekaterina/AAO-6719-2021; Vasdev, Nikhil/AAG-3878-2020; Yeh, Hsin-Chih/ABI-1268-2020; Campi, Riccardo/E-7362-2016; Giannarini, Gianluca/U-3293-2019; Ke, Hung-Lung/HCH-9079-2022</t>
  </si>
  <si>
    <t>Yeh, Hsin-Chih/0000-0003-4113-629X</t>
  </si>
  <si>
    <t>JAN 22 2026</t>
  </si>
  <si>
    <t>2847</t>
  </si>
  <si>
    <t>10.1038/s41598-025-29043-w</t>
  </si>
  <si>
    <t>http://dx.doi.org/10.1038/s41598-025-29043-w</t>
  </si>
  <si>
    <t>CM2CC</t>
  </si>
  <si>
    <t>41565702</t>
  </si>
  <si>
    <t>WOS:001669104400003</t>
  </si>
  <si>
    <t>Shaikh, HJF; Botros, M; Ramirez, G; Thirukumaran, CP; Ricciardi, B; Myers, TG</t>
  </si>
  <si>
    <t>BackgroundThe purpose of the study was to use Machine Learning (ML) to construct a risk calculator for patients who undergo Total Joint Arthroplasty (TJA) on the basis of New York State Statewide Planning and Research Cooperative System (SPARCS) data and externally validate the calculator on a single TJA center.MethodsSeven ML algorithms, i.e., logistic regression, adaptive boosting, gradient boosting (Xg Boost), random forest (RF) classifier, support vector machine, and single and a five-layered neural network were trained on the derivation cohort. Models were trained on 68% of data, validated on 15%, tested on 15%, and externally validated on 2% of the data from a single arthroplasty center.ResultsValidation of the models showed that the RF classifier performed best in terms of 30-d mortality AUROC (Area Under the Receiver Operating Characteristic) 0.78, 30-d readmission (AUROC 0.61) and 90-d composite complications (AUROC 0.73) amongst the test set. Additionally, Xg Boost was found to be the best predicting model for 90-d readmission and 90-d composite complications (AUC 0.73). External validation demonstrated that models achieved similar AUROCs to the test set although variation occurred in top model performance for 90-d composite complications and readmissions between our test and external validation set.ConclusionThis was the first study to investigate the use of ML to create a predictive risk calculator from state-wide data and then externally validate it with data from a single arthroplasty center. Discrimination between best performing ML models and between the test set and the external validation set are comparable.Level of EvidenceIII.</t>
  </si>
  <si>
    <t>Shaikh, Hashim J. F.; Botros, Mina; Ramirez, Gabriel; Thirukumaran, Caroline P.; Ricciardi, Benjamin; Myers, Thomas G.</t>
  </si>
  <si>
    <t>Shaikh, HJF (corresponding author), Univ Rochester, Dept Orthopaed &amp; Phys Performance, Med Ctr, 601 Elmwood Ave, Rochester, NY 14642 USA.</t>
  </si>
  <si>
    <t>hashim_shaikh@urmc.rochester.edu</t>
  </si>
  <si>
    <t>[Shaikh, Hashim J. F.; Botros, Mina; Ramirez, Gabriel; Thirukumaran, Caroline P.; Ricciardi, Benjamin; Myers, Thomas G.] Univ Rochester, Dept Orthopaed &amp; Phys Performance, Med Ctr, 601 Elmwood Ave, Rochester, NY 14642 USA</t>
  </si>
  <si>
    <t>University of Rochester</t>
  </si>
  <si>
    <t>Comparable performance of machine learning algorithms in predicting readmission and complications following total joint arthroplasty with external validation</t>
  </si>
  <si>
    <t>ARTHROPLASTY</t>
  </si>
  <si>
    <t>Machine learning; External validation; Total joint arthroplasty; Database; Complications</t>
  </si>
  <si>
    <t>INDIVIDUAL PROGNOSIS; DIAGNOSIS TRIPOD; MODEL; RISK; HIP</t>
  </si>
  <si>
    <t>Ricciardi, Benjamin/AAH-6326-2019; Myers, Thomas/AAT-2875-2020; Botros Abdelmaseh Tawfik, Mina/NAX-7203-2025; Thirukumaran, Caroline/LBY-0397-2024</t>
  </si>
  <si>
    <t>Ricciardi, Benjamin/0000-0001-9384-4840; Thirukumaran, Caroline/0000-0003-3316-0951; Alwani, Amaar/0009-0005-5786-8403</t>
  </si>
  <si>
    <t>2524-7948</t>
  </si>
  <si>
    <t>Arthroplasty</t>
  </si>
  <si>
    <t>NOV 8 2023</t>
  </si>
  <si>
    <t>10.1186/s42836-023-00208-0</t>
  </si>
  <si>
    <t>http://dx.doi.org/10.1186/s42836-023-00208-0</t>
  </si>
  <si>
    <t>X5IH4</t>
  </si>
  <si>
    <t>37941068</t>
  </si>
  <si>
    <t>WOS:001098780400001</t>
  </si>
  <si>
    <t>Xu, YW; Malik, N; Chernbumroong, S; Vassallo, J; Keene, D; Foster, M; Lord, J; Belli, A; Hodgetts, T; Bowley, D; Gkoutos, G</t>
  </si>
  <si>
    <t>BackgroundMajor incidents (MIs) are an important cause of death and disability. Triage tools are crucial to identifying priority 1 (P1) patients-those needing time-critical, life-saving interventions. Existing expert opinion-derived tools have limited evidence supporting their use. This study employs machine learning (ML) to develop and validate models for novel primary and secondary triage tools.MethodsAdults (16+ years) from the UK Trauma Audit and Research Network (TARN) registry (January 2008-December 2017) served as surrogates for MI victims, with P1 patients identified using predefined criteria. The TARN database was split chronologically into model training and testing (70:30) datasets. Input variables included physiological parameters, age, mechanism and anatomical location of injury. Random forest, extreme gradient boosted tree, logistic regression and decision tree models were trained to predict P1 status, and compared with existing tools (Battlefield Casualty Drills (BCD) Triage Sieve, CareFlight, Modified Physiological Triage Tool, MPTT-24, MSTART, National Ambulance Resilience Unit Triage Sieve and RAMP). Primary and secondary candidate models were selected; the latter was externally validated on patients from the UK military's Joint Theatre Trauma Registry (JTTR).ResultsModels were internally tested in 57 979 TARN patients. The best existing tool was the BCD Triage Sieve (sensitivity 68.2%, area under the receiver operating curve (AUC) 0.688). Inability to breathe spontaneously, presence of chest injury and mental status were most predictive of P1 status. A decision tree model including these three variables exhibited the best test characteristics (sensitivity 73.0%, AUC 0.782), forming the candidate primary tool. The proposed secondary tool (sensitivity 77.9%, AUC 0.817), applicable via a portable device, includes a fourth variable (injury mechanism). This performed favourably on external validation (sensitivity of 97.6%, AUC 0.778) in 5956 JTTR patients.ConclusionNovel triage tools developed using ML outperform existing tools in a nationally representative trauma population. The proposed primary tool requires external validation prior to consideration for practical use. The secondary tool demonstrates good external validity and may be used to support decision-making by healthcare workers responding to MIs.</t>
  </si>
  <si>
    <t>Xu, Yuanwei; Malik, Nabeela; Chernbumroong, Saisakul; Vassallo, James; Keene, Damian; Foster, Mark; Lord, Janet; Belli, Antonio; Hodgetts, Timothy; Bowley, Douglas; Gkoutos, George</t>
  </si>
  <si>
    <t>Malik, N (corresponding author), NIHR Surg Reconstruct Microbiol Res Ctr, Birmingham B15 2TH, England.</t>
  </si>
  <si>
    <t>nabeelamalik@nhs.ne</t>
  </si>
  <si>
    <t>National Institute for Health Research (NIHR) Surgical Reconstruction and Microbiology Research Centre; NIHR Birmingham ECMC, Nanocommons H2020- EU [731032]; MAESTRIA [965286]; MRC Health Data Research UK [HDRUK/CFC/01]; UK Research and Innovation, Department of Health and Social Care (England)</t>
  </si>
  <si>
    <t>National Institute for Health Research (NIHR) Surgical Reconstruction and Microbiology Research Centre; NIHR Birmingham ECMC, Nanocommons H2020- EU; MAESTRIA; MRC Health Data Research UK (UK Research &amp; Innovation (UKRI), Medical Research Council UK (MRC)); UK Research and Innovation, Department of Health and Social Care (England) (UK Research &amp; Innovation (UKRI), National Institutes of Health Research (NIHR))</t>
  </si>
  <si>
    <t>This study is funded by the National Institute for Health Research (NIHR) Surgical Reconstruction and Microbiology Research Centre. GG acknowledges support from the NIHR Birmingham ECMC, Nanocommons H2020- EU (731032), MAESTRIA (grant agreement ID 965286) and the MRC Health Data Research UK (HDRUK/CFC/01), an initiative funded by UK Research and Innovation, Department of Health and Social Care (England) and the devolved administrations, and leading medical research charities</t>
  </si>
  <si>
    <t>[Xu, Yuanwei; Chernbumroong, Saisakul; Gkoutos, George] Univ Birmingham, Inst Canc &amp; Genom Sci, Ctr Computat Biol, Birmingham, England; [Xu, Yuanwei; Gkoutos, George] Univ Birmingham, Hlth Data Sci Ctr, Birmingham B15 2TT, England; [Malik, Nabeela; Chernbumroong, Saisakul; Foster, Mark; Lord, Janet; Belli, Antonio; Gkoutos, George] NIHR Surg Reconstruct Microbiol Res Ctr, Edgbaston, England; [Malik, Nabeela; Keene, Damian; Foster, Mark; Belli, Antonio; Bowley, Douglas] Univ Hosp Birmingham NHS Fdn Trust, Birmingham, England; [Malik, Nabeela; Lord, Janet] Univ Birmingham, Inst Inflammat &amp; Ageing, Birmingham, England; [Malik, Nabeela; Keene, Damian; Foster, Mark; Bowley, Douglas] Royal Ctr Def Med, Acad Dept Mil Surg &amp; Trauma, Mindelsohn Way, Birmingham B152WB, England; [Vassallo, James] Derriford Hosp, Emergency Dept, Plymouth, England; [Vassallo, James] Royal Ctr Def Med, Acad Dept Mil Emergency Med, Mindelsohn Way, Birmingham B15 2WB, England; [Hodgetts, Timothy] UK Strateg Command, Northwood Headquarters, Northwood, England; [Gkoutos, George] Univ Hosp Birmingham NHS Fdn Trust, Inst Translat Med, Birmingham, England; [Gkoutos, George] MRC Hlth Data Res UK HDR UK, Birmingham, England; [Malik, Nabeela] NIHR Surg Reconstruct Microbiol Res Ctr, Birmingham B15 2TH, England</t>
  </si>
  <si>
    <t>University of Birmingham; University of Birmingham; University of Birmingham; University of Birmingham; Derriford Hospital; Royal Centre for Defence Medicine; University of Birmingham</t>
  </si>
  <si>
    <t>Triage in major incidents: development and external validation of novel machine learning-derived primary and secondary triage tools</t>
  </si>
  <si>
    <t>EMERGENCY MEDICINE JOURNAL</t>
  </si>
  <si>
    <t>major incident; disaster planning; major trauma management; triage; pre-hospital care</t>
  </si>
  <si>
    <t>MASS-CASUALTY TRIAGE; TRAUMA PATIENTS; MORTALITY; LESSONS</t>
  </si>
  <si>
    <t>Belli, Antonio/I-3799-2015; Xu, Yuanwei/AAC-3232-2021; Gkoutos, Georgios/AAS-9936-2020</t>
  </si>
  <si>
    <t>Belli, Antonio/0000-0002-3211-9933; Xu, Yuanwei/0000-0002-2337-3999; Lord, Janet/0000-0003-1030-6786; Gkoutos, Georgios/0000-0002-2061-091X; Malik, Nabeela/0000-0003-0791-4158</t>
  </si>
  <si>
    <t>1472-0205</t>
  </si>
  <si>
    <t>1472-0213</t>
  </si>
  <si>
    <t>EMERG MED J</t>
  </si>
  <si>
    <t>Emerg. Med. J.</t>
  </si>
  <si>
    <t>183</t>
  </si>
  <si>
    <t>10.1136/emermed-2022-212440</t>
  </si>
  <si>
    <t>http://dx.doi.org/10.1136/emermed-2022-212440</t>
  </si>
  <si>
    <t>Emergency Medicine</t>
  </si>
  <si>
    <t>KY9U0</t>
  </si>
  <si>
    <t>37751994</t>
  </si>
  <si>
    <t>WOS:001074665100001</t>
  </si>
  <si>
    <t>Baek, S; Park, JB; Heo, J; Kim, K; Baek, D; Oh, C; Lee, HC; Lee, D; Hong, B</t>
  </si>
  <si>
    <t>Background Pediatric patients under general anesthesia are particularly vulnerable to hypoxemia, which can lead to rapid oxygen desaturation. This vulnerability necessitates heightened vigilance from anesthesiologists, making pediatric anesthesia management especially challenging. Continuous intraoperative monitoring of oxygenation is critical. However, traditional methods relying solely on SpO2 readings may be insufficient and prone to inaccuracies.Methods This study aimed to develop and externally validate various machine learning models to predict hypoxemia in pediatric patients under general anesthesia. This retrospective observational study included 800 pediatric cases from Seoul National University Hospital and 134 pediatric cases from Chungnam National University Hospital. Patient data, including vital signs and ventilator parameters sampled every 2 seconds, were analyzed. Four machine learning models (XGBoost, LSTM, InceptionTime, and Transformer) were evaluated using area under the receiver operating characteristic curve (AUROC), area under the precision-recall curve (AUPRC), and F1-score.Results XGBoost achieved the highest performance in internal validation (AUROC, 0.85), whereas the Transformer model demonstrated the best performance in external validation (AUROC, 0.83). Reducing the observation window from 1 minute to 10 seconds lowered the AUPRC but preserved high AUROC.Conclusions The XGBoost and Transformer models demonstrated robust performance in predicting intraoperative hypoxemia in pediatric patients under general anesthesia across two hospitals. Adjustments for age-related variations did not enhance model performance. Future research should focus on developing machine learning models that can accurately distinguish true hypoxemia, leading to clinically significant improvements in patient outcomes.</t>
  </si>
  <si>
    <t>Baek, Sujin; Park, Jung-Bin; Heo, Jihye; Kim, Kyungsang; Baek, Donghyeon; Oh, Chahyun; Lee, Hyung-Chul; Lee, Dongheon; Hong, Boohwi</t>
  </si>
  <si>
    <t>Hong, B (corresponding author), Chungnam Natl Univ Hosp, Dept Anesthesiol &amp; Pain Med, Daejeon 35015, South Korea.; Hong, B (corresponding author), Chungnam Natl Univ, Coll Med, Dept Anesthesiol &amp; Pain Med, Daejeon, South Korea.; Lee, D (corresponding author), Seoul Natl Univ, Seoul Natl Univ Hosp, Coll Med, Dept Radiol, Seoul, South Korea.; Lee, D (corresponding author), Seoul Natl Univ, Med Res Ctr, Inst Med &amp; Biol Engn, Seoul, South Korea.; Hong, B (corresponding author), Chungnam Natl Univ Hosp, Big Data Ctr, Dept Med Informat, Daejeon, South Korea.</t>
  </si>
  <si>
    <t>koho0127@gmail.com; dhlee.jubilee@gmail.com</t>
  </si>
  <si>
    <t>The SNUH Lee Kun-hee Child Cancer &amp; Rare Disease Project, Republic of Korea [24C-003-0100]; Chungnam National University</t>
  </si>
  <si>
    <t>The SNUH Lee Kun-hee Child Cancer &amp; Rare Disease Project, Republic of Korea; Chungnam National University (Chungnam National University)</t>
  </si>
  <si>
    <t>"This research was supported and funded by the SNUH Lee Kun-hee Child Cancer &amp; Rare Disease Project, Republic of Korea (grant number: 24C-003-0100) and supported by research fund from Chungnam National University."</t>
  </si>
  <si>
    <t>[Baek, Sujin; Oh, Chahyun; Hong, Boohwi] Chungnam Natl Univ Hosp, Dept Anesthesiol &amp; Pain Med, Daejeon 35015, South Korea; [Baek, Sujin; Oh, Chahyun; Hong, Boohwi] Chungnam Natl Univ, Coll Med, Dept Anesthesiol &amp; Pain Med, Daejeon, South Korea; [Park, Jung-Bin; Lee, Hyung-Chul] Seoul Natl Univ Hosp, Dept Anesthesiol &amp; Pain Med, Seoul, South Korea; [Heo, Jihye; Lee, Dongheon] Seoul Natl Univ, Seoul Natl Univ Hosp, Coll Med, Dept Radiol, Seoul, South Korea; [Kim, Kyungsang] Massachusetts Gen Hosp, Dept Radiol, Boston, MA USA; [Kim, Kyungsang] Harvard Med Sch, Boston, MA USA; [Baek, Donghyeon] Chungnam Natl Univ, Coll Med, Daejeon, South Korea; [Lee, Dongheon] Seoul Natl Univ, Med Res Ctr, Inst Med &amp; Biol Engn, Seoul, South Korea; [Hong, Boohwi] Chungnam Natl Univ Hosp, Big Data Ctr, Dept Med Informat, Daejeon, South Korea</t>
  </si>
  <si>
    <t>Chungnam National University; Chungnam National University Hospital; Chungnam National University; Seoul National University (SNU); Seoul National University Hospital; Seoul National University (SNU); Seoul National University Hospital; Harvard University; Harvard University Medical Affiliates; Massachusetts General Hospital; Harvard University; Harvard Medical School; Chungnam National University; Seoul National University (SNU); Chungnam National University; Chungnam National University Hospital</t>
  </si>
  <si>
    <t>Hypoxemia prediction in pediatric patients under general anesthesia using machine learning: A retrospective observational study and external validation</t>
  </si>
  <si>
    <t>CHILDREN</t>
  </si>
  <si>
    <t>Hong, Boohwi/AAE-4774-2022; lee, dongheon/AAV-4862-2021</t>
  </si>
  <si>
    <t>Park, Jung-Bin/0000-0002-8816-5605</t>
  </si>
  <si>
    <t>JAN 8 2026</t>
  </si>
  <si>
    <t>e0339276</t>
  </si>
  <si>
    <t>10.1371/journal.pone.0339276</t>
  </si>
  <si>
    <t>http://dx.doi.org/10.1371/journal.pone.0339276</t>
  </si>
  <si>
    <t>DC9PC</t>
  </si>
  <si>
    <t>41505469</t>
  </si>
  <si>
    <t>WOS:001680464900039</t>
  </si>
  <si>
    <t>Lecot-Connan, T; Bachelot, G; Donadille, B; Sayed, C; Young, J; Fiet, J; Bellanné-Chantelot, C; Grouthier, V; Christin-Maitre, S; Bachelot, A; Lamazière, A</t>
  </si>
  <si>
    <t>Introduction Nonclassical 21-hydroxylase deficiency (NC21OHD) is a rare autosomal recessive disorder that is frequently misdiagnosed as polycystic ovary syndrome (PCOS) because of their overlapping clinical and biochemical presentations. The conventional diagnostic method, the cosyntropin stimulation test, is invasive, time consuming, and difficult to implement in routine clinical practice. To overcome these limitations, we previously developed a proof-of-concept machine learning model integrating basal serum steroid profiling by liquid chromatography with tandem mass spectrometry (LC-MS/MS) to identify NC21OHD without the need for dynamic stimulation testing. The present study aimed to validate and refine this model in a larger, multicentric cohort to evaluate its diagnostic performance in distinguishing NC21OHD from PCOS based on baseline steroid signatures.Methods This tricentric study included 447 women: 263 with PCOS and 59 with NC21OHD in the training set (Piti &amp; eacute;-Salp &amp; ecirc;tri &amp; egrave;re Hospital, Paris), and 104 PCOS and 21 NC21OHD in 2 independent validation cohorts (Saint-Antoine Hospital, Paris; Bordeaux University Hospital). Twenty serum steroids were quantified by LC-MS/MS and analyzed using orthogonal partial least squares discriminant analysis. Model robustness was assessed by internal cross-validation and external validation.Results 20-steroid model achieved complete separation between NC21OHD and PCOS in both external validation cohorts (accuracy = 100%). The most discriminant metabolites were 21-deoxycortisone, 21-deoxycortisol, and 17-hydroxyprogesterone. Simplified 3- and 6-steroid models demonstrated reduced sensitivity (similar to 90%) and specificity (similar to 97%).Conclusion Machine learning combined with basal LC-MS/MS steroid profiling enables accurate identification of NC21OHD without dynamic stimulation. This approach could simplify diagnosis, improve patient comfort, and support large-scale screening of hyperandrogenic women.</t>
  </si>
  <si>
    <t>Lecot-Connan, Tatiana; Bachelot, Guillaume; Donadille, Bruno; Sayed, Camille; Young, Jacques; Fiet, Jean; Bellanne-Chantelot, Christine; Grouthier, Virginie; Christin-Maitre, Sophie; Bachelot, Anne; Lamaziere, Antonin</t>
  </si>
  <si>
    <t>Lamazière, A (corresponding author), Sorbonne Univ, Hop St Antoine, AP HP, Dept Metabol Clin, 27 Rue Chaligny, F-75012 Paris, France.</t>
  </si>
  <si>
    <t>antonin.lamaziere@aphp.fr</t>
  </si>
  <si>
    <t>International Fund for Congenital Adrenal Hyperplasia; French Anti-Doping Agency</t>
  </si>
  <si>
    <t>The authors gratefully acknowledge the support of the International Fund for Congenital Adrenal Hyperplasia (IFCAH), which awarded this project a research grant. We also thank the French Anti-Doping Agency (AFLD) and Association Surrenales for their financial supports.</t>
  </si>
  <si>
    <t>[Lecot-Connan, Tatiana; Bachelot, Guillaume; Fiet, Jean; Lamaziere, Antonin] Sorbonne Univ, Hop St Antoine, AP HP, Dept Metabol Clin, 27 Rue Chaligny, F-75012 Paris, France; [Lecot-Connan, Tatiana; Bachelot, Anne] Sorbonne Univ, Ctr Reference Malad Endocriniennes Rares Croissanc, Ctr Reference Pathol Gynecol Rares PGR,INSERM, Hop Pitie Salpetriere,AP HP,Endo ERN, F-75013 Paris, France; [Lecot-Connan, Tatiana; Lamaziere, Antonin] Sorbonne Univ, St Antoine Res Ctr, INSERM, UMR 938, F-75012 Paris, France; [Donadille, Bruno; Christin-Maitre, Sophie] Sorbonne Univ, Serv Endocrinol Diabetol &amp; Med Reprod, Hop St Antoine, AP HP, F-75012 Paris, France; [Donadille, Bruno; Christin-Maitre, Sophie] Ctr Reference Malad Endocriniennes Rares Croissanc, Filiere FIRENDO, Reseau Endo ERN, F-75012 Paris, France; [Sayed, Camille] Hop Henri Mondor, AP HP, Serv Endocrinol Diabetol, F-94000 Creteil, France; [Young, Jacques] Hop Bicetre, AP HP, Serv Endocrinol &amp; Malad Reprod, F-94275 Le Kremlin Bicetre, France; [Young, Jacques] Paris Saclay Univ, F-94275 Le Kremlin Bicetre, France; [Bellanne-Chantelot, Christine] Sorbonne Univ, Hop Pitie Salpetriere, AP HP, Dept Genet Med, F-75013 Paris, France; [Bellanne-Chantelot, Christine] INSERM, UMR933, F-75013 Paris, France; [Grouthier, Virginie] CHU Bordeaux, Hop Haut Leveque, Serv Endocrinol Diabetol &amp; Nutr, F-33000 Bordeaux, France</t>
  </si>
  <si>
    <t>Sorbonne Universite; Hopital Universitaire Saint-Antoine - APHP; Assistance Publique Hopitaux Paris (APHP); Hopital Universitaire Saint-Antoine - APHP; Sorbonne Universite; Institut National de la Sante et de la Recherche Medicale (Inserm); Assistance Publique Hopitaux Paris (APHP); Hopital Universitaire Pitie-Salpetriere - APHP; Institut National de la Sante et de la Recherche Medicale (Inserm); Sorbonne Universite; Sorbonne Universite; Hopital Universitaire Saint-Antoine - APHP; Assistance Publique Hopitaux Paris (APHP); Hopital Universitaire Saint-Antoine - APHP; Assistance Publique Hopitaux Paris (APHP); Hopital Universitaire Henri-Mondor - APHP; Universite Paris-Est-Creteil-Val-de-Marne (UPEC); Hopital Universitaire Henri-Mondor - APHP; Universite Paris Saclay; Assistance Publique Hopitaux Paris (APHP); Hopital Universitaire Antoine-Beclere - APHP; Hopital Universitaire Bicetre - APHP; Universite Paris Saclay; Assistance Publique Hopitaux Paris (APHP); Hopital Universitaire Pitie-Salpetriere - APHP; Sorbonne Universite; CHU Bordeaux; Universite de Bordeaux</t>
  </si>
  <si>
    <t>Using machine learning to discriminate non-classical 21-hydroxylase deficiency from polycystic ovary syndrome: an external validation study</t>
  </si>
  <si>
    <t>EUROPEAN JOURNAL OF ENDOCRINOLOGY</t>
  </si>
  <si>
    <t>machine learning; nonclassical 21-hydroxylase deficiency; polycystic ovary syndrome; LC-MS/MS</t>
  </si>
  <si>
    <t>CONGENITAL ADRENAL-HYPERPLASIA; MUTATIONS; STEROIDS</t>
  </si>
  <si>
    <t>Bachelot, Anne/GQZ-0551-2022; Lamaziere, Antonin/AFM-0000-2022; Bachelot, Guillaume/GOV-5804-2022</t>
  </si>
  <si>
    <t>0804-4643</t>
  </si>
  <si>
    <t>1479-683X</t>
  </si>
  <si>
    <t>EUR J ENDOCRINOL</t>
  </si>
  <si>
    <t>Eur. J. Endocrinol.</t>
  </si>
  <si>
    <t>95</t>
  </si>
  <si>
    <t>10.1093/ejendo/lvag114</t>
  </si>
  <si>
    <t>http://dx.doi.org/10.1093/ejendo/lvag114</t>
  </si>
  <si>
    <t>KT3GJ</t>
  </si>
  <si>
    <t>42411601</t>
  </si>
  <si>
    <t>WOS:001815103900001</t>
  </si>
  <si>
    <t>Persily, J; Chang, SL; Chen, C; Neshatvar, Y; Desiraju, S; Ranganath, R; Murray, K; Feldman, A; Dahl, D; Taneja, SS; Huang, WC; Nayan, M</t>
  </si>
  <si>
    <t>PURPOSEPartial nephrectomy has been advocated as the preferred surgical approach for small kidney tumors over total nephrectomy. However, partial nephrectomy is associated with increased perioperative risk. Estimating renal function after nephrectomy can facilitate personalized patient counseling, guide surgical approach, and identify patients who could benefit from perioperative interventions. Existing prediction models have several limitations including the lack of external validation or a user-friendly tool or application, and most have used traditional statistical methods.METHODSWe used data from two academic medical institutions and machine learning (ML) methods to develop and externally validate renal function after nephrectomy-machine learning (RFAN-ML), a model to estimate long-term renal function after partial or total nephrectomy. Boruta feature selection was used to select four routinely available clinical features, specifically age, BMI, preoperative renal function, and nephrectomy type. In the training set of 1,932 patients, we compared six ML regression models representing a set of both ensemble and nonensemble ML algorithms and optimized for root mean squared error (RMSE). This model was evaluated in a test set of 1,995 patients, and the best performing model was selected as RFAN-ML.RESULTSWe compared RFAN-ML with existing renal function prediction benchmarks and found that RFAN-ML outperformed or had competitive performance with benchmarks on RMSE (16.6 [95% CI, 15.6 to 17.5]), R2, and mean absolute error.CONCLUSIONWe developed and externally validated RFAN-ML, a ML model to predict renal function after nephrectomy, and have deployed our model online. RFAN-ML has the potential to improve the care and outcomes in patients with kidney tumors by informing personalized patient counseling and guiding surgical planning.</t>
  </si>
  <si>
    <t>Persily, Jesse; Chang, Steven L.; Chen, Chen; Neshatvar, Yassamin; Desiraju, Siri; Ranganath, Rajesh; Murray, Katie; Feldman, Adam; Dahl, Douglas; Taneja, Samir S.; Huang, William C.; Nayan, Madhur</t>
  </si>
  <si>
    <t>Nayan, M (corresponding author), NYU Grossman Sch Med, Dept Urol, New York, NY 10016 USA.</t>
  </si>
  <si>
    <t>madhur.nayan@gmail.com</t>
  </si>
  <si>
    <t>[Persily, Jesse; Chen, Chen; Neshatvar, Yassamin; Desiraju, Siri; Murray, Katie; Taneja, Samir S.; Huang, William C.; Nayan, Madhur] NYU Grossman Sch Med, Dept Urol, New York, NY 10016 USA; [Chang, Steven L.] Harvard Med Sch, Brigham &amp; Womens Hosp, Div Urol Surg, Boston, MA USA; [Neshatvar, Yassamin] NYU Grossman Sch Med, Dept Populat Hlth, New York, NY USA; [Ranganath, Rajesh] NYU, Courant Inst Math Sci, New York, NY USA; [Feldman, Adam; Dahl, Douglas] Harvard Med Sch, Massachusetts Gen Hosp, Dept Urol, Boston, MA USA</t>
  </si>
  <si>
    <t>Harvard University; Harvard Medical School; Harvard University Medical Affiliates; Brigham &amp; Women's Hospital; New York University; Harvard University; Harvard Medical School; Harvard University Medical Affiliates; Massachusetts General Hospital</t>
  </si>
  <si>
    <t>Development, External Validation, and Deployment of RFAN-ML: A Machine Learning Model to Estimate Renal Function After Nephrectomy</t>
  </si>
  <si>
    <t>JCO CLINICAL CANCER INFORMATICS</t>
  </si>
  <si>
    <t>CHRONIC KIDNEY-DISEASE; RADICAL NEPHRECTOMY; CANCER; COMPLICATIONS</t>
  </si>
  <si>
    <t>Nayan, Madhur/JMP-3940-2023</t>
  </si>
  <si>
    <t>Persily, Jesse/0000-0002-6358-3333; Murray, Katie/0000-0002-2633-9438</t>
  </si>
  <si>
    <t>2473-4276</t>
  </si>
  <si>
    <t>JCO CLIN CANCER INFO</t>
  </si>
  <si>
    <t>JCO Clin. Cancer Info.</t>
  </si>
  <si>
    <t>e2500086</t>
  </si>
  <si>
    <t>10.1200/CCI-25-00086</t>
  </si>
  <si>
    <t>http://dx.doi.org/10.1200/CCI-25-00086</t>
  </si>
  <si>
    <t>9OB0K</t>
  </si>
  <si>
    <t>41202191</t>
  </si>
  <si>
    <t>WOS:001610944500001</t>
  </si>
  <si>
    <t>Wan, RJ; Zhou, H; Chen, P; Guo, RS; Lu, ZW; Li, YY</t>
  </si>
  <si>
    <t>Background: Depression is prevalent among asthma patients, negatively impacting their quality of life, treatment adherence, and prognosis. This study aimed to develop and validate a predictive model estimating the risk of depressive episodes in asthma patients. Methods: In this study, data from NHANES were used to collect clinically accessible variables. We applied a combined selection strategy to identify core variables associated with the risk of depression in asthma patients. Multiple machine learning methods were subsequently employed to develop predictive models, and the optimal model was selected and visualized through the integration of various model parameters. Finally, external validation was performed. Results: A total of 3517 asthma patients were included in this study for analysis, and the cohort was divided into a training set and a validation set based on the survey period. 1951 patients and 1566 patients formed the training cohort for model development and the validation cohort for model performance evaluation, respectively. Based on the ranking of the importance of feature variables, last year's asthma acute attack, smoking, PIR, total bilirubin, COPD, and serum glucose were ultimately selected as the final variables for model construction. Multiple models were comprehensively evaluated, and the Logistic model with the best predictive performance was selected. This model still demonstrated excellent predictive performance and clinical utility in the validation set. Conclusion: We developed a risk prediction model for the occurrence of depressive symptoms in asthma patients and visualized it in the form of a nomogram for clinical application.</t>
  </si>
  <si>
    <t>Wan, Rongjun; Zhou, Hao; Chen, Peng; Guo, Rongsheng; Lu, Zhiwei; Li, Yuanyuan</t>
  </si>
  <si>
    <t>Lu, ZW (corresponding author), Wannan Med Coll, Affiliated Hosp 1, Dept Pulm &amp; Crit Care Med, Yijishan Hosp, Wuhu, Peoples R China.; Li, YY (corresponding author), Cent South Univ, Xiangya Hosp, Dept Resp &amp; Crit Care Med, Changsha 410008, Hunan, Peoples R China.; Li, YY (corresponding author), Cent South Univ, Xiangya Hosp, Natl Clin Res Ctr Geriatr Disorders, Changsha 410008, Peoples R China.</t>
  </si>
  <si>
    <t>leeround@csu.edu.cn; sduzhiwei@sina.com</t>
  </si>
  <si>
    <t>(Distinguished Young Scholars) [2025JJ20081]; Support Plan for Highlevel Talents of Health Commission of Hunan Province [2100499]; Annual Special Scientific Research Start-up Fund Project for Recruited Talents at Wannan Medical College Yijishan Hospital [YR202448]</t>
  </si>
  <si>
    <t>(Distinguished Young Scholars) (National Natural Science Foundation of China (NSFC), National Science Fund for Distinguished Young Scholars); Support Plan for Highlevel Talents of Health Commission of Hunan Province; Annual Special Scientific Research Start-up Fund Project for Recruited Talents at Wannan Medical College Yijishan Hospital</t>
  </si>
  <si>
    <t>Distinguished Young Scholars) (2025JJ20081) , Support Plan for Highlevel Talents of Health Commission of Hunan Province (2100499) , Annual Special Scientific Research Start-up Fund Project for Recruited Talents at Wannan Medical College Yijishan Hospital (YR202448) .</t>
  </si>
  <si>
    <t>[Wan, Rongjun; Lu, Zhiwei] Wannan Med Coll, Affiliated Hosp 1, Dept Pulm &amp; Crit Care Med, Yijishan Hosp, Wuhu, Peoples R China; [Zhou, Hao; Chen, Peng; Li, Yuanyuan] Cent South Univ, Xiangya Hosp, Dept Resp &amp; Crit Care Med, Changsha 410008, Hunan, Peoples R China; [Zhou, Hao; Chen, Peng; Li, Yuanyuan] Cent South Univ, Xiangya Hosp, Natl Clin Res Ctr Geriatr Disorders, Changsha 410008, Peoples R China; [Guo, Rongsheng] Sun Yat Sen Univ, Guangxi Hosp Div, Affiliated Hosp 1, Nanning, Peoples R China</t>
  </si>
  <si>
    <t>Wannan Medical College; Central South University; Central South University; Sun Yat Sen University</t>
  </si>
  <si>
    <t>Screening for depression risk in asthma patients: Development and external validation of a machine learning-based predictive model</t>
  </si>
  <si>
    <t>JOURNAL OF AFFECTIVE DISORDERS</t>
  </si>
  <si>
    <t>Asthma; Depression risk; Precision model; Machine learning</t>
  </si>
  <si>
    <t>MENTAL-HEALTH; ANXIETY; ADOLESCENTS; PREVALENCE; BILIRUBIN</t>
  </si>
  <si>
    <t>lu, zhiwei/LXU-7727-2024; chen, peng/GRS-4909-2022; Wan, Rongjun/AHD-3300-2022</t>
  </si>
  <si>
    <t>0165-0327</t>
  </si>
  <si>
    <t>1573-2517</t>
  </si>
  <si>
    <t>J AFFECT DISORDERS</t>
  </si>
  <si>
    <t>J. Affect. Disord.</t>
  </si>
  <si>
    <t>FEB 1 2026</t>
  </si>
  <si>
    <t>394</t>
  </si>
  <si>
    <t>B</t>
  </si>
  <si>
    <t>120520</t>
  </si>
  <si>
    <t>10.1016/j.jad.2025.120520</t>
  </si>
  <si>
    <t>http://dx.doi.org/10.1016/j.jad.2025.120520</t>
  </si>
  <si>
    <t>Clinical Neurology; Psychiatry</t>
  </si>
  <si>
    <t>Neurosciences &amp; Neurology; Psychiatry</t>
  </si>
  <si>
    <t>L0704</t>
  </si>
  <si>
    <t>41151724</t>
  </si>
  <si>
    <t>WOS:001629192300001</t>
  </si>
  <si>
    <t>Furtado, FS; Badenes-Romero, A; Hesami, M; Mostafavi, L; Najmi, Z; Queiroz, M; Mojtahed, A; Anderson, MA; Catalano, OA</t>
  </si>
  <si>
    <t>Purpose To externally validate an algorithm for non-invasive differentiation of hepatic mucinous cystic neoplasms (MCN) from benign hepatic cysts (BHC), which differ in management. Methods Patients with cystic liver lesions pathologically confirmed as MCN or BHC between January 2005 and March 2022 from multiple institutions were retrospectively included. Five readers (2 radiologists, 3 non-radiologist physicians) independently reviewed contrast-enhanced CT or MRI examinations before tissue sampling and applied the 3-feature classification algorithm described by Hardie et al. to differentiate between MCN and BHC, which had a reported accuracy of 93.5%. The classification was then compared to the pathology results. Interreader agreement between readers across different levels of experience was evaluated with Fleiss' Kappa.Results The final cohort included 159 patients, median age of 62 years (IQR [52.0, 70.0]), 66.7% female (106). Of all patients, 89.3% (142) had BHC, and the remaining 10.7% (17) had MCN on pathology. Agreement for class designation between the radiologists was almost perfect (Fleiss' Kappa 0.840, p &lt; 0.001). The algorithm had an accuracy of 98.1% (95% CI [94.6%, 99.6%]), a positive predictive value of 100.0% (95% CI [76.8%, 100.0%]), a negative predictive value of 97.9% (95% CI [94.1%, 99.6%]), and an area under the receiver operator characteristic curve (AUC) of 0.911 (95% CI [0.818, 1.000]).Conclusion The evaluated algorithm showed similarly high diagnostic accuracy in our external, multi-institutional validation cohort. This 3-feature algorithm is easily and rapidly applied and its features are reproducible among radiologists, showing promise as a clinical decision support tool.[GRAPHICS].</t>
  </si>
  <si>
    <t>Furtado, Felipe S. S.; Badenes-Romero, Alvaro; Hesami, Mina; Mostafavi, Leila; Najmi, Zahra; Queiroz, Marcelo; Mojtahed, Amirkasra; Anderson, Mark A. A.; Catalano, Onofrio A. A.</t>
  </si>
  <si>
    <t>Catalano, OA (corresponding author), Harvard Med Sch, Massachusetts Gen Hosp, Dept Radiol, Boston, MA 02114 USA.; Catalano, OA (corresponding author), Athinoula A Martinos Ctr Biomed Imaging, Charlestown, MA 02129 USA.</t>
  </si>
  <si>
    <t>onofriocatalano@yahoo.it</t>
  </si>
  <si>
    <t>[Furtado, Felipe S. S.; Badenes-Romero, Alvaro; Hesami, Mina; Mostafavi, Leila; Najmi, Zahra; Mojtahed, Amirkasra; Anderson, Mark A. A.; Catalano, Onofrio A. A.] Harvard Med Sch, Massachusetts Gen Hosp, Dept Radiol, Boston, MA 02114 USA; [Furtado, Felipe S. S.; Badenes-Romero, Alvaro; Hesami, Mina; Najmi, Zahra; Mojtahed, Amirkasra; Catalano, Onofrio A. A.] Athinoula A Martinos Ctr Biomed Imaging, Charlestown, MA 02129 USA; [Badenes-Romero, Alvaro] Hosp Univ Tarragona Juan XXIII, Dept Nucl Med, Tarragona, Spain; [Queiroz, Marcelo] Hosp Clin HCFMUSP, Sao Paulo, SP, Brazil</t>
  </si>
  <si>
    <t>Harvard University; Harvard Medical School; Harvard University Medical Affiliates; Massachusetts General Hospital; Universitat Rovira i Virgili; Hospital Universitari De Tarragona Joan XXIII; Universidade de Sao Paulo</t>
  </si>
  <si>
    <t>External validation of a machine learning based algorithm to differentiate hepatic mucinous cystic neoplasms from benign hepatic cysts</t>
  </si>
  <si>
    <t>Neoplasms, cystic, mucinous, and serous; Magnetic resonance imaging; Cystadenocarcinoma; Cystadenoma; Algorithms; Liver</t>
  </si>
  <si>
    <t>BILIARY CYSTADENOMA; LIVER; DIAGNOSIS; TUMORS; CT; COMPLICATIONS; MANAGEMENT; FEATURES; LESIONS; BIOPSY</t>
  </si>
  <si>
    <t>Sahb Furtado, Felipe/GLQ-6109-2022; Mostafavi, Leila/AAA-3236-2022</t>
  </si>
  <si>
    <t>Sahb Furtado, Felipe/0000-0002-8454-2418; Badenes Romero, Álvaro/0000-0003-1390-0502; Queiroz, Marcelo/0000-0003-0052-0682; Mostafavi, Leila/0000-0002-8383-3678; CATALANO, Onofrio Antonio/0000-0001-7733-4138</t>
  </si>
  <si>
    <t>2311</t>
  </si>
  <si>
    <t>2320</t>
  </si>
  <si>
    <t>10.1007/s00261-023-03907-z</t>
  </si>
  <si>
    <t>http://dx.doi.org/10.1007/s00261-023-03907-z</t>
  </si>
  <si>
    <t>APR 2023</t>
  </si>
  <si>
    <t>H5FN1</t>
  </si>
  <si>
    <t>37055585</t>
  </si>
  <si>
    <t>WOS:000970872400001</t>
  </si>
  <si>
    <t>Lu, YP; Chen, HJ; Li, MH; Liang, HZ; Lv, HL</t>
  </si>
  <si>
    <t>Background: Pneumonia is a common critical illness in the intensive care unit (ICU), and a subset of patients rapidly progresses to respiratory failure requiring invasive mechanical ventilation (IMV). Current decisions often rely on fragmented clinical indicators, highlighting the need for integrated, data-driven tools for early risk assessment. Methods: We conducted a retrospective cohort study using the Medical Information Mart for Intensive Care IV (MIMIC-IV) database as the development cohort. The cohort was randomly split into training (80%) and test (20%) sets. Candidate predictors at ICU admission were selected through multi-step feature selection. Eight machine learning models were trained with 5-fold cross-validation and hyperparameter tuning. Model performance was evaluated in terms of discrimination, calibration, and clinical utility. The best-performing model was externally validated in an independent cohort from Maoming People's Hospital. A web-based calculator was further developed to facilitate potential clinical application and individualized risk assessment. Results: The development cohort included 5,608 patients, of whom 856 (15.3%) required IMV within 24 h. The final model retained seven predictors: age, oxygen flow, FiO2, pH, PaO2, PaCO2, and platelet count. LightGBM showed the best performance in the internal test set (AUC = 0.799) and achieved an AUC of 0.702 in the external validation cohort (n = 155). Calibration showed acceptable agreement, and decision curve analysis demonstrated net clinical benefit. Risk stratification further enabled identification of clinically distinct patient groups with progressively increasing IMV incidence. SHAP analysis further enhanced model interpretability by identifying key predictors associated with IMV risk. Conclusions: This study developed and externally validated a machine learning model and online calculator for predicting early IMV in ICU pneumonia patients. The model provides an interpretable, data-driven approach for early risk stratification and may serve as an adjunctive tool to assist clinical decision-making. Multicenter prospective studies are warranted to confirm clinical utility.</t>
  </si>
  <si>
    <t>Lu, Yanping; Chen, Haojie; Li, Minghan; Liang, Huazhen; Lv, Hualiang</t>
  </si>
  <si>
    <t>Lv, HL (corresponding author), Maoming Peoples Hosp, Dept Resp &amp; Crit Care Med, Maoming 525000, Guangdong, Peoples R China.</t>
  </si>
  <si>
    <t>liang169168@163.com</t>
  </si>
  <si>
    <t>Maoming Science and Technology Special Fund Project [2024kjcxLX049]</t>
  </si>
  <si>
    <t>Maoming Science and Technology Special Fund Project</t>
  </si>
  <si>
    <t>This work was supported by the Maoming Science and Technology Special Fund Project (Grant No. 2024kjcxLX049) .</t>
  </si>
  <si>
    <t>[Lu, Yanping; Lv, Hualiang] Southern Med Univ, Sch Clin Med 1, Guangzhou 510515, Guangdong, Peoples R China; [Lu, Yanping; Lv, Hualiang] Maoming Peoples Hosp, Dept Resp &amp; Crit Care Med, Maoming 525000, Guangdong, Peoples R China; [Chen, Haojie; Li, Minghan; Lv, Hualiang] Guangdong Med Univ, Clin Coll Med 1, Zhanjiang 524023, Guangdong, Peoples R China; [Liang, Huazhen] Maoming Peoples Hosp, Dept Oncol, Maoming 525000, Guangdong, Peoples R China</t>
  </si>
  <si>
    <t>Southern Medical University - China; Guangdong Medical University</t>
  </si>
  <si>
    <t>Machine learning-based prediction of early invasive mechanical ventilation in ICU patients with pneumonia: Development and external validation</t>
  </si>
  <si>
    <t>Pneumonia; Intensive care unit; Invasive mechanical ventilation; Machine learning; Prediction model</t>
  </si>
  <si>
    <t>INTENSIVE-CARE; SEVERITY; MORTALITY; EPIDEMIOLOGY; DECISIONS</t>
  </si>
  <si>
    <t>SEP 15 2026</t>
  </si>
  <si>
    <t>218</t>
  </si>
  <si>
    <t>106541</t>
  </si>
  <si>
    <t>10.1016/j.ijmedinf.2026.106541</t>
  </si>
  <si>
    <t>http://dx.doi.org/10.1016/j.ijmedinf.2026.106541</t>
  </si>
  <si>
    <t>JV4ML</t>
  </si>
  <si>
    <t>42275910</t>
  </si>
  <si>
    <t>WOS:001798910100001</t>
  </si>
  <si>
    <t>Gómez-Luque, MA; De Pablos-Rodríguez, P; Pérez-Fentes, DA; Picola-Brau, N; Abella-Serra, A; Martínez-Corral, ME; Rodríguez-Marcos, P; López-Abad, A; Costa-Planells, M; Martínez-Breijo, S; Díaz-Pedrouzo, A; Vera-Ballesteros, FJ; Abuín-García, J; Bardella-Altarriba, C; Suárez-Novo, JF; Cortés, AG; López-González, PA; García-Puche, M; González, JAL; Martínez-Corral, R</t>
  </si>
  <si>
    <t>Background and Objective Metastatic hormone-sensitive prostate cancer (mHSPC) exhibits heterogeneous progression patterns, with early progression to metastatic castration-resistant prostate cancer (mCRPC) within 12 months indicating aggressive tumor biology and poor prognosis. Current risk stratification tools (CHAARTED, LATITUDE) offer limited individualized prediction. Machine learning approaches are increasingly applied to predict prostate cancer progression, but most models show modest performance (AUC 0.68-0.72), limited external validation, or require genomic variables unavailable in routine practice. This study aimed to develop and externally validate a novel RINH algorithm for predicting early mCRPC progression (&lt;= 12 months) using exclusively clinical variables, positioning it as a superior alternative to conventional ML classifiers.Methods This multicenter study enrolled 412 patients with de novo mHSPC from seven Spanish academic centers using mixed retrospective-prospective data collection. Twenty clinical variables were recorded, including demographics, PSA, ISUP grade, metastatic localization, CHAARTED/LATITUDE classifications, and treatment modalities. Following RINH-based outlier exclusion (55 patients), 357 patients (29 with early progression, 8.1%) were used to train six ML algorithms: RINH, Logistic Regression, Linear Discriminant, Support Vector Machine, Random Forest, and Subspace Discriminant. A two-tiered validation strategy integrated stratified fivefold cross-validation across all centers and formal external validation using center 1 (n = 121, 19 events) for training and centers 2-7 (n = 207, 10 events) for independent testing. Performance metrics included AUC, sensitivity, specificity, accuracy, and F1-score.Key Findings and Limitations Artificial intelligence and machine learning (ML) are transforming oncology, promising personalized risk stratification beyond traditional clinical criteria. In metastatic hormone-sensitive prostate cancer (mHSPC), early progression to castration resistance (mCRPC) within 12 months signals aggressive biology and poor prognosis, yet current tools (CHAARTED, LATITUDE) offer limited individualized prediction. Multiple ML models have been proposed with variable success: most achieve modest performance (AUC 0.68-0.72), lack robust external validation, or rely on genomic variables inaccessible in routine practice. We propose a novel approach using the Rivality Index Neighborhood (RINH) algorithm, demonstrating superior predictive capacity in an initial multicenter validation with exclusively clinical variables. This study provides rigorous multicenter external validation, advancing toward implementable precision oncology tools.Conclusions and Clinical Implications The RINH algorithm achieves superior predictive performance for early mCRPC progression using exclusively clinical variables, representing a significant advance toward implementable risk stratification. However, low reliability scores in external validation underscore that excellent performance metrics alone do not guarantee stability. Before clinical deployment, validation in substantially larger cohorts with higher progression events is essential. If validated, this model could enable personalized, risk-adapted therapeutic strategies, refining patient selection for treatment intensification or de-escalation.</t>
  </si>
  <si>
    <t>Gomez-Luque, Miguel Angel; De Pablos-Rodriguez, Pedro; Perez-Fentes, Daniel Adolfo; Picola-Brau, Natalia; Abella-Serra, Arnau; Martinez-Corral, Maria Elena; Rodriguez-Marcos, Paula; Lopez-Abad, Alicia; Costa-Planells, Marc; Martinez-Breijo, Sara; Diaz-Pedrouzo, Ana; Vera-Ballesteros, Francisco Javier; Abuin-Garcia, Joaquin; Bardella-Altarriba, Celia; Suarez-Novo, Jose Francisco; Garcia Cortes, Angel; Lopez-Gonzalez, Pedro Angel; Garcia-Puche, Mireia; Gonzalez, Jose Agustin Lopez; Martinez-Corral, Rocio</t>
  </si>
  <si>
    <t>Gómez-Luque, MA (corresponding author), Hosp Univ Virgen Rocio, Dept Urol, Seville, Spain.; Gómez-Luque, MA (corresponding author), Fdn Hlth Res Management Seville FISEVI, Seville, Spain.</t>
  </si>
  <si>
    <t>ma.gomezluque@gmail.com</t>
  </si>
  <si>
    <t>[Gomez-Luque, Miguel Angel; Rodriguez-Marcos, Paula] Hosp Univ Virgen Rocio, Dept Urol, Seville, Spain; [Gomez-Luque, Miguel Angel] Fdn Hlth Res Management Seville FISEVI, Seville, Spain; [De Pablos-Rodriguez, Pedro; Garcia Cortes, Angel; Gonzalez, Jose Agustin Lopez] Inst Valenciano Oncol IVO, Dept Urol, Valencia, Spain; [Perez-Fentes, Daniel Adolfo; Martinez-Corral, Maria Elena; Martinez-Corral, Rocio] CHU Santiago, Urol Dept, Santiago De Compostela, Spain; [Picola-Brau, Natalia; Bardella-Altarriba, Celia; Suarez-Novo, Jose Francisco] Hosp Bellvitge Princeps Espanya, Dept Urol, Barcelona, Spain; [Abella-Serra, Arnau; Garcia-Puche, Mireia] Hosp Univ Germans Trias i Pujol, Dept Urol, Barcelona, Spain; [Lopez-Abad, Alicia; Vera-Ballesteros, Francisco Javier; Lopez-Gonzalez, Pedro Angel] Hosp Virgen Arrixaca, Dept Urol, Murcia, Spain; [Costa-Planells, Marc; Abuin-Garcia, Joaquin] Hosp Valle De Hebron, Dept Urol, Barcelona, Spain; [Martinez-Breijo, Sara; Diaz-Pedrouzo, Ana] Hosp Univ A Coruna, Dept Urol, La Coruna, Spain</t>
  </si>
  <si>
    <t>Virgen del Rocio University Hospital; Instituto Valenciano De Oncologia; Hospital Germans Trias i Pujol; Hospital Clinico Universitario Virgen de la Arrixaca; Hospital Universitari Vall d'Hebron</t>
  </si>
  <si>
    <t>Clinical Variable-Based Machine Learning for Predicting Early mCRPC Using Exclusively Clinical Variables: Development and Multicenter External Validation</t>
  </si>
  <si>
    <t>PROSTATE</t>
  </si>
  <si>
    <t>castration-resistant prostate cancer; early progression; external validation; machine learning; predictive modelling; risk stratification</t>
  </si>
  <si>
    <t>PROSTATE-CANCER</t>
  </si>
  <si>
    <t>Costa Planells, Marc/0009-0004-6204-302X</t>
  </si>
  <si>
    <t>0270-4137</t>
  </si>
  <si>
    <t>1097-0045</t>
  </si>
  <si>
    <t>Prostate</t>
  </si>
  <si>
    <t>SEP 2026</t>
  </si>
  <si>
    <t>1366</t>
  </si>
  <si>
    <t>10.1002/pros.70217</t>
  </si>
  <si>
    <t>http://dx.doi.org/10.1002/pros.70217</t>
  </si>
  <si>
    <t>Endocrinology &amp; Metabolism; Urology &amp; Nephrology</t>
  </si>
  <si>
    <t>MT0KP</t>
  </si>
  <si>
    <t>42391467</t>
  </si>
  <si>
    <t>WOS:001809538700001</t>
  </si>
  <si>
    <t>Dal Cero, M; Gibert, J; Grande, L; Gimeno, M; Osorio, J; Bencivenga, M; Romario, UF; Rosati, R; Morgagni, P; Gisbertz, S; Polkowski, WP; Santos, LL; Kolodziejczyk, P; Kielan, W; Reddavid, R; van Sandick, JW; Baiocchi, GL; Gockel, I; Davies, A; Wijnhoven, BPL; Reim, D; Costa, P; Allum, WH; Piessen, G; Reynolds, JV; Moenig, SP; Schneider, PM; Garsot, E; Eizaguirre, E; Miro, M; Castro, S; Miranda, C; Monzonis-Hernandez, X; Pera, M</t>
  </si>
  <si>
    <t>Simple Summary A 90-day mortality predictive model for curative gastric cancer resection based on the Spanish EURECCA Esophagogastric Cancer database was externally validated using the GASTRODATA registry. The externally validated model showed a modestly worse performance compared to the original model, nevertheless maintaining its discriminating ability in clinical practice.Abstract Background: Radical gastrectomy remains the main treatment for gastric cancer, despite its high mortality. A clinical predictive model of 90-day mortality (90DM) risk after gastric cancer surgery based on the Spanish EURECCA registry database was developed using a matching learning algorithm. We performed an external validation of this model based on data from an international multicenter cohort of patients. Methods: A cohort of patients from the European GASTRODATA database was selected. Demographic, clinical, and treatment variables in the original and validation cohorts were compared. The performance of the model was evaluated using the area under the curve (AUC) for a random forest model. Results: The validation cohort included 2546 patients from 24 European hospitals. The advanced clinical T- and N-category, neoadjuvant therapy, open procedures, total gastrectomy rates, and mean volume of the centers were significantly higher in the validation cohort. The 90DM rate was also higher in the validation cohort (5.6%) vs. the original cohort (3.7%). The AUC in the validation model was 0.716. Conclusion: The externally validated model for predicting the 90DM risk in gastric cancer patients undergoing gastrectomy with curative intent continues to be as useful as the original model in clinical practice.</t>
  </si>
  <si>
    <t>Dal Cero, Mariagiulia; Gibert, Joan; Grande, Luis; Gimeno, Marta; Osorio, Javier; Bencivenga, Maria; Fumagalli Romario, Uberto; Rosati, Riccardo; Morgagni, Paolo; Gisbertz, Suzanne; Polkowski, Wojciech P.; Lara Santos, Lucio; Kolodziejczyk, Piotr; Kielan, Wojciech; Reddavid, Rossella; van Sandick, Johanna W.; Baiocchi, Gian Luca; Gockel, Ines; Davies, Andrew; Wijnhoven, Bas P. L.; Reim, Daniel; Costa, Paulo; Allum, William H.; Piessen, Guillaume; Reynolds, John V.; Moenig, Stefan P.; Schneider, Paul M.; Garsot, Elisenda; Eizaguirre, Emma; Miro, Monica; Castro, Sandra; Miranda, Coro; Monzonis-Hernandez, Xavier; Pera, Manuel</t>
  </si>
  <si>
    <t>Pera, M (corresponding author), Univ Autonoma Barcelona, Hosp del Mar Res Inst IMIM, Hosp del Mar, Dept Surg,Sect Gastrointestinal Surg, Barcelona 08003, Spain.</t>
  </si>
  <si>
    <t>1325220@uab.cat; paulomatoscosta@gmail.com; pera@psmar.cat</t>
  </si>
  <si>
    <t>The authors would like to acknowledge the contribution of Xavier Monzonis-Hernandez for the development of the risk calculator and Marta Pulido for editing the manuscript and editorial assistance. This study is part of a doctoral programme of the Department of Surgery at Universitat Autnoma de Barcelona.</t>
  </si>
  <si>
    <t>[Dal Cero, Mariagiulia; Grande, Luis; Gimeno, Marta; Pera, Manuel] Univ Autonoma Barcelona, Hosp del Mar Res Inst IMIM, Hosp del Mar, Dept Surg,Sect Gastrointestinal Surg, Barcelona 08003, Spain; [Gibert, Joan; Monzonis-Hernandez, Xavier] Hosp Univ del Mar, Hosp del Mar Res Inst IMIM, Dept Pathol, Canc Res Program, Barcelona 08003, Spain; [Osorio, Javier] Univ Barcelona, Hosp Clin, Dept Surg, Sect Esophagogastr &amp; Bariatr Surg, Barcelona 08193, Spain; [Bencivenga, Maria] Univ Verona, Dept Surg, Gn &amp; Upper G I Surg Div, I-37126 Verona, Italy; [Fumagalli Romario, Uberto] European Inst Oncol, Digest Surg, IRCCS, I-20122 Milan, Italy; [Rosati, Riccardo] Univ Vita Salute San Raffaele, San Raffaele Hosp, Dept GI Surg, IRCCS, I-20135 Milan, Italy; [Morgagni, Paolo] GB Morgagni L Pierantoni Surg Dept, I-47121 Forli, Italy; [Gisbertz, Suzanne] Univ Med Ctr, Dept Surg, NL-1007 Amsterdam, Netherlands; [Polkowski, Wojciech P.] Med Univ Lublin, Dept Surg Oncol, PL-20080 Lublin, Poland; [Lara Santos, Lucio] Portuguese Inst Oncol, Surg Oncol Dept, Expt Pathol &amp; Therapeut Grp, P-4200072 Porto, Portugal; [Kolodziejczyk, Piotr] Jagiellonian Univ, Dept Surg 1, PL-31007 Krakow, Poland; [Kielan, Wojciech] Wroclaw Med Univ, Dept Gen &amp; Oncol Surg 2, PL-50367 Wroclaw, Poland; [Reddavid, Rossella] Univ Turin, San Luigi Univ Hosp, Dept Oncol, Div Surg Oncol &amp; Digest Surg, I-10043 Turin, Italy; [van Sandick, Johanna W.] Antoni Van Leeuwenhoek Hosp, Netherlands Canc Inst, Dept Surg, NL-1066 CX Amsterdam, Netherlands; [Baiocchi, Gian Luca] Univ Brescia, Dept Clin &amp; Expt Sci, Gen Surg Unit, ASST Cremona, I-26100 Cremona, Italy; [Gockel, Ines] Univ Hosp Leipzig, Dept Visceral Transplant Thorac &amp; Vasc Surg, D-04103 Leipzig, Germany; [Davies, Andrew] Guys &amp; St Thomas Natl Hlth Serv Fdn Trust, Dept Digest Surg, London SE1 7EH, England; [Wijnhoven, Bas P. L.] Erasmus MC, Dept Surg, NL-3015 Rotterdam, Netherlands; [Reim, Daniel] Tech Univ Munich, Sch Med &amp; Hlth, Dept Surg, D-81675 Munich, Germany; [Costa, Paulo] Univ Lisbon, Hosp Garcia Orta, Fac Med, Dept Gen Surg, P-1649028 Lisbon, Portugal; [Allum, William H.] Royal Marsden NHS Fdn Trust, Dept Surg, London SW3 6JJ, England; [Piessen, Guillaume] Univ Lille, Claude Huriez Univ Hosp, Dept Digest &amp; Oncol Surg, F-59037 Lille, France; [Reynolds, John V.] Trinity Coll Dublin, St Jamess Hosp, Dept Surg, Dublin D08 W9RT, Ireland; [Moenig, Stefan P.] Univ Hosp Geneva, Div Abdominal Surg, CH-1205 Geneva, Switzerland; [Schneider, Paul M.] Hirslanden Med Ctr, Ctr Visceral Thorac &amp; Specialized Tumor Surg, CH-5000 Zurich, Switzerland; [Garsot, Elisenda] Univ Autonoma Barcelona, Hosp Univ Germans Trias &amp; Pujol, Dept Surg, Barcelona 08916, Spain; [Eizaguirre, Emma] Hosp Univ Donostia, Dept Surg, Donostia San Sebastian 20014, Spain; [Miro, Monica] Hosp Univ Bellvitge, Dept Surg, Lhospitalet De Llobregat 08907, Spain; [Castro, Sandra] Univ Autonoma Barcelona, Hosp Univ Vall dHebron, Dept Surg, Barcelona 08035, Spain; [Miranda, Coro] Hosp Univ Navarra, Dept Surg, Pamplona 31008, Spain</t>
  </si>
  <si>
    <t>Autonomous University of Barcelona; Hospital del Mar Research Institute; Hospital del Mar; Hospital del Mar Research Institute; Hospital del Mar; University of Barcelona; Hospital Clinic de Barcelona; University of Verona; IRCCS European Institute of Oncology (IEO); Vita-Salute San Raffaele University; IRCCS Ospedale San Raffaele; Medical University of Lublin; Universidade de Coimbra; Jagiellonian University; Collegium Medicum Jagiellonian University; Wroclaw Medical University; University of Turin; University Turin Hospital; Netherlands Cancer Institute; University of Brescia; Leipzig University; Guy's &amp; St Thomas' NHS Foundation Trust; Erasmus University Rotterdam; Erasmus MC; Technical University of Munich; Hospital Garcia de Orta; Universidade de Lisboa; Royal Marsden NHS Foundation Trust; Universite de Lille; CHU Lille; Trinity College Dublin; University of Geneva; Autonomous University of Barcelona; Hospital Germans Trias i Pujol; Institut d'Investigacio Biomedica de Bellvitge (IDIBELL); Bellvitge University Hospital; Hospital Universitari Vall d'Hebron; Autonomous University of Barcelona; Servicio Navarro de Salud - Osasunbidea</t>
  </si>
  <si>
    <t>International External Validation of Risk Prediction Model of 90-Day Mortality after Gastrectomy for Cancer Using Machine Learning</t>
  </si>
  <si>
    <t>CANCERS</t>
  </si>
  <si>
    <t>gastric cancer; gastrectomy; mortality; prediction; machine learning; validation</t>
  </si>
  <si>
    <t>GASTRIC-CANCER; OUTCOMES; SURGERY; DIAGNOSIS</t>
  </si>
  <si>
    <t>piessen, guillaume/O-4241-2017; Reim, Daniel/J-3115-2013; Gimeno López, Marta/QDN-0227-2026; Miro, Monica/QIU-8659-2026; Wijnhoven, Bas/AAF-4838-2020; Santos, Lúcio/AAE-2822-2021; Osorio, Javier/GNM-7355-2022; Fumagalli Romario, Uberto/AEI-8979-2022; Reddavid, Rossella/ABD-9000-2020; Polkowski, Wojciech/T-9624-2019; Costa, Paulo Matos/ABD-1573-2021; Gisbertz, Suzanne/HKV-8802-2023; Bencivenga, Maria/AAR-1122-2020; Grande, Luis/HGB-6658-2022; Reim, Daniel/J-3115-2013</t>
  </si>
  <si>
    <t>Fumagalli Romario, Uberto/0000-0002-6865-8971; Reddavid, Rossella/0000-0003-0603-9953; Kielan, Wojciech/0000-0001-6116-6504; Polkowski, Wojciech/0000-0001-6455-5636; Costa, Paulo Matos/0000-0002-7550-8285; Garsot Savall, Elisenda/0000-0003-3132-4756; Gisbertz, Suzanne/0000-0001-9655-7601; Bencivenga, Maria/0000-0003-1338-6160; Gibert Fernandez, Joan/0000-0002-0742-0759; BAIOCCHI, Gian Luca/0000-0003-2402-2178; Gockel, Ines/0000-0001-7423-713X; Dal Cero, Mariagiulia/0000-0002-0558-2244; Gimeno López, Marta/0000-0003-3237-9927; Pera, Manuel/0000-0002-9449-1810; ROSATI, Riccardo/0000-0002-2608-5749; Reim, Daniel/0000-0001-9736-3307; Castro Boix, Sandra/0000-0001-8518-749X</t>
  </si>
  <si>
    <t>2072-6694</t>
  </si>
  <si>
    <t>Cancers</t>
  </si>
  <si>
    <t>2463</t>
  </si>
  <si>
    <t>10.3390/cancers16132463</t>
  </si>
  <si>
    <t>http://dx.doi.org/10.3390/cancers16132463</t>
  </si>
  <si>
    <t>YD2N7</t>
  </si>
  <si>
    <t>39001525</t>
  </si>
  <si>
    <t>WOS:001266485000001</t>
  </si>
  <si>
    <t>Kunze, KN; Kaidi, A; Madjarova, S; Polce, EM; Ranawat, AS; Nawabi, DH; Kelly, BT; Nho, SJ; Nwachukwu, BU</t>
  </si>
  <si>
    <t>Background: Individualized risk prediction has become possible with machine learning (ML), which may have important implications in enhancing clinical decision making. We previously developed an ML algorithm to predict propensity for clinically meaningful outcome improvement after hip arthroscopy for femoroacetabular impingement syndrome. External validity of prognostic models is critical to determine generalizability, although it is rarely performed. Purpose: To assess the external validity of an ML algorithm for predicting clinically meaningful improvement after hip arthroscopy. Study Design: Cohort study; Level of evidence, 3. Methods: An independent hip preservation registry at a tertiary academic medical center was queried for consecutive patients/athletes who underwent hip arthroscopy for femoroacetabular impingement syndrome between 2015 and 2017. By assuming a minimal clinically important difference (MCID) outcome/event proportion of 75% based on the original study, a minimum sample of 132 patients was required. In total, 154 patients were included. Age, body mass index, alpha angle on anteroposterior pelvic radiographs, Tonnis grade and angle, and preoperative Hip Outcome Score-Sports Subscale were used as model inputs to predict the MCID for the Hip Outcome Score-Sports Subscale 2 years postoperatively. Performance was assessed using identical metrics to the internal validation study and included discrimination, calibration, Brier score, and decision curve analysis. Results: The concordance statistic in the validation cohort was 0.80 (95% CI, 0.71 to 0.87), suggesting good to excellent discrimination. The calibration slope was 1.16 (95% CI, 0.74 to 1.61) and the calibration intercept 0.13 (95% CI, -0.26 to 0.53). The Brier score was 0.15 (95% CI, 0.12 to 0.18). The null model Brier score was 0.20. Decision curve analysis revealed favorable net treatment benefit for patients with use of the algorithm as compared with interventional changes made for all and no patients. Conclusion: The performance of this algorithm in an independent patient population in the northeast region of the United States demonstrated superior discrimination and comparable calibration to that of the derivation cohort. The external validation of this algorithm suggests that it is a reliable method to predict propensity for clinically meaningful improvement after hip arthroscopy and is an essential step forward toward introducing initial use in clinical practice. Potential uses include integration into electronic medical records for automated prediction, enhanced shared decision making, and more informed allocation of resources to optimize patient outcomes.</t>
  </si>
  <si>
    <t>Kunze, Kyle N.; Kaidi, Austin; Madjarova, Sophia; Polce, Evan M.; Ranawat, Anil S.; Nawabi, Danyal H.; Kelly, Bryan T.; Nho, Shane J.; Nwachukwu, Benedict U.</t>
  </si>
  <si>
    <t>Kunze, KN (corresponding author), Hosp Special Surg, Dept Orthoped Surg, 535 East 70th St, New York, NY 10021 USA.</t>
  </si>
  <si>
    <t>kylekunze7@gmail.com</t>
  </si>
  <si>
    <t>[Kunze, Kyle N.; Kaidi, Austin; Madjarova, Sophia; Polce, Evan M.; Ranawat, Anil S.; Nawabi, Danyal H.; Kelly, Bryan T.; Nho, Shane J.; Nwachukwu, Benedict U.] Hosp Special Surg, 535 E 70th St, New York, NY 10021 USA; [Kunze, Kyle N.; Kaidi, Austin; Ranawat, Anil S.; Nawabi, Danyal H.; Kelly, Bryan T.; Nwachukwu, Benedict U.] Hosp Special Surg, Dept Orthoped Surg, 535 East 70th St, New York, NY 10021 USA; [Kunze, Kyle N.; Kaidi, Austin; Madjarova, Sophia; Ranawat, Anil S.; Nawabi, Danyal H.; Kelly, Bryan T.; Nwachukwu, Benedict U.] Hosp Special Surg, Sports Med &amp; Shoulder Inst, New York, NY 10021 USA; [Polce, Evan M.] Univ Wisconsin, Sch Med &amp; Publ Hlth, Madison, WI USA; [Nho, Shane J.] Rush Univ, Dept Orthopaed Surg, Div Sports Med, Sect Young Adult Hip Surg,Med Ctr, Chicago, IL 60612 USA</t>
  </si>
  <si>
    <t>University of Wisconsin System; University of Wisconsin Madison; Rush University</t>
  </si>
  <si>
    <t>External Validation of a Machine Learning Algorithm for Predicting Clinically Meaningful Functional Improvement After Arthroscopic Hip Preservation Surgery</t>
  </si>
  <si>
    <t>AMERICAN JOURNAL OF SPORTS MEDICINE</t>
  </si>
  <si>
    <t>hip arthroscopy; machine learning; external validation; femoroacetabular impingement syndrome; minimal clinically important difference</t>
  </si>
  <si>
    <t>REPORTED OUTCOME MEASURES; MODELS</t>
  </si>
  <si>
    <t>Kaidi, Austin/IQU-3152-2023</t>
  </si>
  <si>
    <t>Kaidi, Austin/0000-0002-4434-6033; Polce, Evan/0000-0001-9707-3609; Kunze, Kyle/0000-0002-0363-3482; Ranawat, Anil/0000-0002-3634-4871; Nwachukwu, Benedict/0000-0002-6170-7769</t>
  </si>
  <si>
    <t>0363-5465</t>
  </si>
  <si>
    <t>1552-3365</t>
  </si>
  <si>
    <t>AM J SPORT MED</t>
  </si>
  <si>
    <t>Am. J. Sports Med.</t>
  </si>
  <si>
    <t>3593</t>
  </si>
  <si>
    <t>3599</t>
  </si>
  <si>
    <t>10.1177/03635465221124275</t>
  </si>
  <si>
    <t>http://dx.doi.org/10.1177/03635465221124275</t>
  </si>
  <si>
    <t>SEP 2022</t>
  </si>
  <si>
    <t>Orthopedics; Sport Sciences</t>
  </si>
  <si>
    <t>5W1AW</t>
  </si>
  <si>
    <t>36135373</t>
  </si>
  <si>
    <t>WOS:000857604800001</t>
  </si>
  <si>
    <t>Huang, S; Teng, Y; Du, JJ; Zhou, X; Duan, F; Feng, C</t>
  </si>
  <si>
    <t>Background: Currently, very few preventive or therapeutic strategies are used for mechanical ventilation (MV)-associated severe acute kidney injury (AKI).Objectives: We developed clinical prediction models to detect the onset of severe AKI in the first week of intensive care unit (ICU) stay during the initiation of MV.Methods: A large ICU database Medical Information Mart for Intensive Care IV (MIMIC-IV) was analysed retrospectively. Data were collected from the clinical information recorded at the time of ICU admission and during the initial 12 h of MV. Using univariate and multivariate analyses, the predictors were selected successively. For model development, two machine learning algorithms were compared. The primary goal was to predict the development of AKI stage 2 or 3 (AKI-23) and AKI stage 3 (AKI-3) in the first week of patients' ICU stay after initial 12 h of MV. The developed models were externally validated using another multicentre ICU database (eICU Collaborative Research Database, eICU) and evaluated in various patient subpopulations.Results: Models were developed using data from the development cohort (MIMIC-IV: 2008-2016; n = 3986); the random forest algorithm outperformed the logistic regression algorithm. In the internal (MIMIC-IV: 2017-2019; n = 1210) and external (eICU; n = 1494) validation cohorts, the incidences of AKI-23 were 154 (12.7%) and 119 (8.0%), respectively, with areas under the receiver operator characteristic curve of 0.78 (95% confidence interval [CI]: 0.74-0.82) and 0.80 (95% CI: 0.76-0.84); the incidences of AKI-3 were 81 (6.7%) and 67 (4.5%), with areas under the receiver operator characteristic curve of 0.81 (95% CI: 0.76-0.87) and 0.80 (95% CI: 0.73-0.86), respectively.Conclusions: Models driven by machine learning and based on routine clinical data may facilitate the early prediction of MV-associated severe AKI. The validated models can be found at: https://apoet. shinyapps.io/mv_aki_2021_v2/.&amp; COPY; 2022 Australian College of Critical Care Nurses Ltd. Published by Elsevier Ltd. All rights reserved.</t>
  </si>
  <si>
    <t>Huang, Sai; Teng, Yue; Du, Jiajun; Zhou, Xuan; Duan, Feng; Feng, Cong</t>
  </si>
  <si>
    <t>Duan, F (corresponding author), Chinese Peoples Liberat Army Gen Hosp, Med Ctr 5, Dept Intervent Radiol, Beijing 100853, Peoples R China.; Feng, C (corresponding author), Gen Hosp Peoples Liberat Army, Med Ctr 1, Dept Emergency, Beijing 100853, Peoples R China.</t>
  </si>
  <si>
    <t>fc194@163.com; duanfeng@vip.sina.com</t>
  </si>
  <si>
    <t>National Natural Science Fund [82072200]; Chi-nese PLA General Hospital [2020-YQPY-0 02, 2019XXJSYX20, 2019XXMBD-016]</t>
  </si>
  <si>
    <t>National Natural Science Fund (National Natural Science Foundation of China (NSFC)); Chi-nese PLA General Hospital</t>
  </si>
  <si>
    <t>We thank the team of the Laboratory for Computational Physiology from the Massachusetts Institute of Technology (MIT-LCP) who keep the MIMIC databases. We also thank the support from the National Natural Science Fund (no. 82072200) and from the Chi-nese PLA General Hospital (2020-YQPY-0 02, 2019XXJSYX20, 2019XXMBD-016) .</t>
  </si>
  <si>
    <t>[Feng, Cong] Chinese Peoples Liberat Army Gen Hosp, Med Ctr 1, Dept Emergency, Beijing 100853, Peoples R China; [Feng, Cong] Gen Hosp Peoples Liberat Army, Natl Clin Res Ctr Kidney Dis, State Key Lab Kidney Dis, Beijing 100853, Peoples R China; [Huang, Sai; Feng, Cong] Chinese Peoples Liberat Army Gen Hosp, Natl Clin Res Ctr Geriatr Dis, Beijing 100853, Peoples R China; [Duan, Feng] Chinese Peoples Liberat Army Gen Hosp, Med Ctr 5, Dept Intervent Radiol, Beijing 100853, Peoples R China; [Huang, Sai] Chinese Peoples Liberat Army Gen Hosp, Med Ctr 5, Dept Hematol, Beijing 100853, Peoples R China; [Teng, Yue] Gen Hosp Northern Theatre Command, Dept Emergency Med, 83 Wenhua Rd, Shenyang 110016, Peoples R China; [Du, Jiajun] Chinese Peoples Liberat Army Gen Hosp, Med Informat Ctr, Beijing 100853, Peoples R China; [Zhou, Xuan] Chinese Peoples Liberat Army Gen Hosp, Hainan Hosp, Dept Emergency, Sanya 572000, Peoples R China; [Feng, Cong] Gen Hosp Peoples Liberat Army, Med Ctr 1, Dept Emergency, Beijing 100853, Peoples R China</t>
  </si>
  <si>
    <t>Chinese People's Liberation Army General Hospital; Chinese People's Liberation Army General Hospital; Fifth Medical Center of Chinese PLA General Hospital; Chinese People's Liberation Army General Hospital; Chinese People's Liberation Army General Hospital; Fifth Medical Center of Chinese PLA General Hospital; Chinese People's Liberation Army General Hospital; Chinese People's Liberation Army General Hospital</t>
  </si>
  <si>
    <t>Internal and external validation of machine learning-assisted prediction models for mechanical ventilation-associated severe acute kidney injury</t>
  </si>
  <si>
    <t>AUSTRALIAN CRITICAL CARE</t>
  </si>
  <si>
    <t>Severe acute kidney injury; Mechanical ventilation; Machine learning; Prediction model</t>
  </si>
  <si>
    <t>CRITICALLY-ILL PATIENTS; RISK; AKI; SURGERY</t>
  </si>
  <si>
    <t>Feng, Cong/ABX-5739-2022</t>
  </si>
  <si>
    <t>Feng, Cong/0000-0002-4855-0023</t>
  </si>
  <si>
    <t>1036-7314</t>
  </si>
  <si>
    <t>1878-1721</t>
  </si>
  <si>
    <t>AUST CRIT CARE</t>
  </si>
  <si>
    <t>Aust. Crit. Care</t>
  </si>
  <si>
    <t>604</t>
  </si>
  <si>
    <t>612</t>
  </si>
  <si>
    <t>10.1016/j.aucc.2022.06.001</t>
  </si>
  <si>
    <t>http://dx.doi.org/10.1016/j.aucc.2022.06.001</t>
  </si>
  <si>
    <t>Critical Care Medicine; Nursing</t>
  </si>
  <si>
    <t>General &amp; Internal Medicine; Nursing</t>
  </si>
  <si>
    <t>L8TW5</t>
  </si>
  <si>
    <t>35842332</t>
  </si>
  <si>
    <t>WOS:001025944700001</t>
  </si>
  <si>
    <t>Yang, ZW</t>
  </si>
  <si>
    <t>Background Site selection and qualification represent critical operational challenges in clinical trials, particularly in rare diseases like transthyretin amyloid cardiomyopathy (ATTR-CM)-a progressive cardiac disease caused by extracellular deposition of misfolded transthyretin protein in the myocardium affecting &lt;50,000 US patients. Current Site Qualification Risk Assessment (SQRA) approaches-expert judgment, rule-based scoring, or historical performance-lack systematic validation. From a health informatics perspective, clinical trial data stored in disparate systems (eTMF, CTMS, ClinicalTrials.gov) remain underutilized for proactive risk prediction. We developed and validated an ML-based clinical decision support tool for site risk prediction in ATTR-CM trials with external validation in Duchenne muscular dystrophy (DMD), designed for integration into SQRA workflows to guide Clinical Project Managers (CPMs) in site selection and Site Qualification Visit (SQV) decisions. Methods We analyzed 460 sites from 42 ATTR-CM studies and 761 sites from 89 DMD studies using data from ClinicalTrials.gov. A hybrid risk scoring system (expert consensus + LASSO optimization) captured enrollment, data quality, compliance, and complexity dimensions. Four ML algorithms were trained (n = 368) and validated (n = 92) using 5-fold cross-validation and temporal validation. External validation used DMD sites from different disease context and time period. SHAP analysis with bootstrap confidence intervals (1000 iterations) and permutation tests ensured interpretability. We designed an operational workflow integrating the tool into SQRA processes and projected impact based on literature-reported trial parameters. Results Support Vector Machine achieved 98.91% accuracy (95% CI: 93.8%-99.9%) in ATTR-CM, correctly classifying 91 of 92 sites. Subgroup analysis showed 100% accuracy across all geographic regions and site types, confirming no algorithmic bias. External validation in DMD yielded 81.21% accuracy (95% CI: 73.3%-88.5%), demonstrating cross-disease generalizability. SHAP identified data quality risk (0.112, p &lt; 0.001), screen failure rate (0.090, p &lt; 0.001), and enrollment risk (0.084, p &lt; 0.001) as key predictors. Feature importance rankings showed high consistency between diseases (Spearman rho = 0.905, p = 0.002). Conclusions We developed an operational-ready ML-based tool for site risk prediction, achieving near-perfect accuracy in ATTR-CM with demonstrated cross-disease generalizability in DMD. The tool is designed for integration into SQRA workflows to support CPMs in site selection and SQV decisions. Feature importance consistency (Spearman rho = 0.905) supports applicability across diverse trial portfolios. However, critical limitations remain: lack of validation against ground truth monitoring outcomes, DMD features estimated using proxies, and projected impact not yet validated through operational deployment. This study demonstrates how health informatics can provide decision support for clinical research operations, with pilot implementation essential to validate projected benefits.</t>
  </si>
  <si>
    <t>Yang, Zhiwen</t>
  </si>
  <si>
    <t>Yang, ZW (corresponding author), AstraZeneca Global R&amp;D China Co Ltd, Dev Operat, 88 Xizang Rd, Shanghai 200085, Peoples R China.</t>
  </si>
  <si>
    <t>jevony1016@gmail.com</t>
  </si>
  <si>
    <t>[Yang, Zhiwen] AstraZeneca Global R&amp;D China Co Ltd, Dev Operat, 88 Xizang Rd, Shanghai 200085, Peoples R China</t>
  </si>
  <si>
    <t>Machine learning for site risk prediction in clinical trials: development, external validation, and operational application in site qualification</t>
  </si>
  <si>
    <t>Health informatics; Clinical decision support; Machine learning; Risk-based monitoring; Site qualification; External validation</t>
  </si>
  <si>
    <t>DECISION-SUPPORT; MEDICINE; DIAGNOSIS; MODELS</t>
  </si>
  <si>
    <t>Yang, Zhiwen/QQB-0490-2026</t>
  </si>
  <si>
    <t>211</t>
  </si>
  <si>
    <t>106314</t>
  </si>
  <si>
    <t>10.1016/j.ijmedinf.2026.106314</t>
  </si>
  <si>
    <t>http://dx.doi.org/10.1016/j.ijmedinf.2026.106314</t>
  </si>
  <si>
    <t>EZ0BL</t>
  </si>
  <si>
    <t>41741318</t>
  </si>
  <si>
    <t>WOS:001713103700001</t>
  </si>
  <si>
    <t>Cha, JH; Choi, KH; Ahn, CM; Yu, CW; Park, IH; Jang, WJ; Kim, HJ; Bae, JW; Kwon, SU; Lee, HJ; Lee, WS; Jeong, JO; Park, SD; Park, TK; Lee, JM; Bin Song, Y; Hahn, JY; Choi, SH; Gwon, HC; Yang, JH</t>
  </si>
  <si>
    <t>Introduction and objectives: Despite advances in mechanical circulatory support, mortality rates in cardiogenic shock (CS) remain high. A reliable risk stratification system could serve as a valuable guide in the clinical management of patients with CS. This study aimed to develop and externally validate a risk prediction model for in-hospital mortality in CS patients using machine learning (ML) algorithms. Methods: Data from 1247 patients with all-cause CS in the RESCUE registry (January 2014-December 2018) were analyzed. Key predictive variables were identified using 4 ML algorithms. A risk prediction model, the RESCUE score, was developed using logistic regression based on the selected variables. Internal validation was conducted within the RESCUE registry, and external validation was performed using an independent CS registry of 750 patients. Results: The 4 ML models identified 7 predictors: age, vasoactive inotropic score, left ventricular ejection fraction, lactic acid level, in-hospital cardiac arrest at presentation, need for continuous renal replacement therapy, and mechanical ventilation. The RESCUE score demonstrated strong predictive performance, with an AUC of 0.86 (95%CI, 0.83-0.88) for in-hospital mortality. Ten-fold internal cross-validation yielded an AUC of 0.86 (95%CI, 0.77-0.95). External validation showed an AUC of 0.80 (95%CI, 0.76-0.84). Conclusions: Our ML-based risk-scoring system, the RESCUE score, demonstrated excellent predictive performance for in-hospital mortality in all patients with CS, regardless of cause. The system could be a useful and reliable tool to estimate risk stratification of CS in everyday clinical practice. Clinical trial registration: NCT02985008. (c) 2025 Sociedad Espa &amp; ntilde;ola de Cardiologia. Published by Elsevier Espa &amp; ntilde;a, S.L.U. All rights are reserved, including those for text and data mining, AI training, and similar technologies.</t>
  </si>
  <si>
    <t>Cha, Ji Hyun; Choi, Ki Hong; Ahn, Chul-Min; Yu, Cheol Woong; Park, Ik Hyun; Jang, Woo Jin; Kim, Hyun-Joong; Bae, Jang-Whan; Kwon, Sung Uk; Lee, Hyun-Jong; Lee, Wang Soo; Jeong, Jin-Ok; Park, Sang-Don; Park, Taek Kyu; Lee, Joo Myung; Bin Song, Young; Hahn, Joo-Yong; Choi, Seung-Hyuk; Gwon, Hyeon-Cheol; Yang, Jeong Hoon</t>
  </si>
  <si>
    <t>Yang, JH (corresponding author), Sungkyunkwan Univ, Sch Med, Samsung Med Ctr, Dept Crit Care Med, Seoul, South Korea.; Yang, JH (corresponding author), Sungkyunkwan Univ, Sch Med, Samsung Med Ctr, Div Cardiol,Dept Med,Heart Vasc Stroke Inst, Seoul, South Korea.</t>
  </si>
  <si>
    <t>jhysmc@gmail.com</t>
  </si>
  <si>
    <t>Young Medical Scientist Research Grant through the Seokchunnanum Foundation [SCY2209P]</t>
  </si>
  <si>
    <t>Young Medical Scientist Research Grant through the Seokchunnanum Foundation</t>
  </si>
  <si>
    <t>This work was supported by the Young Medical Scientist Research Grant through the Seokchunnanum Foundation (Project number: SCY2209P).</t>
  </si>
  <si>
    <t>[Cha, Ji Hyun; Yang, Jeong Hoon] Sungkyunkwan Univ, Sch Med, Samsung Med Ctr, Dept Crit Care Med, Seoul, South Korea; [Choi, Ki Hong; Park, Taek Kyu; Lee, Joo Myung; Bin Song, Young; Hahn, Joo-Yong; Choi, Seung-Hyuk; Gwon, Hyeon-Cheol; Yang, Jeong Hoon] Sungkyunkwan Univ, Sch Med, Samsung Med Ctr, Div Cardiol,Dept Med,Heart Vasc Stroke Inst, Seoul, South Korea; [Ahn, Chul-Min] Yonsei Univ, Coll Med, Severance Cardiovasc Hosp, Div Cardiol, Seoul, South Korea; [Yu, Cheol Woong] Korea Univ, Anam Hosp, Dept Internal Med, Div Cardiol, Seoul, South Korea; [Park, Ik Hyun] Sungkyunkwan Univ, Samsung Changwon Hosp, Dept Cardiol, Sch Med, Chang Won, South Korea; [Jang, Woo Jin] Ewha Womans Univ, Sch Med, Dept Cardiol, Seoul Hosp, Seoul, South Korea; [Kim, Hyun-Joong] Konkuk Univ, Med Ctr, Sch Med, Div Cardiol,Dept Internal Med, Seoul, South Korea; [Bae, Jang-Whan] Chungbuk Natl Univ, Coll Med, Dept Internal Med, Cheongju, South Korea; [Kwon, Sung Uk] Univ Inje, Ilsan Paik Hosp, Coll Med, Div Cardiol,Dept Internal Med, Seoul, South Korea; [Lee, Hyun-Jong] Sejong Gen Hosp, Dept Med, Div Cardiol, Bucheon, South Korea; [Lee, Wang Soo] Chung Ang Univ Hosp, Dept Med, Div Cardiol, Seoul, South Korea; [Jeong, Jin-Ok] Chungnam Natl Univ Hosp, Dept Internal Med, Div Cardiol, Daejeon, South Korea; [Park, Sang-Don] Inha Univ Hosp, Dept Med, Div Cardiol, Incheon, South Korea</t>
  </si>
  <si>
    <t>Sungkyunkwan University (SKKU); Samsung Medical Center; Sungkyunkwan University (SKKU); Samsung Medical Center; Yonsei University; Severance Hospital; Yonsei University Health System; Korea University; Korea University Medicine (KU Medicine); Sungkyunkwan University (SKKU); Samsung Medical Center; Samsung Changwon Hospital; Ewha Womans University; Konkuk University; Konkuk University Medical Center; Chungbuk National University; Inje University; Sejong General Hospital; Chung Ang University; Chung Ang University Hospital; Chungnam National University; Chungnam National University Hospital; Inha University; Inha University Hospital</t>
  </si>
  <si>
    <t>Machine learning prediction of in-hospital mortality and external validation in patients with cardiogenic shock: the RESCUE score</t>
  </si>
  <si>
    <t>REVISTA ESPANOLA DE CARDIOLOGIA</t>
  </si>
  <si>
    <t>Cardiogenic shock; Risk stratification; Machine learning; Prognosis</t>
  </si>
  <si>
    <t>MECHANICAL CIRCULATORY SUPPORT; ACUTE MYOCARDIAL-INFARCTION; VASOACTIVE-INOTROPIC SCORE; LONG-TERM OUTCOMES; RISK PREDICTION; ECMO</t>
  </si>
  <si>
    <t>Hahn, Joo-Yong/AAU-7250-2020; Lee, Wang-Soo/AAS-1477-2021; Song, Young Bin/IYJ-6953-2023</t>
  </si>
  <si>
    <t>Cha, Ji Hyun/0009-0003-9363-8600; Park, Sang-Don/0000-0003-0128-9988</t>
  </si>
  <si>
    <t>EDICIONES DOYMA S A</t>
  </si>
  <si>
    <t>BARCELONA</t>
  </si>
  <si>
    <t>TRAV DE GRACIA 17-21, 08021 BARCELONA, SPAIN</t>
  </si>
  <si>
    <t>1885-5857</t>
  </si>
  <si>
    <t>REV ESP CARDIOL</t>
  </si>
  <si>
    <t>Rev. Esp. Cardiol.</t>
  </si>
  <si>
    <t>707</t>
  </si>
  <si>
    <t>716</t>
  </si>
  <si>
    <t>10.1016/j.rec.2025.01.003</t>
  </si>
  <si>
    <t>http://dx.doi.org/10.1016/j.rec.2025.01.003</t>
  </si>
  <si>
    <t>5SO1Q</t>
  </si>
  <si>
    <t>39855461</t>
  </si>
  <si>
    <t>WOS:001543316200006</t>
  </si>
  <si>
    <t>Hjärtström, M; Dihge, L; Bendahl, PO; Skarping, I; Ellbrant, J; Ohlsson, M; Rydén, L</t>
  </si>
  <si>
    <t>Background: Most patients diagnosed with breast cancer present with a node-negative disease. Sentinel lymph node biopsy (SLNB) is routinely used for axillary staging, leaving patients with healthy axillary lymph nodes without therapeutic effects but at risk of morbidities from the intervention. Numerous studies have developed nodal status prediction models for noninvasive axillary staging using postoperative data or imaging features that are not part of the diagnostic workup. Lymphovascular invasion (LVI) is a top-ranked predictor of nodal metastasis; however, its preoperative assessment is challenging.Objective: This paper aimed to externally validate a multilayer perceptron (MLP) model for noninvasive lymph node staging (NILS) in a large population-based cohort (n=18,633) and develop a new MLP in the same cohort. Data were extracted from the Swedish National Quality Register for Breast Cancer (NKBC, 2014-2017), comprising only routinely and preoperatively available documented clinicopathological variables. A secondary aim was to develop and validate an LVI MLP for imputation of missing LVI status to increase the preoperative feasibility of the original NILS model. Methods: Three nonoverlapping cohorts were used for model development and validation. A total of 4 MLPs for nodal status and 1 LVI MLP were developed using 11 to 12 routinely available predictors. Three nodal status models were used to account for the different availabilities of LVI status in the cohorts and external validation in NKBC. The fourth nodal status model was developed for 80% (14,906/18,663) of NKBC cases and validated in the remaining 20% (3727/18,663). Three alternatives for imputation of LVI status were compared. The discriminatory capacity was evaluated using the validation area under the receiver operating characteristics curve (AUC) in 3 of the nodal status models. The clinical feasibility of the models was evaluated using calibration and decision curve analyses.Results: External validation of the original NILS model was performed in NKBC (AUC 0.699, 95% CI 0.690-0.708) with good calibration and the potential of sparing 16% of patients with node-negative disease from SLNB. The LVI model was externally validated (AUC 0.747, 95% CI 0.694-0.799) with good calibration but did not improve the discriminatory performance of the nodal status models. A new nodal status model was developed in NKBC without information on LVI (AUC 0.709, 95% CI: 0.688-0.729), with excellent calibration in the holdout internal validation cohort, resulting in the potential omission of 24% of patients from unnecessary SLNBs.Conclusions: The NILS model was externally validated in NKBC, where the imputation of LVI status did not improve the model's discriminatory performance. A new nodal status model demonstrated the feasibility of using register data comprising only the variables available in the preoperative setting for NILS using machine learning. Future steps include ongoing preoperative validation of the NILS model and extending the model with, for example, mammography images.</t>
  </si>
  <si>
    <t>Hjartstrom, Malin; Dihge, Looket; Bendahl, Par-Ola; Skarping, Ida; Ellbrant, Julia; Ohlsson, Mattias; Ryden, Lisa</t>
  </si>
  <si>
    <t>Hjärtström, M (corresponding author), Lund Univ, Dept Clin Sci Lund, Div Oncol, Scheeletorget 1, SE-22363 Lund, Sweden.</t>
  </si>
  <si>
    <t>malin.hjartstrom@med.lu.se</t>
  </si>
  <si>
    <t>Governmental Funding of Clinical Research within the National Health Service [2018/40304]; Erling Persson Family Foundation; Swedish Cancer Society [2019/0388]; Swedish Research Council [2020/01491]; Swedish Cancer and Allergy Fund; Swedish Research Council [2020-01491] Funding Source: Swedish Research Council</t>
  </si>
  <si>
    <t>Governmental Funding of Clinical Research within the National Health Service; Erling Persson Family Foundation; Swedish Cancer Society (Cancerfondon); Swedish Research Council (Swedish Research Council); Swedish Cancer and Allergy Fund; Swedish Research Council (Swedish Research Council)</t>
  </si>
  <si>
    <t>IS and LD received funding from Governmental Funding of Clinical Research within the National Health Service. LR received funding from the Erling Persson Family Foundation (2018 and 2022), the Governmental Funding of Clinical Research within the National Health Service (2018/40304), the Swedish Cancer Society (2019/0388), the Swedish Research Council (2020/01491), and the Swedish Cancer and Allergy Fund. The funding sources had no role in the study design, analyses, data interpretation, writing of the manuscript, or the decision to submit the manuscript.</t>
  </si>
  <si>
    <t>[Hjartstrom, Malin; Bendahl, Par-Ola; Skarping, Ida] Lund Univ, Dept Clin Sci, Div Oncol, Lund, Sweden; [Dihge, Looket; Ellbrant, Julia; Ryden, Lisa] Lund Univ, Dept Clin Sci, Div Surg, Lund, Sweden; [Dihge, Looket] Skane Univ Hosp, Dept Plast &amp; Reconstruct Surg, Malmo, Sweden; [Skarping, Ida] Skane Univ Hosp, Dept Clin Physiol &amp; Nucl Med, Malmo, Sweden; [Ellbrant, Julia] Skane Univ Hosp, Dept Surg, Malmo, Sweden; [Ohlsson, Mattias] Lund Univ, Dept Astron &amp; Theoret Phys, Lund, Sweden; [Ohlsson, Mattias] Halmstad Univ, Ctr Appl Intelligent Syst Res, Halmstad, Sweden; [Ryden, Lisa] Skane Univ Hosp, Dept Surg &amp; Gastroenterol, Malmo, Sweden; [Hjartstrom, Malin] Lund Univ, Dept Clin Sci Lund, Div Oncol, Scheeletorget 1, SE-22363 Lund, Sweden</t>
  </si>
  <si>
    <t>Lund University; Lund University; Lund University; Skane University Hospital; Lund University; Skane University Hospital; Lund University; Skane University Hospital; Lund University; Halmstad University; Lund University; Skane University Hospital; Lund University</t>
  </si>
  <si>
    <t>Noninvasive Staging of Lymph Node Status in Breast Cancer Using Machine Learning: External Validation and Further Model Development</t>
  </si>
  <si>
    <t>JMIR CANCER</t>
  </si>
  <si>
    <t>breast neoplasm; sentinel lymph node biopsy; SLNB; noninvasive lymph node staging; NILS; prediction model; multilayer perceptron; MLP; register data; breast cancer; cancer; validation study; machine learning; model development; therapeutic; feasibility; diagnostic; lymph node; mammography images</t>
  </si>
  <si>
    <t>PREDICTION MODEL; NOMOGRAM; METASTASIS; PROGNOSIS; BIOPSIES</t>
  </si>
  <si>
    <t>Hjärtström, Malin/MVT-6753-2025; Ohlsson, Mattias/G-5790-2011; Skarping, Ida/HOA-6843-2023</t>
  </si>
  <si>
    <t>Hjärtström, Malin/0000-0002-5294-8472; Dihge, Looket/0000-0002-7932-3982; Ohlsson, Mattias/0000-0003-1145-4297; Skarping, Ida/0000-0002-1265-8649; Rydén, Lisa/0000-0001-7515-3130</t>
  </si>
  <si>
    <t>2369-1999</t>
  </si>
  <si>
    <t>JMIR Cancer</t>
  </si>
  <si>
    <t>e46474</t>
  </si>
  <si>
    <t>10.2196/46474</t>
  </si>
  <si>
    <t>http://dx.doi.org/10.2196/46474</t>
  </si>
  <si>
    <t>Z9BY2</t>
  </si>
  <si>
    <t>37983068</t>
  </si>
  <si>
    <t>WOS:001114965400001</t>
  </si>
  <si>
    <t>Park, YW; Choi, D; Park, JE; Ahn, SS; Kim, H; Chang, JH; Kim, SH; Kim, HS; Lee, SK</t>
  </si>
  <si>
    <t>The purpose of this study was to establish a high-performing radiomics strategy with machine learning from conventional and diffusion MRI to differentiate recurrent glioblastoma (GBM) from radiation necrosis (RN) after concurrent chemoradiotherapy (CCRT) or radiotherapy. Eighty-six patients with GBM were enrolled in the training set after they underwent CCRT or radiotherapy and presented with new or enlarging contrast enhancement within the radiation field on follow-up MRI. A diagnosis was established either pathologically or clinicoradiologically (63 recurrent GBM and 23 RN). Another 41 patients (23 recurrent GBM and 18 RN) from a different institution were enrolled in the test set. Conventional MRI sequences (T2-weighted and postcontrast T1-weighted images) and ADC were analyzed to extract 263 radiomic features. After feature selection, various machine learning models with oversampling methods were trained with combinations of MRI sequences and subsequently validated in the test set. In the independent test set, the model using ADC sequence showed the best diagnostic performance, with an AUC, accuracy, sensitivity, specificity of 0.80, 78%, 66.7%, and 87%, respectively. In conclusion, the radiomics models models using other MRI sequences showed AUCs ranging from 0.65 to 0.66 in the test set. The diffusion radiomics may be helpful in differentiating recurrent GBM from RN..</t>
  </si>
  <si>
    <t>Park, Yae Won; Choi, Dongmin; Park, Ji Eun; Ahn, Sung Soo; Kim, Hwiyoung; Chang, Jong Hee; Kim, Se Hoon; Kim, Ho Sung; Lee, Seung-Koo</t>
  </si>
  <si>
    <t>Ahn, SS (corresponding author), Yonsei Univ, Dept Radiol, Coll Med, 50-1 Yonsei Ro, Seoul 120752, South Korea.; Ahn, SS (corresponding author), Yonsei Univ, Res Inst Radiol Sci, Coll Med, 50-1 Yonsei Ro, Seoul 120752, South Korea.; Ahn, SS (corresponding author), Yonsei Univ, Ctr Clin Image Data Sci, Coll Med, 50-1 Yonsei Ro, Seoul 120752, South Korea.</t>
  </si>
  <si>
    <t>sungsoo@yuhs.ac</t>
  </si>
  <si>
    <t>Basic Science Research Program through the National Research Foundation of Korea (NRF) - Ministry of Science, Information and Communication Technologies &amp; Future Planning [2017R1D1A1B03030440, 2020R1A2C1003886]; Basic Science Research Program through the National Research Foundation of Korea (NRF) - Ministry of Education [2020R1I1A1A01071648]; fund of Korean Society for Neuro Oncology</t>
  </si>
  <si>
    <t>Basic Science Research Program through the National Research Foundation of Korea (NRF) - Ministry of Science, Information and Communication Technologies &amp; Future Planning (National Research Foundation of Korea, Ministry of Science &amp; ICT (MMSTI)); Basic Science Research Program through the National Research Foundation of Korea (NRF) - Ministry of Education (National Research Foundation of Korea, Ministry of Education (MOE), Republic of Korea); fund of Korean Society for Neuro Oncology</t>
  </si>
  <si>
    <t>This research received funding from the Basic Science Research Program through the National Research Foundation of Korea (NRF) funded by the Ministry of Science, Information and Communication Technologies &amp; Future Planning (2017R1D1A1B03030440 and 2020R1A2C1003886). This research was also supported by Basic Science Research Program through the National Research Foundation of Korea (NRF) funded by the Ministry of Education (2020R1I1A1A01071648). This research was also supported financially by the fund of Korean Society for Neuro Oncology.</t>
  </si>
  <si>
    <t>[Park, Yae Won; Ahn, Sung Soo; Kim, Hwiyoung; Lee, Seung-Koo] Yonsei Univ, Dept Radiol, Coll Med, 50-1 Yonsei Ro, Seoul 120752, South Korea; [Park, Yae Won; Ahn, Sung Soo; Kim, Hwiyoung; Lee, Seung-Koo] Yonsei Univ, Res Inst Radiol Sci, Coll Med, 50-1 Yonsei Ro, Seoul 120752, South Korea; [Park, Yae Won; Ahn, Sung Soo; Kim, Hwiyoung; Lee, Seung-Koo] Yonsei Univ, Ctr Clin Image Data Sci, Coll Med, 50-1 Yonsei Ro, Seoul 120752, South Korea; [Choi, Dongmin] Yonsei Univ, Dept Comp Sci, Seoul, South Korea; [Park, Ji Eun; Kim, Ho Sung] Univ Ulsan, Coll Med, Dept Radiol, Seoul, South Korea; [Park, Ji Eun; Kim, Ho Sung] Univ Ulsan, Coll Med, Res Inst Radiol, Seoul, South Korea; [Chang, Jong Hee] Yonsei Univ, Dept Neurosurg, Coll Med, Seoul, South Korea; [Kim, Se Hoon] Yonsei Univ, Dept Pathol, Coll Med, Seoul, South Korea</t>
  </si>
  <si>
    <t>Yonsei University; Yonsei University Health System; Yonsei University; Yonsei University Health System; Yonsei University; Yonsei University Health System; Yonsei University; University of Ulsan; University of Ulsan; Yonsei University; Yonsei University Health System; Yonsei University; Yonsei University Health System</t>
  </si>
  <si>
    <t>Differentiation of recurrent glioblastoma from radiation necrosis using diffusion radiomics with machine learning model development and external validation</t>
  </si>
  <si>
    <t>HIGH-GRADE GLIOMAS; TUMOR IMAGING PROTOCOL; CONSENSUS RECOMMENDATIONS; MULTIPARAMETRIC MRI; MALIGNANT GLIOMAS; BRAIN METASTASES; PROGRESSION; RADIONECROSIS; SPECTROSCOPY; FEATURES</t>
  </si>
  <si>
    <t>Ahn, Sung Soo/AAB-4945-2021</t>
  </si>
  <si>
    <t>Chang, Jong Hee/0000-0003-1509-9800; Lee, Seung-Koo/0000-0001-5646-4072; Ahn, Sung Soo/0000-0002-0503-5558; Park, Yae Won/0000-0001-8907-5401; Kim, Se Hoon/0000-0001-7516-7372</t>
  </si>
  <si>
    <t>FEB 3 2021</t>
  </si>
  <si>
    <t>2913</t>
  </si>
  <si>
    <t>10.1038/s41598-021-82467-y</t>
  </si>
  <si>
    <t>http://dx.doi.org/10.1038/s41598-021-82467-y</t>
  </si>
  <si>
    <t>QF5XL</t>
  </si>
  <si>
    <t>33536499</t>
  </si>
  <si>
    <t>WOS:000616967000021</t>
  </si>
  <si>
    <t>Li, LJ; Ao, LX; Li, L; Wang, L; Liu, XM; Liu, K</t>
  </si>
  <si>
    <t>Benign epilepsy with centrotemporal spikes (SeLECTS) is a common pediatric epilepsy characterized by high-amplitude central-temporal spikes on electroencephalogram (EEG). Early identification remains challenging owing to inter-reader variability and inter-center protocol differences. Existing models often rely on single-center raw EEG, limiting generalizability and clinical deployment. An explainable, cross-institutional tool built on structured EEG reports plus routine laboratory tests could improve screening and workflow. This study aimed to develop a machine learning model for SeLECTS assistance and validate its performance on an external dataset, comparing multiple algorithms and evaluating discrimination, calibration, and net clinical benefit, with interpretable outputs for quality control and patient stratification. We performed a multicenter retrospective study (internal n = 1067; external n = 94). Among 242 candidate variables, those with &gt;20% missingness were removed; remaining missing data were handled by multiple imputation. Least Absolute Shrinkage and Selection Operator selected 13 key features, including age; central/temporal discharge localization; spikes or spike-wave complexes; background rhythm; facial/limb clonus; and laboratory indices (e.g., lactate dehydrogenase, white blood cell differential, 25-hydroxyvitamin D). Ten common classifiers were trained and tested. Area Under the Receiver Operating Characteristic Curve (AUROC) was the primary metric; accuracy, sensitivity, specificity, and F1 score were secondary. Calibration and decision curve analyses assessed probability agreement and clinical net benefit. SHapley Additive exPlanations provided global and patient-level interpretability. eXtreme Gradient Boosting performed best. Internal validation yielded AUROC 0.97, accuracy 0.91, sensitivity 0.83, and specificity 0.94. External validation showed AUROC 0.96, accuracy 0.88, sensitivity 0.74, and specificity 0.94. Compared with internal performance, external results declined only slightly (AUROC -0.01; accuracy -0.03; sensitivity -0.09; specificity unchanged). Calibration indicated close agreement between predicted and observed risks. Decision curve analysis showed consistent positive net benefit across low-to-moderate thresholds. SHapley Additive exPlanations highlighted temporal discharges, age, central discharges, and Lactate Dehydrogenase as leading contributors, consistent with known SeLECTS characteristics. Using 13 multicenter, routinely available features, the eXtreme Gradient Boosting model demonstrated high discrimination, good calibration, and meaningful net benefit in internal and external cohorts. Designed as a second-view aid after EEG reporting, the interpretable, lightweight model supports risk alerts and tiered review and is suitable for scalable deployment across centers.</t>
  </si>
  <si>
    <t>Li, Lijun; Ao, Lingxiang; Li, Lei; Wang, Li; Liu, Xiaomei; Liu, Kai</t>
  </si>
  <si>
    <t>Liu, K (corresponding author), Kunming Med Univ, Childrens Hosp, 28 Shulin St, Kunming, Peoples R China.; Liu, K (corresponding author), Kunming Med Univ, Kunming Childrens Hosp, Comprehens Pediat, 28 Shulin St, Kunming, Peoples R China.</t>
  </si>
  <si>
    <t>crlee801003@sina.com; 2374539644@qq.com; 325352258@qq.com; ynkmlk@foxmail.com</t>
  </si>
  <si>
    <t>[Li, Lijun; Li, Lei; Wang, Li] Kunming Med Univ, Kunming Childrens Hosp, Neurophysiol Ctr, Kunming, Peoples R China; [Li, Lijun; Ao, Lingxiang; Li, Lei; Wang, Li; Liu, Xiaomei; Liu, Kai] Kunming Med Univ, Childrens Hosp, 28 Shulin St, Kunming, Peoples R China; [Ao, Lingxiang; Liu, Xiaomei] Kunming Med Univ, Kunming Childrens Hosp, Dept Qual &amp; Safety, Kunming, Peoples R China; [Liu, Kai] Kunming Med Univ, Kunming Childrens Hosp, Comprehens Pediat, 28 Shulin St, Kunming, Peoples R China</t>
  </si>
  <si>
    <t>Kunming Medical University; Kunming Medical University; Kunming Medical University; Kunming Medical University</t>
  </si>
  <si>
    <t>SeLECTS-assisted identification based on structured EEG reports: Development and external validation of a multicenter machine learning model</t>
  </si>
  <si>
    <t>MEDICINE</t>
  </si>
  <si>
    <t>BECT; calibration curve; decision curve; external validation; LASSO; SHAP; XGBoost</t>
  </si>
  <si>
    <t>PREDICTION; EPILEPSY</t>
  </si>
  <si>
    <t>0025-7974</t>
  </si>
  <si>
    <t>1536-5964</t>
  </si>
  <si>
    <t>Medicine (Baltimore)</t>
  </si>
  <si>
    <t>JUL 3 2026</t>
  </si>
  <si>
    <t>e49480</t>
  </si>
  <si>
    <t>10.1097/MD.0000000000049480</t>
  </si>
  <si>
    <t>http://dx.doi.org/10.1097/MD.0000000000049480</t>
  </si>
  <si>
    <t>MD4IQ</t>
  </si>
  <si>
    <t>42410811</t>
  </si>
  <si>
    <t>WOS:001839600600040</t>
  </si>
  <si>
    <t>Yuan, SP; Chen, T; Chen, R</t>
  </si>
  <si>
    <t>Patients with early-onset kidney cancer (EOKC) face a marked decline in prognosis after distant metastasis, yet the accuracy of current predictive methods remains limited. This study aims to develop a predictive model using multiple machine learning algorithms to establish a precise tool for predicting distant metastasis in EOKC. Patients diagnosed with EOKC from 2004 to 2015 in the Surveillance, Epidemiology, and End Results (SEER) database were included in the study. After rigorous screening, a total of 8868 patients were selected for further analysis and randomly divided into a training cohort and an internal validation cohort at a 7:3 ratio. Additionally, 229 patients from the First Affiliated Hospital of Nanchang University and the First Hospital of Putian City were collected as an external validation cohort. The least absolute shrinkage and selection operator (LASSO) regression and logistic regression were used to screen key variables. Based on this, machine learning models including support vector machine (SVM), K-nearest neighbors (KNN), gradient boosting decision tree (GBDT), linear discriminant analysis (LDA), and logistic regression (LR) were constructed. The discriminative ability, calibration, and clinical utility of the models were comprehensively evaluated using accuracy, precision, F1 score, area under curve (AUC), calibration curve, and decision curve analysis (DCA). SHapley Additive exPlanations (SHAP) was applied to interpret the best-performing model, and the importance scores of the predictive variables for the best model were ranked. The probability of distant metastasis in EOKC within the SEER population was 5.20% (n = 438), while in the external validation cohort it was 6.11% (n = 14). Lasso regression, together with univariate and multivariate logistic regression, indicated that tumor T stage, N stage, pathological grade, and tumor size are independent risk factors for distant metastasis in EOKC. The GBDT model demonstrated the best AUC values across cohorts: training (AUC = 0.940, 95% CI 0.926-0.951), internal validation (AUC = 0.913, 95% CI 0.885-0.938), and external validation (AUC = 0.920, 95% CI 0.754-0.994). Calibration curves and decision curve analysis (DCA) indicate that the GBDT model exhibits strong robustness and clinical utility. The model's prediction accuracy, precision, and F1 score further support its superior predictive performance, with tumor size and tumor grade identified as the most significant features. SHAP analysis confirmed their important contributions to the model. We developed and validated an EOKC distant metastasis prediction model based on a machine learning algorithm. Its strong predictive performance and interpretability offer a reliable tool to support individualized clinical decision-making.</t>
  </si>
  <si>
    <t>Yuan, Shou Ping; Chen, Tao; Chen, Ru</t>
  </si>
  <si>
    <t>Chen, R (corresponding author), First Hosp Putian City, Dept Urol, Putian, Fujian, Peoples R China.</t>
  </si>
  <si>
    <t>chenru99999@126.com</t>
  </si>
  <si>
    <t>Fujian Provincial Natural Science Foundation of China [2023J011724]</t>
  </si>
  <si>
    <t>Fujian Provincial Natural Science Foundation of China</t>
  </si>
  <si>
    <t>This work was supported by Fujian Provincial Natural Science Foundation of China (Grant No.2023J011724).</t>
  </si>
  <si>
    <t>[Yuan, Shou Ping] First Hosp Putian City, Dept Nephrol, Putian, Fujian, Peoples R China; [Chen, Ru] First Hosp Putian City, Dept Urol, Putian, Fujian, Peoples R China; [Chen, Tao] Nanchang Univ, Affiliated Hosp 1, Jiangxi Med Coll, Dept Urol, Nanchang, Peoples R China</t>
  </si>
  <si>
    <t>Nanchang University</t>
  </si>
  <si>
    <t>Predicting distant metastasis in early-onset kidney cancer using machine learning: a SEER database study with external validation</t>
  </si>
  <si>
    <t>CLINICAL AND EXPERIMENTAL MEDICINE</t>
  </si>
  <si>
    <t>Early-onset kidney cancer; Distant metastasis; SEER; Machine learning; Predictive model</t>
  </si>
  <si>
    <t>SPRINGER-VERLAG ITALIA SRL</t>
  </si>
  <si>
    <t>MILAN</t>
  </si>
  <si>
    <t>VIA DECEMBRIO, 28, MILAN, 20137, ITALY</t>
  </si>
  <si>
    <t>1591-8890</t>
  </si>
  <si>
    <t>1591-9528</t>
  </si>
  <si>
    <t>CLIN EXP MED</t>
  </si>
  <si>
    <t>Clin. Exper. Med.</t>
  </si>
  <si>
    <t>10.1007/s10238-025-01886-7</t>
  </si>
  <si>
    <t>http://dx.doi.org/10.1007/s10238-025-01886-7</t>
  </si>
  <si>
    <t>9YU6W</t>
  </si>
  <si>
    <t>41249564</t>
  </si>
  <si>
    <t>WOS:001618262700018</t>
  </si>
  <si>
    <t>Ge, YS; Wang, GD; Liu, TT; Ji, WW; Sun, JL; Zhang, YX</t>
  </si>
  <si>
    <t>BackgroundAsthma-related mortality in the intensive care unit (ICU) remains poorly characterized, with no existing predictive models specifically designed for this high-risk population. This study aimed to develop and externally validate a machine learning-based model to predict 30-day in-hospital mortality among ICU patients with asthma.MethodsThe model was developed using data from MIMIC-IV 2.2 and externally validated on a subset of MIMIC-IV 3.1. Clinical variables from the first 24 h of ICU admission were extracted. Feature selection was conducted using both LASSO regression and the Boruta algorithm. Seven machine learning algorithms were trained and evaluated using receiver operating characteristic (ROC) curves, calibration plots, and decision curve analysis. The best-performing model was identified based on internal and external validation results. SHapley Additive exPlanations (SHAP) were employed to interpret feature importance. The final model was deployed as an interactive web-based tool.ResultsA total of 4385 ICU asthma patients were analyzed. The final XGBoost model, using 12 features, achieved the highest AUROC in both internal (0.83) and external (0.80) validation, and demonstrated the best calibration and net clinical benefit. SHAP analysis identified age, respiratory rate, RDW, urine output, and anion gap as top predictors. The model outperformed conventional ICU scores and is available as a web-based tool.ConclusionsWe developed and externally validated a robust prediction model for 30-day mortality in ICU patients with asthma. The model offers strong performance, interpretability, and clinical utility, supporting its use for real-time risk stratification and decision-making in critical care settings.</t>
  </si>
  <si>
    <t>Ge, Yuanshuo; Wang, Guangdong; Liu, Tingting; Ji, Wenwen; Sun, Jiaolin; Zhang, Yaxin</t>
  </si>
  <si>
    <t>Zhang, YX (corresponding author), Fujian Med Univ, Xiamen Humanity Hosp, Dept Neurol, 3777 XianYue Rd, Xiamen 361009, Fujian, Peoples R China.</t>
  </si>
  <si>
    <t>yaxin1996@qq.com</t>
  </si>
  <si>
    <t>Massachusetts Institute of Technology</t>
  </si>
  <si>
    <t>We would like to thank the Massachusetts Institute of Technology and the Beth Israel Deaconess Medical Center for the MIMIC-IV database.</t>
  </si>
  <si>
    <t>[Ge, Yuanshuo] Jinzhou Med Univ, Jinzhou 121001, Liaoning, Peoples R China; [Wang, Guangdong; Liu, Tingting; Ji, Wenwen] Xi An Jiao Tong Univ, Dept Resp &amp; Crit Care Med, Affiliated Hosp 1, Xian 710061, Shaanxi, Peoples R China; [Sun, Jiaolin] Shanxi Prov Peoples Hosp, Dept Resp &amp; Crit Care Med, Xian 710068, Shanxi, Peoples R China; [Zhang, Yaxin] Fujian Med Univ, Xiamen Humanity Hosp, Dept Neurol, 3777 XianYue Rd, Xiamen 361009, Fujian, Peoples R China</t>
  </si>
  <si>
    <t>Jinzhou Medical University; Xi'an Jiaotong University; Shanxi People's Hospital; Fujian Medical University</t>
  </si>
  <si>
    <t>Predicting 30-day in-hospital mortality in ICU asthma patients: a retrospective machine learning study with external validation</t>
  </si>
  <si>
    <t>BMC PULMONARY MEDICINE</t>
  </si>
  <si>
    <t>Asthma; Intensive care unit; Machine learning; Mortality prediction; XGBoost</t>
  </si>
  <si>
    <t>MODEL; RISK</t>
  </si>
  <si>
    <t>Wang, Guangdong/NGR-9009-2025</t>
  </si>
  <si>
    <t>1471-2466</t>
  </si>
  <si>
    <t>BMC PULM MED</t>
  </si>
  <si>
    <t>BMC Pulm. Med.</t>
  </si>
  <si>
    <t>AUG 12 2025</t>
  </si>
  <si>
    <t>387</t>
  </si>
  <si>
    <t>10.1186/s12890-025-03881-w</t>
  </si>
  <si>
    <t>http://dx.doi.org/10.1186/s12890-025-03881-w</t>
  </si>
  <si>
    <t>6BZ5I</t>
  </si>
  <si>
    <t>40797171</t>
  </si>
  <si>
    <t>WOS:001549740500001</t>
  </si>
  <si>
    <t>Smith, BH; Wolfe, JG; Karam, A; Demaerschalk, BM; Hrdlicka, CM; Nasr, DM; Chukwudelunzu, FE; Nord, CA; Pahl, EA; Fernandez, C; Wood, S; Woodhead, ZVJ; Carone, D; Harston, G; English, SW</t>
  </si>
  <si>
    <t>Objective: To explore the real-world impact of artificial intelligence-driven decision support imaging software for patients with acute ischemic stroke in a mature telestroke network in the United States. Patients and methods: We conducted a prospective evaluation of stroke imaging support software in a robust, predominantly rural telestroke network (17 sites in Minnesota and Wisconsin). Data was collected from all patients who underwent video telestroke evaluation in a 3-month preimplementation period before installation of the software (from February 10, 2024 to May 9, 2024) and a 3-month postimplementation period while the software was in use (from May 10, 2024 to August 9, 2024). The preimplementation and postimplementation cohorts were directly compared (no control group included). Primary outcome measures were treatment rates and time to treatment (both treatment decision and delivery) for intravenous thrombolysis (IVT) and endovascular therapy (EVT); secondary outcomes included transfer rates, transfer times, and end user survey results. Results: Total of 444 telestroke cases were included in the preimplementation period, and 463 in the postimplementation period. Comparing preimplementation and postimplementation periods, the rate of IVT treatment delivery rose from 26.6% to 35.0% of potentially eligible patients (P=.24), whereas EVT treatment delivery remained at 31%. Time to IVT delivery reduced from 47 minutes to 41 minutes (P=.772), and time to EVT treatment rose from 156 minutes to 157 minutes (P=.771). Overall rates of treatment (IVT or EVT) rose from 23.1% to 23.9% of potentially eligible patients (P=.944). Although none of the clinical outcomes reached statistical significance, the survey results reported good user satisfaction with algorithm performance and image viewing. Conclusion: This study reported a nonsignificant increase in treatment rates and a decrease in time to treatment decisions. Future trials with larger sample sizes are needed to validate the real-world benefits of decision support software for acute ischemic stroke in an established telestroke network. (c) 2025 THE AUTHORS. Published by Elsevier Inc on behalf of Mayo Foundation for Medical Education and Research. This is an open access article under the CC BY-NC-ND license (http://creativecommons.org/licenses/by-nc-nd/4.0/) &lt;black square&gt; Mayo Clin Proc Inn Qual Out 2025;9(4):100631</t>
  </si>
  <si>
    <t>Smith, Brett H.; Wolfe, Jackson G.; Karam, Alvina; Demaerschalk, Bart M.; Hrdlicka, Courtney M.; Nasr, Deena M.; Chukwudelunzu, Felix E.; Nord, Charisse A.; Pahl, Emily A.; Fernandez, Claire; Wood, Sam; Woodhead, Zoe V. J.; Carone, Davide; Harston, George; English, Stephen W.</t>
  </si>
  <si>
    <t>English, SW (corresponding author), Mayo Clin, Dept Neurol, 4500 San Pablo Rd, Jacksonville, FL 32224 USA.</t>
  </si>
  <si>
    <t>English.stephen@mayo.edu</t>
  </si>
  <si>
    <t>[Smith, Brett H.; Wolfe, Jackson G.; Karam, Alvina; English, Stephen W.] Mayo Clin, Dept Neurol, 4500 San Pablo Rd, Jacksonville, FL 32224 USA; [Demaerschalk, Bart M.; Hrdlicka, Courtney M.] Mayo Clin, Dept Neurol, Phoenix, AZ USA; [Demaerschalk, Bart M.; Nasr, Deena M.; Nord, Charisse A.; Pahl, Emily A.] Mayo Clin, Coll Med &amp; Sci, Ctr Digital Hlth, Phoenix, AZ USA; [Nasr, Deena M.; Nord, Charisse A.; Pahl, Emily A.] Mayo Clin, Dept Neurol, Rochester, MN USA; [Chukwudelunzu, Felix E.] Mayo Clin Hlth Syst, Dept Neurol, Eau Claire, WI USA; [Fernandez, Claire; Wood, Sam; Woodhead, Zoe V. J.; Carone, Davide; Harston, George] Brainomix Ltd, Oxford, England; [Carone, Davide; Harston, George] Oxford Univ Hosp NHS Fdn Trust, Oxford, England</t>
  </si>
  <si>
    <t>Mayo Clinic; Mayo Clinic; Mayo Clinic Phoenix; Mayo Clinic; Mayo Clinic Phoenix; Mayo Clinic; Oxford University Hospitals NHS Foundation Trust</t>
  </si>
  <si>
    <t>Prospective Evaluation of Artificial Intelligence Imaging Support Software for Acute Ischemic Stroke in the Mayo Clinic Telestroke Network</t>
  </si>
  <si>
    <t>MAYO CLINIC PROCEEDINGS-INNOVATIONS QUALITY &amp; OUTCOMES</t>
  </si>
  <si>
    <t>THROMBECTOMY; GUIDELINES; MANAGEMENT</t>
  </si>
  <si>
    <t>/AFQ-3738-2022</t>
  </si>
  <si>
    <t>Harston, George/0000-0003-4916-5757</t>
  </si>
  <si>
    <t>2542-4548</t>
  </si>
  <si>
    <t>MAYO CLIN P INN QUAL</t>
  </si>
  <si>
    <t>Mayo Clin. Proc. Innov. Qual. Outcomes</t>
  </si>
  <si>
    <t>100631</t>
  </si>
  <si>
    <t>10.1016/j.mayocpiqo.2025.100631</t>
  </si>
  <si>
    <t>http://dx.doi.org/10.1016/j.mayocpiqo.2025.100631</t>
  </si>
  <si>
    <t>Health Care Sciences &amp; Services; Medicine, General &amp; Internal</t>
  </si>
  <si>
    <t>Health Care Sciences &amp; Services; General &amp; Internal Medicine</t>
  </si>
  <si>
    <t>6IA9C</t>
  </si>
  <si>
    <t>40519841</t>
  </si>
  <si>
    <t>WOS:001553852000008</t>
  </si>
  <si>
    <t>Zhang, F; Liu, PJ; Zhan, JY; Cheng, J; Tan, HX; Zhang, JH; Song, MQ; Wu, FY; Lin, QY; Shi, ZB; Yang, CJ; Wang, MA; Li, Q; Wang, Y; Li, LB; Li, JX</t>
  </si>
  <si>
    <t>Objectives Identification of abnormal promyelocytes is crucial for early diagnosis of Acute promyelocytic leukaemia (APL) and for reducing the early mortality rate of APL patients, which can be achieved by microscopic blood smear observation. However, microscopic observation has shortcomings, including interobserver variability and training difficulty. This is the first study evaluating the performance of MC-100i, an artificial intelligence (AI)-based digital morphology analyser, in identifying abnormal promyelocytes in blood smears and thus assisting in the early screening of APL.Methods One hundred ninety-two patients suspected of having APL were enrolled prospectively. The precision, accuracy, consistency with manual classification and turnaround time of MC-100i were studied in detail.Results The precision of MC-100i in identifying all cell types was acceptable. MC-100i had excellent performance in preclassifying normal cell types, but its sensitivities for identifying blasts, abnormal promyelocytes, promyelocytes and neutrophilic myelocytes were relatively low, respectively. The Passing-Bablok and Bland-Altman tests revealed that the preclassification abnormal promyelocyte percentage obtained with MC-100i was proportionally different from that obtained with manual classification, whereas the postclassification and manual classification results were consistent. The clinical sensitivity and specificity for the early screening of APL were 95.8% and 100.0%, respectively. The turnaround and classification times were significantly shorter with the use of MC-100i for both the technologist and the experienced expert.Conclusions MC-100i is an effective tool for identifying abnormal promyelocytes in blood smears and assisting in the early screening of APL. It is useful when experienced morphological experts or advanced tests are not available.</t>
  </si>
  <si>
    <t>Zhang, Fan; Liu, Pingjuan; Zhan, Jieyu; Cheng, Jing; Tan, Hongxia; Zhang, Jiahang; Song, Meiqi; Wu, Fengying; Lin, Qiuyi; Shi, Zhuangbiao; Yang, Chanjun; Wang, Meinan; Li, Qiu; Wang, Yang; Li, Liubing; Li, Junxun</t>
  </si>
  <si>
    <t>Wang, Y; Li, LB; Li, JX (corresponding author), Sun Yatsen Univ, Affiliated Hosp 1, Dept Med Lab, Guangzhou, Peoples R China.</t>
  </si>
  <si>
    <t>lijunx5@mail.sysu.edu.cn; liliub8@mail.sysu.edu.cn; wangy2363@mail.sysu.edu.cn</t>
  </si>
  <si>
    <t>Guangdong Province Basic and Applied Basic Research Fund [2023A1515220150]; Wu Jie Ping Medical Foundation [H2023053]</t>
  </si>
  <si>
    <t>Guangdong Province Basic and Applied Basic Research Fund; Wu Jie Ping Medical Foundation</t>
  </si>
  <si>
    <t>The author(s) declare that financial support was received for the research and/or publication of this article. This study is supported by the "Guangdong Province Basic and Applied Basic Research Fund (No. 2023A1515220150)" and the "Construction and Application of an Artificial Intelligence-based Hematological Cell Morphology Teaching Platform" programme from the "Wu Jie Ping Medical Foundation (H2023053)".</t>
  </si>
  <si>
    <t>[Zhang, Fan; Liu, Pingjuan; Cheng, Jing; Tan, Hongxia; Wang, Yang; Li, Liubing; Li, Junxun] Sun Yatsen Univ, Affiliated Hosp 1, Dept Med Lab, Guangzhou, Peoples R China; [Zhan, Jieyu] Baiyun Dist Maternal &amp; Child Healthcare Ctr, Dept Pediat, Guangzhou, Peoples R China; [Zhang, Jiahang; Song, Meiqi] Guangdong Med Univ, Sch Med Technol, Dongguan, Peoples R China; [Wu, Fengying; Lin, Qiuyi; Shi, Zhuangbiao] Nanfang Coll, Yunkang Sch Med &amp; Hlth, Guangzhou, Peoples R China; [Yang, Chanjun] Shantou Univ, Affiliated Hosp 2, Med Coll, Dept Blood Transfus, Shantou, Peoples R China; [Wang, Meinan] Mindray Biomed Elect Co Ltd, IVD Domest Clin Applicat Dept, Shenzhen, Guangdong, Peoples R China; [Li, Qiu] Southern Med Univ, Sch Lab Med &amp; Biotechnol, Guangzhou, Peoples R China</t>
  </si>
  <si>
    <t>Sun Yat Sen University; Guangdong Medical University; Nanfang College Guangzhou; Southern Medical University - China</t>
  </si>
  <si>
    <t>Artificial intelligence-assisted early screening of acute promyelocytic leukaemia in blood smears: a prospective evaluation of MC-100i</t>
  </si>
  <si>
    <t>FRONTIERS IN ONCOLOGY</t>
  </si>
  <si>
    <t>acute promyelocytic leukaemia; MC-100i; early screening; artificial intelligence; morphology; blood smears; automated digital blood cell morphology analyser</t>
  </si>
  <si>
    <t>MORTALITY; SAMPLES</t>
  </si>
  <si>
    <t>Wu, fengying/AAR-9996-2021; Li, JunXun/JMB-2627-2023</t>
  </si>
  <si>
    <t>2234-943X</t>
  </si>
  <si>
    <t>FRONT ONCOL</t>
  </si>
  <si>
    <t>Front. Oncol.</t>
  </si>
  <si>
    <t>APR 7 2025</t>
  </si>
  <si>
    <t>1572838</t>
  </si>
  <si>
    <t>10.3389/fonc.2025.1572838</t>
  </si>
  <si>
    <t>http://dx.doi.org/10.3389/fonc.2025.1572838</t>
  </si>
  <si>
    <t>1PI4Z</t>
  </si>
  <si>
    <t>40260295</t>
  </si>
  <si>
    <t>WOS:001470461300001</t>
  </si>
  <si>
    <t>Belue, MJ; Mukhtar, V; Ram, R; Gokden, N; Jose, J; Massey, JL; Biben, E; Buddha, S; Langford, T; Shah, S; Harmon, SA; Turkbey, B; Aydin, AM</t>
  </si>
  <si>
    <t>Purpose: Prostate imaging reporting and data systems (PI-RADS) experiences considerable variability in inter-reader performance. Artificial Intelligence (AI) algorithms were suggested to provide comparable performance to PI-RADS for assessing prostate cancer (PCa) risk, albeit tested in highly selected cohorts. This study aimed to assess an AI algorithm for PCa detection in a clinical practice setting and simulate integration of the AI model with PI-RADS for assessment of indeterminate PI-RADS 3 lesions. Patients and Methods: This retrospective cohort study externally validated a biparametric MRI-based AI model for PCa detection in a consecutive cohort of patients who underwent prostate MRI and subsequently targeted and systematic prostate biopsy at a urology clinic between January 2022 and March 2024. Radiologist interpretations followed PI-RADS v2.1, and biopsies were conducted per PI-RADS scores. The previously developed AI model provided lesion segmentations and cancer probability maps which were compared to biopsy results. Additionally, we conducted a simulation to adjust biopsy thresholds for index PI-RADS category 3 studies, where AI predictions within these studies upgraded them to PI-RADS category 4. Results: Among 144 patients with a median age of 70 years and PSA density of 0.17 ng/mL/cc, AI's sensitivity for detection of PCa (86.6%) and clinically significant PCa (csPCa, 88.4%) was comparable to radiologists (85.7%, p = 0.84, and 89.5%, p = 0.80, respectively). The simulation combining radiologist and AI evaluations improved clinically significant PCa sensitivity by 5.8% (p = 0.025). The combination of AI, PI-RADS and PSA density provided the best diagnostic performance for csPCa (area under the curve [AUC] = 0.76). Conclusion: The AI algorithm demonstrated comparable PCa detection rates to PI-RADS. The combination of AI with radiologist interpretation improved sensitivity and could be instrumental in assessment of low-risk and indeterminate PI-RADS lesions. The role of AI in PCa screening remains to be further elucidated.</t>
  </si>
  <si>
    <t>Belue, Mason J.; Mukhtar, Vaneeza; Ram, Roopa; Gokden, Neriman; Jose, Joe; Massey, Jackson L.; Biben, Emily; Buddha, Suryakala; Langford, Timothy; Shah, Sumit; Harmon, Stephanie A.; Turkbey, Baris; Aydin, Ahmet Murat</t>
  </si>
  <si>
    <t>Aydin, AM (corresponding author), Univ Arkansas Med Sci, Dept Urol, Little Rock, AR 72205 USA.</t>
  </si>
  <si>
    <t>ahmetmurataydin@gmail.com</t>
  </si>
  <si>
    <t>[Belue, Mason J.; Mukhtar, Vaneeza; Massey, Jackson L.; Biben, Emily; Langford, Timothy; Aydin, Ahmet Murat] Univ Arkansas Med Sci, Dept Urol, Little Rock, AR 72205 USA; [Ram, Roopa; Jose, Joe; Buddha, Suryakala; Shah, Sumit] Univ Arkansas Med Sci, Dept Radiol, Little Rock, AR USA; [Gokden, Neriman] Univ Arkansas Med Sci, Dept Pathol, Little Rock, AR USA; [Harmon, Stephanie A.] NCI, NIH, Artificial Intelligence Resource, Bethesda, MD USA; [Turkbey, Baris] NCI, NIH, Mol Imaging Branch, Bethesda, MD USA</t>
  </si>
  <si>
    <t>University of Arkansas System; University of Arkansas Medical Sciences; University of Arkansas System; University of Arkansas Medical Sciences; University of Arkansas System; University of Arkansas Medical Sciences; National Institutes of Health (NIH) - USA; NIH National Cancer Institute (NCI); National Institutes of Health (NIH) - USA; NIH National Cancer Institute (NCI)</t>
  </si>
  <si>
    <t>External Validation of an Artificial Intelligence Algorithm Using Biparametric MRI and Its Simulated Integration with Conventional PI-RADS for Prostate Cancer Detection</t>
  </si>
  <si>
    <t>Artificial intelligence; Machine learning; Magnetic resonance imaging; Prostate cancer; Prostate biopsy</t>
  </si>
  <si>
    <t>GUIDELINES</t>
  </si>
  <si>
    <t>Belue, Mason/0000-0002-1298-9958; Aydin, Ahmet Murat/0000-0002-6047-8431</t>
  </si>
  <si>
    <t>3823</t>
  </si>
  <si>
    <t>10.1016/j.acra.2025.03.039</t>
  </si>
  <si>
    <t>http://dx.doi.org/10.1016/j.acra.2025.03.039</t>
  </si>
  <si>
    <t>4NR3K</t>
  </si>
  <si>
    <t>40221284</t>
  </si>
  <si>
    <t>WOS:001522341300002</t>
  </si>
  <si>
    <t>König, S; Hohenstein, S; Nitsche, A; Pellissier, V; Leiner, J; Stellmacher, L; Hindricks, G; Bollmann, A</t>
  </si>
  <si>
    <t>Aims The diagnostic application of artificial intelligence (AI)-based models to detect cardiovascular diseases from electrocardiograms (ECGs) evolves, and promising results were reported. However, external validation is not available for all published algorithms. The aim of this study was to validate an existing algorithm for the detection of left ventricular systolic dysfunction (LVSD) from 12-lead ECGs.Methods and results Patients with digitalized data pairs of 12-lead ECGs and echocardiography (at intervals of &lt;= 7 days) were retrospectively selected from the Heart Center Leipzig ECG and electronic medical records databases. A previously developed AI-based model was applied to ECGs and calculated probabilities for LVSD. The area under the receiver operating characteristic curve (AUROC) was computed overall and in cohorts stratified for baseline and ECG characteristics. Repeated echocardiography studies recorded &gt;= 3 months after index diagnostics were used for follow-up (FU) analysis. At baseline, 42 291 ECG-echocardiography pairs were analysed, and AUROC for LVSD detection was 0.88. Sensitivity and specificity were 82% and 77% for the optimal LVSD probability cut-off based on Youden's J. AUROCs were lower in ECG subgroups with tachycardia, atrial fibrillation, and wide QRS complexes. In patients without LVSD at baseline and available FU, model-generated high probability for LVSD was associated with a four-fold increased risk of developing LVSD during FU.Conclusion We provide the external validation of an existing AI-based ECG-analysing model for the detection of LVSD with robust performance metrics. The association of false positive LVSD screenings at baseline with a deterioration of ventricular function during FU deserves a further evaluation in prospective trials.Graphical Abstract</t>
  </si>
  <si>
    <t>Koenig, Sebastian; Hohenstein, Sven; Nitsche, Anne; Pellissier, Vincent; Leiner, Johannes; Stellmacher, Lars; Hindricks, Gerhard; Bollmann, Andreas</t>
  </si>
  <si>
    <t>König, S (corresponding author), Univ Leipzig, Dept Electrophysiol, Heart Ctr Leipzig, Strumpellstr 39, D-04289 Leipzig, Germany.; König, S (corresponding author), Helios Hlth Inst, Real World Evidence &amp; Hlth Technol Assessment, Schwanebecker Chaussee 50, D-13125 Berlin, Germany.</t>
  </si>
  <si>
    <t>sebastian.koenig@helios-gesundheit.de</t>
  </si>
  <si>
    <t>[Koenig, Sebastian; Leiner, Johannes; Stellmacher, Lars; Hindricks, Gerhard; Bollmann, Andreas] Univ Leipzig, Dept Electrophysiol, Heart Ctr Leipzig, Strumpellstr 39, D-04289 Leipzig, Germany; [Koenig, Sebastian; Hohenstein, Sven; Nitsche, Anne; Pellissier, Vincent; Leiner, Johannes; Stellmacher, Lars; Bollmann, Andreas] Helios Hlth Inst, Real World Evidence &amp; Hlth Technol Assessment, Schwanebecker Chaussee 50, D-13125 Berlin, Germany</t>
  </si>
  <si>
    <t>Heart Center Leipzig GMBH; Leipzig University</t>
  </si>
  <si>
    <t>Artificial intelligence-based identification of left ventricular systolic dysfunction from 12-lead electrocardiograms: external validation and advanced application of an existing model</t>
  </si>
  <si>
    <t>Artificial intelligence; Electrocardiogram; Left ventricular systolic dysfunction; Heart failure</t>
  </si>
  <si>
    <t>HEART-FAILURE; EJECTION FRACTION; PREDICTORS; ALGORITHM; MORTALITY; WOMEN; RISK</t>
  </si>
  <si>
    <t>Leiner, Johannes/KIB-4578-2024</t>
  </si>
  <si>
    <t>Leiner, Johannes/0000-0003-3678-0208; Nitsche, Anne/0000-0002-3174-5166; Hohenstein, Sven/0000-0002-9708-1593; Bollmann, Andreas/0000-0002-5441-3906</t>
  </si>
  <si>
    <t>MAR 18 2024</t>
  </si>
  <si>
    <t>144</t>
  </si>
  <si>
    <t>10.1093/ehjdh/ztad081</t>
  </si>
  <si>
    <t>http://dx.doi.org/10.1093/ehjdh/ztad081</t>
  </si>
  <si>
    <t>LI3L8</t>
  </si>
  <si>
    <t>38505486</t>
  </si>
  <si>
    <t>WOS:001133770300001</t>
  </si>
  <si>
    <t>Wang, MH; Xia, C; Huang, L; Xu, SB; Qin, C; Liu, J; Cao, Y; Yu, PX; Zhu, TT; Zhu, H; Wu, CN; Zhang, RG; Chen, XY; Wang, JM; Du, G; Zhang, C; Wang, SK; Chen, K; Liu, Z; Xia, LM; Wang, W</t>
  </si>
  <si>
    <t>Background Prompt identification of patients suspected to have COVID-19 is crucial for disease control. We aimed to develop a deep learning algorithm on the basis of chest CT for rapid triaging in fever clinics.Methods We trained a U-Net-based model on unenhanced chest CT scans obtained from 2447 patients admitted to Tongji Hospital (Wuhan, China) between Feb 1, 2020, and March 3, 2020 ( 1647 patients with RT-PCR-confirmed COVID-19 and 800 patients without COVID-19) to segment lung opacities and alert cases with COVID-19 imaging manifestations. The ability of artificial intelligence (AI) to triage patients suspected to have COVID-19 was assessed in a large external validation set, which included 2120 retrospectively collected consecutive cases from three fever clinics inside and outside the epidemic centre of Wuhan (Tianyou Hospital [Wuhan, China; area of high COVID-19 prevalence], Xianning Central Hospital [Xianning, China; area of medium COVID-19 prevalence], and The Second Xiangya Hospital [Changsha, China; area of low COVID-19 prevalence]) between Jan 22, 2020, and Feb 14, 2020. To validate the sensitivity of the algorithm in a larger sample of patients with COVID-19, we also included 761 chest CT scans from 722 patients with RT-PCR-confirmed COVID-19 treated in a makeshift hospital (Guanggu Fangcang Hospital, Wuhan, China) between Feb 21, 2020, and March 6, 2020. Additionally, the accuracy of AI was compared with a radiologist panel for the identification of lesion burden increase on pairs of CT scans obtained from 100 patients with COVID-19.Findings In the external validation set, using radiological reports as the reference standard, AI-aided triage achieved an area under the curve of 0.953 (95% CI 0.949-0.959), with a sensitivity of 0.923 (95% CI 0.914-0.932), specificity of 0.851 (0.842-0.860), a positive predictive value of 0.790 (0.777-0.803), and a negative predictive value of 0.948 (0.941-0.954). AI took a median of 0.55 min (IQR: 0.43-0.63) to flag a positive case, whereas radiologists took a median of 16.21 min (11.67-25.71) to draft a report and 23.06 min (15.67-39.20) to release a report. With regard to the identification of increases in lesion burden, AI achieved a sensitivity of 0.962 (95% CI 0.947-1.000) and a specificity of 0.875 (95 %CI 0.833-0.923). The agreement between AI and the radiologist panel was high (Cohen's kappa coefficient 0.839, 95% CI 0.718-0.940).Interpretation A deep learning algorithm for triaging patients with suspected COVID-19 at fever clinics was developed and externally validated. Given its high accuracy across populations with varied COVID-19 prevalence, integration of this system into the standard clinical workflow could expedite identification of chest CT scans with imaging indications of COVID-19.</t>
  </si>
  <si>
    <t>Wang, Minghuan; Xia, Chen; Huang, Lu; Xu, Shabei; Qin, Chuan; Liu, Jun; Cao, Ying; Yu, Pengxin; Zhu, Tingting; Zhu, Hui; Wu, Chaonan; Zhang, Rongguo; Chen, Xiangyu; Wang, Jianming; Du, Guang; Zhang, Chen; Wang, Shaokang; Chen, Kuan; Liu, Zheng; Xia, Liming; Wang, Wei</t>
  </si>
  <si>
    <t>Wang, W (corresponding author), Huazhong Univ Sci &amp; Technol, Tongji Hosp, Tongji Med Coll, Dept Neurol, Wuhan 430030, Peoples R China.</t>
  </si>
  <si>
    <t>wwang@vip.126.com</t>
  </si>
  <si>
    <t>Special Project for Emergency of the Science and Technology Department of Hubei Province, China</t>
  </si>
  <si>
    <t>Special Project for Emergency of the Science and Technology Department of Hubei Province, China.</t>
  </si>
  <si>
    <t>[Wang, Minghuan; Xu, Shabei; Qin, Chuan; Wang, Wei] Huazhong Univ Sci &amp; Technol, Tongji Hosp, Tongji Med Coll, Dept Neurol, Wuhan 430030, Peoples R China; [Huang, Lu; Zhu, Tingting; Zhu, Hui; Wu, Chaonan; Xia, Liming] Huazhong Univ Sci &amp; Technol, Tongji Hosp, Tongji Med Coll, Dept Radiol, Wuhan, Peoples R China; [Liu, Zheng] Huazhong Univ Sci &amp; Technol, Tongji Hosp, Tongji Med Coll, Dept Otolaryngol Head &amp; Neck Surg, Wuhan, Peoples R China; [Xia, Chen; Cao, Ying; Yu, Pengxin; Zhang, Rongguo; Wang, Shaokang; Chen, Kuan] Beijing Infervis Technol, Beijing, Peoples R China; [Liu, Jun] Cent South Univ, Xiangya Hosp 2, Dept Radiol, Changsha, Peoples R China; [Wang, Jianming] Wuhan Univ Sci &amp; Technol, Affiliated Tianyou Hosp, Dept Hepatobiliary Pancreat Surg, Wuhan, Peoples R China; [Du, Guang] Xianning Ctr Hosp, Huanggang, Peoples R China; [Chen, Xiangyu; Zhang, Chen] Southern Univ Sci AndTechnol, Affiliated Hosp 2, Peoples Hosp Shenzhen 3, Dept Radiol,Natl Clin Res Ctr Infect Dis, Shenzhen, Peoples R China</t>
  </si>
  <si>
    <t>Huazhong University of Science &amp; Technology; Huazhong University of Science &amp; Technology; Huazhong University of Science &amp; Technology; Central South University; Wuhan University of Science &amp; Technology</t>
  </si>
  <si>
    <t>Deep learning-based triage and analysis of lesion burden for COVID-19: a retrospective study with external validation</t>
  </si>
  <si>
    <t>AI SYSTEM; PNEUMONIA; CANCER</t>
  </si>
  <si>
    <t>Liu, Jun/AAW-9645-2020; xu, shabei/C-9220-2014; Yu, Pengxin/AFX-8038-2022; Xu, Shabei/C-9220-2014; Cao, Yingming/PFR-2386-2026; chen, xiangyu/HSH-1698-2023; Qin, Chuan/KXW-2212-2024</t>
  </si>
  <si>
    <t>Liu, Jun/0000-0002-7851-6782; Yu, Pengxin/0000-0003-4065-0377; Xu, Shabei/0000-0001-5409-2092; Zhang, Rongguo/0000-0001-6566-8843</t>
  </si>
  <si>
    <t>73</t>
  </si>
  <si>
    <t>87</t>
  </si>
  <si>
    <t>OCT 2020</t>
  </si>
  <si>
    <t>E506</t>
  </si>
  <si>
    <t>E515</t>
  </si>
  <si>
    <t>OF3XN</t>
  </si>
  <si>
    <t>32984796</t>
  </si>
  <si>
    <t>WOS:000581145100008</t>
  </si>
  <si>
    <t>Lin, KY; Li, YT; Han, JY; Wu, CC; Chu, CM; Peng, SY; Yeh, TT</t>
  </si>
  <si>
    <t>Objective: To use deep learning to predict the probability of triangular fibrocartilage complex (TFCC) injury in patients' MRI scans. Methods: We retrospectively studied medical records over 11 years and 2 months (1 January 2009-29 February 2019), collecting 332 contrast-enhanced hand MRI scans showing TFCC injury (143 scans) or not (189 scans) from a general hospital. We employed two convolutional neural networks with the MRNet (Algorithm 1) and ResNet50 (Algorithm 2) framework for deep learning. Explainable artificial intelligence was used for heatmap analysis. We tested deep learning using an external dataset containing the MRI scans of 12 patients with TFCC injuries and 38 healthy subjects. Results: In the internal dataset, Algorithm 1 had an AUC of 0.809 (95% confidence interval-CI: 0.670-0.947) for TFCC injury detection as well as an accuracy, sensitivity, and specificity of 75.6% (95% CI: 0.613-0.858), 66.7% (95% CI: 0.438-0.837), and 81.5% (95% CI: 0.633-0.918), respectively, and an F1 score of 0.686. Algorithm 2 had an AUC of 0.871 (95% CI: 0.747-0.995) for TFCC injury detection and an accuracy, sensitivity, and specificity of 90.7% (95% CI: 0.787-0.962), 88.2% (95% CI: 0.664-0.966), and 92.3% (95% CI: 0.763-0.978), respectively, and an F1 score of 0.882. The accuracy, sensitivity, and specificity for radiologist 1 were 88.9, 94.4 and 85.2%, respectively, and for radiologist 2, they were 71.1, 100 and 51.9%, respectively. Conclusions: A modified MRNet framework enables the detection of TFCC injury and guides accurate diagnosis.</t>
  </si>
  <si>
    <t>Lin, Kun-Yi; Li, Yuan-Ta; Han, Juin-Yi; Wu, Chia-Chun; Chu, Chi-Min; Peng, Shao-Yu; Yeh, Tsu-Te</t>
  </si>
  <si>
    <t>Yeh, TT (corresponding author), Triserv Gen Hosp, Natl Def Med Ctr, Dept Orthoped, 325,Sec 2,Chenggong Rd, Taipei 11490, Taiwan.</t>
  </si>
  <si>
    <t>orthopedicslyt@gmail.com; jujilincow@yahoo.com.tw; tsutey@gmail.com; doc20281@gmail.com; sypeng@mail.npust.edu.tw; mikehan45@gmail.com; chuchming@web.de</t>
  </si>
  <si>
    <t>[Lin, Kun-Yi; Wu, Chia-Chun; Yeh, Tsu-Te] Triserv Gen Hosp, Natl Def Med Ctr, Dept Orthoped, 325,Sec 2,Chenggong Rd, Taipei 11490, Taiwan; [Li, Yuan-Ta] Triserv Gen Hosp, Natl Def Med Ctr, Dept Surg, Penghu Branch, Neipu 88056, Penghu, Taiwan; [Han, Juin-Yi] Natl Chengchi Univ, Grad Inst Technol Innovat &amp; Intellectual Property, Taipei 11605, Taiwan; [Chu, Chi-Min] Natl Def Med Ctr, Sch Publ Hlth, Taipei 11490, Taiwan; [Peng, Shao-Yu] Natl Pingtung Univ Sci &amp; Technol, Dept Anim Sci, Pingtung 91201, Taiwan</t>
  </si>
  <si>
    <t>Tri-Service General Hospital; National Defense Medical University; Tri-Service General Hospital; National Defense Medical University; National Chengchi University; National Defense Medical University; National Pingtung University Science &amp; Technology</t>
  </si>
  <si>
    <t>Deep Learning to Detect Triangular Fibrocartilage Complex Injury in Wrist MRI: Retrospective Study with Internal and External Validation</t>
  </si>
  <si>
    <t>JOURNAL OF PERSONALIZED MEDICINE</t>
  </si>
  <si>
    <t>deep learning; magnetic resonance imaging; triangular fibrocartilage complex; retrospective study; data analysis</t>
  </si>
  <si>
    <t>ARTIFICIAL-INTELLIGENCE; RIB FRACTURES</t>
  </si>
  <si>
    <t>Yeh, Tsu-Te/AGP-0008-2022; Lin, Kun-Yi/B-2503-2015</t>
  </si>
  <si>
    <t>Li, Yuan Ta/0000-0003-4554-3757; Wu, Chia-Chun/0000-0003-2563-8679; Yeh, Tsu-Te/0000-0002-9766-9290</t>
  </si>
  <si>
    <t>2075-4426</t>
  </si>
  <si>
    <t>J PERS MED</t>
  </si>
  <si>
    <t>J. Pers. Med.</t>
  </si>
  <si>
    <t>1029</t>
  </si>
  <si>
    <t>10.3390/jpm12071029</t>
  </si>
  <si>
    <t>http://dx.doi.org/10.3390/jpm12071029</t>
  </si>
  <si>
    <t>3J0WA</t>
  </si>
  <si>
    <t>35887524</t>
  </si>
  <si>
    <t>WOS:000833124100001</t>
  </si>
  <si>
    <t>Hsu, TK; Lai, IP; Tsai, MJ; Lee, PJ; Hung, KC; Yang, S; Chan, LW; Lin, IC; Chang, WH; Huang, YJ; Cheng, MC; Hsieh, YT</t>
  </si>
  <si>
    <t>Purpose: To develop a deep learning image assessment software, VeriSeeTM AMD, and to validate its accuracy in diagnosing referable age-related macular degeneration (AMD). Methods: For model development, a total of 6801 judgable 45-degree color fundus images from patients, aged 50 years and over, were collected. These images were assessed for AMD severity by ophthalmologists, according to the Age-Related Eye Disease Studies (AREDS) AMD category. Referable AMD was defined as category three (intermediate) or four (advanced). Of these images, 6123 were used for model training and validation. The other 678 images were used for testing the accuracy of VeriSeeTM AMD relative to the ophthalmologists. Area under the receiver operating characteristic curve (AUC) for VeriSeeTM AMD, and the sensitivities and specificities for VeriSeeTM AMD and ophthalmologists were calculated. For external validation, another 937 color fundus images were used to test the accuracy of VeriSeeTM AMD. Results: During model development, the AUC for VeriSeeTM AMD in diagnosing referable AMD was 0.961. The accuracy for VeriSeeTM AMD for testing was 92.04% (sensitivity 90.0% and specificity 92.43%). The mean accuracy of the ophthalmologists in diagnosing referable AMD was 85.8% (range: 75.93%-97.31%). During external validation, VeriSee AMD achieved a sensitivity of 90.03%, a specificity of 96.44%, and an accuracy of 92.04%. Conclusion: VeriSeeTM AMD demonstrated good sensitivity and specificity in diagnosing referable AMD from color fundus images. The findings of this study support the use of VeriSeeTM AMD in assisting with the clinical screening of intermediate and advanced AMD using color fundus photography.</t>
  </si>
  <si>
    <t>Hsu, Tsui-Kang; Lai, Ivan Pochou; Tsai, Meng-Ju; Lee, Pei-Jung; Hung, Kuo-Chi; Yang, Shihyi; Chan, Li-Wei; Lin, I. -Chan; Chang, Wei-Hao; Huang, Yi-Jin; Cheng, Meng-Che; Hsieh, Yi-Ting</t>
  </si>
  <si>
    <t>Hsieh, YT (corresponding author), Natl Taiwan Univ Hosp, Dept Ophthalmol, 7 Zhongshan S Rd, Taipei 10002, Taiwan.</t>
  </si>
  <si>
    <t>Acer Medical Inc.; National Taiwan University Hospital</t>
  </si>
  <si>
    <t>Acer Medical Inc.; National Taiwan University Hospital (National Taiwan University)</t>
  </si>
  <si>
    <t>Acer Medical Inc. and National Taiwan University Hospital own the intellectual property of VeriSee TM AMD, and were involved in the design and conduct of the study. T -K Hsu, M -J Tsai, P -J Lee, K-C Hung, S Yang, L -W Chan, I -Chan Lin, and Y -T Hsieh received grants from Acer Medical Inc. for retinal fundus photography reading.</t>
  </si>
  <si>
    <t>[Hsu, Tsui-Kang] Cheng Hsin Gen Hosp, Taipei, Taiwan; [Hsu, Tsui-Kang] Natl Yang Ming Chiao Tung Univ, Sch Med, Dept Ophthalmol, Taipei, Taiwan; [Lai, Ivan Pochou; Hung, Kuo-Chi; Hsieh, Yi-Ting] Natl Taiwan Univ Hosp, Dept Ophthalmol, 7 Zhongshan S Rd, Taipei 10002, Taiwan; [Tsai, Meng-Ju] Taoyuan Gen Hosp, Minist Hlth &amp; Welf, Taoyuan, Taiwan; [Lee, Pei-Jung] New Taipei City Hosp, Dept Ophthalmol, New Taipei, Taiwan; [Hung, Kuo-Chi] Universal Eye Ctr, Xinnan Branch, Taipei, Taiwan; [Yang, Shihyi] Landseed Int Hosp, Taoyuan, Taiwan; [Chan, Li-Wei] Taipei Tzu Chi Hosp, Buddhist Tzu Chi Med Fdn, Dept Ophthalmol, New Taipei, Taiwan; [Lin, I. -Chan] Taipei Med Univ, Coll Med, Sch Med, Dept Ophthalmol, Taipei, Taiwan; [Lin, I. -Chan] Taipei Med Univ, Wan Fang Hosp, Dept Ophthalmol, Taipei, Taiwan; [Chang, Wei-Hao; Huang, Yi-Jin] Acer Inc Inc, New Taipei, Taiwan; [Cheng, Meng-Che] Acer Med Inc, New Taipei, Taiwan; [Hsieh, Yi-Ting] Natl Taiwan Univ, Coll Med, Sch Med, Dept Ophthalmol, Taipei, Taiwan; [Hsieh, Yi-Ting] Natl Taiwan Univ Hosp, Dept Ophthalmol, Hsin Chu Branch, Hsinchu, Taiwan</t>
  </si>
  <si>
    <t>Cheng Hsin General Hospital; National Yang Ming Chiao Tung University; National Taiwan University; National Taiwan University Hospital; National Taiwan University Hospital; Buddhist Tzu Chi General Hospital; Taipei Tzu Chi Hospital; Taipei Medical University; Taipei Municipal WanFang Hospital; Taipei Medical University; National Taiwan University; National Taiwan University; National Taiwan University Hospital; National Taiwan University Hospital</t>
  </si>
  <si>
    <t>A deep learning approach for the screening of referable age-related macular degeneration - Model development and external validation</t>
  </si>
  <si>
    <t>JOURNAL OF THE FORMOSAN MEDICAL ASSOCIATION</t>
  </si>
  <si>
    <t>Age-related macular degeneration; Artificial intelligence; Color fundus photography; Deep learning; Screening</t>
  </si>
  <si>
    <t>ARTIFICIAL-INTELLIGENCE; FUNDUS IMAGES</t>
  </si>
  <si>
    <t>Lai, Ivan/0000-0001-8349-7056</t>
  </si>
  <si>
    <t>ELSEVIER TAIWAN</t>
  </si>
  <si>
    <t>TAIPEI</t>
  </si>
  <si>
    <t>RM N-412, 4F, CHIA HSIN BUILDING 11, NO 96, ZHONG SHAN N ROAD SEC 2, TAIPEI, 10449, TAIWAN</t>
  </si>
  <si>
    <t>0929-6646</t>
  </si>
  <si>
    <t>1876-0821</t>
  </si>
  <si>
    <t>J FORMOS MED ASSOC</t>
  </si>
  <si>
    <t>J. Formos. Med. Assoc.</t>
  </si>
  <si>
    <t>10.1016/j.jfma.2024.12.008</t>
  </si>
  <si>
    <t>http://dx.doi.org/10.1016/j.jfma.2024.12.008</t>
  </si>
  <si>
    <t>DM3SH</t>
  </si>
  <si>
    <t>39675993</t>
  </si>
  <si>
    <t>WOS:001686853600002</t>
  </si>
  <si>
    <t>Sufriyana, H; Wu, YW; Su, ECY</t>
  </si>
  <si>
    <t>Background: We developed and validated an artificial intelligence (AI)-assisted prediction of preeclampsia applied to a nationwide health insurance dataset in Indonesia.Methods: The BPJS Kesehatan dataset have been preprocessed using a nested case-control design into preeclampsia/eclampsia (n = 3318) and normotensive pregnant women (n = 19,883) from all women with one pregnancy. The dataset provided 95 features consisting of demographic variables and medical histories started from 24 months to event and ended by delivery as the event. Six algorithms were compared by area under the receiver operating characteristics curve (AUROC) with a subgroup analysis by time to the event. We compared our model to similar prediction models from systematically reviewed studies. In addition, we conducted a text mining analysis based on natural language processing techniques to interpret our modeling results.Findings: The best model consisted of 17 predictors extracted by a random forest algorithm. Nine similar to 12 months to the event was the period that had the best AUROC in external validation by either geographical (0.88, 95% confidence interval (CI) 0.88-0.89) or temporal split (0.86, 95% CI 0.85-0.86). We compared this model to prediction models in seven studies from 869 records in PUBMED, EMBASE, and SCOPUS. This model outperformed the previous models in terms of the precision, sensitivity, and specificity in all validation sets.Interpretation: Our low-cost model improved preliminary prediction to decide pregnant women that will be predicted by the models with high specificity and advanced predictors. (C) 2020 The Author(s). Published by Elsevier B.V.</t>
  </si>
  <si>
    <t>Sufriyana, Herdiantri; Wu, Yu-Wei; Su, Emily Chia-Yu</t>
  </si>
  <si>
    <t>Su, ECY (corresponding author), Taipei Med Univ, Coll Med Sci &amp; Technol, Grad Inst Biomed Informat, Taipei 11031, Taiwan.</t>
  </si>
  <si>
    <t>yuwei.wu@tmu.edu.tw; herdiantrisufriyana@unusa.ac.id; emilysu@tmu.edu.tw</t>
  </si>
  <si>
    <t>Ministry of Science and Technology (MOST) in Taiwan [MOST107-2221-E-038-016, MOST108-2221-E-038-018]; Higher Education Sprout Project by Ministry of Education (MOE) in Taiwan [DP2-107-21121-01-A-01, DP2-108-21121-01-A-01-04]</t>
  </si>
  <si>
    <t>Ministry of Science and Technology (MOST) in Taiwan (National Science &amp; Technology Council (NSTC) Taiwan); Higher Education Sprout Project by Ministry of Education (MOE) in Taiwan</t>
  </si>
  <si>
    <t>This study was funded by the Ministry of Science and Technology (MOST) in Taiwan (grant number MOST107-2221-E-038-016 and MOST108-2221-E-038-018) and the Higher Education Sprout Project by Ministry of Education (MOE) in Taiwan (grant number DP2-107-21121-01-A-01 and DP2-108-21121-01-A-01-04) to Emily Chia-Yu Su. The sponsor had no role in the research design or contents of the manuscript for publication. Emily Chia-Yu Su had full access to all the data in the study and had final responsibility for the decision to submit for publication.</t>
  </si>
  <si>
    <t>[Sufriyana, Herdiantri; Wu, Yu-Wei; Su, Emily Chia-Yu] Taipei Med Univ, Coll Med Sci &amp; Technol, Grad Inst Biomed Informat, Taipei 11031, Taiwan; [Sufriyana, Herdiantri; Wu, Yu-Wei] Univ Nahdlatul Ulama Surabaya, Coll Med, Dept Med Physiol, Surabaya 60237, Indonesia; [Wu, Yu-Wei; Su, Emily Chia-Yu] Taipei Med Univ Hosp, Clin Big Data Res Ctr, Taipei 11031, Taiwan; [Su, Emily Chia-Yu] Taipei Med Univ, Res Ctr Artificial Intelligence Med, Taipei 11031, Taiwan</t>
  </si>
  <si>
    <t>Taipei Medical University; Taipei Medical University; Taipei Medical University Hospital; Taipei Medical University</t>
  </si>
  <si>
    <t>Artificial intelligence-assisted prediction of preeclampsia: Development and external validation of a nationwide health insurance dataset of the BPJS Kesehatan in Indonesia</t>
  </si>
  <si>
    <t>EBIOMEDICINE</t>
  </si>
  <si>
    <t>Artificial intelligence; Preeclampsia; Clinical prediction rule; Machine learning; Natural language processing; Health insurance dataset</t>
  </si>
  <si>
    <t>PREGNANCY-INDUCED HYPERTENSION; 1ST TRIMESTER; RISK-FACTORS; ASSOCIATION; INFECTION; WOMEN; AGE; APPLICABILITY; SEASONALITY; PREVALENCE</t>
  </si>
  <si>
    <t>Su, Emily Chia-Yu/A-9169-2010; Wu, Yu-Wei/O-6961-2019; Sufriyana, Herdiantri/ABD-1083-2020</t>
  </si>
  <si>
    <t>Su, Emily Chia-Yu/0000-0003-4801-5159; Wu, Yu-Wei/0000-0002-5603-1194</t>
  </si>
  <si>
    <t>2352-3964</t>
  </si>
  <si>
    <t>EBioMedicine</t>
  </si>
  <si>
    <t>102710</t>
  </si>
  <si>
    <t>10.1016/j.ebiom.2020.102710</t>
  </si>
  <si>
    <t>http://dx.doi.org/10.1016/j.ebiom.2020.102710</t>
  </si>
  <si>
    <t>Medicine, General &amp; Internal; Medicine, Research &amp; Experimental</t>
  </si>
  <si>
    <t>General &amp; Internal Medicine; Research &amp; Experimental Medicine</t>
  </si>
  <si>
    <t>LL5DQ</t>
  </si>
  <si>
    <t>32283530</t>
  </si>
  <si>
    <t>WOS:000531578000009</t>
  </si>
  <si>
    <t>Yamada, M; Shino, R; Kondo, H; Yamada, S; Takamaru, H; Sakamoto, T; Bhandari, P; Imaoka, H; Kuchiba, A; Shibata, T; Saito, Y; Hamamoto, R</t>
  </si>
  <si>
    <t>Background Improved optical diagnostic technology is needed that can be used by also outside expert centers. Hence, we developed an artificial intelligence (AI) system that automatically and robustly predicts the pathological diagnosis based on the revised Vienna Classification using standard colonoscopy images. Methods We prepared deep learning algorithms and colonoscopy images containing pathologically proven lesions (56,872 images, 6775 lesions). Four classifications were adopted: revised Vienna Classification category 1, 3, and 4/5 and normal images. The best algorithm-ResNet152-in the independent internal validation (14,048 images, 1718 lesions) was used for external validation (255 images, 128 lesions) based on neoplastic and non-neoplastic classification. Diagnostic performance of endoscopists was compared using a computer-assisted interpreting test. Results In the internal validation, the sensitivity, specificity, positive predictive value (PPV), negative predictive value (NPV), and accuracy for adenoma (category 3) of 84.6% (95% CI 83.5-85.6%), 99.7% (99.5-99.8%), 90.8% (89.9-91.7%), 89.2% (88.5-99.0%), and 89.8% (89.3-90.4%), respectively. In the external validation, ResNet152's sensitivity, specificity, PPV, NPV, and accuracy for neoplastic lesions were 88.3% (82.6-94.1%), 90.3% (83.0-97.7%), 94.6% (90.5-98.8%), 80.0% (70.6-89.4%), and 89.0% (84.5-93.6%), respectively. This diagnostic performance was superior to that of expert endoscopists. Area under the receiver-operating characteristic curve was 0.903 (0.860-0.946). Conclusions The developed AI system can help non-expert endoscopists make differential diagnoses of colorectal neoplasia on par with expert endoscopists during colonoscopy. (229/250 words).</t>
  </si>
  <si>
    <t>Yamada, Masayoshi; Shino, Ryosaku; Kondo, Hiroko; Yamada, Shigemi; Takamaru, Hiroyuki; Sakamoto, Taku; Bhandari, Pradeep; Imaoka, Hitoshi; Kuchiba, Aya; Shibata, Taro; Saito, Yutaka; Hamamoto, Ryuji</t>
  </si>
  <si>
    <t>Yamada, M (corresponding author), Natl Canc Ctr, Endoscopy Div, Chuo Ku, 5-1-1 Tsukiji, Tokyo, Japan.; Yamada, M (corresponding author), Natl Canc Ctr, Div Med AI Res &amp; Dev, Tokyo, Japan.</t>
  </si>
  <si>
    <t>masyamad@ncc.go.jp</t>
  </si>
  <si>
    <t>JST CREST Grant [JPMJCR1689]; Center for Advanced Intelligence Project, RIKEN</t>
  </si>
  <si>
    <t>JST CREST Grant; Center for Advanced Intelligence Project, RIKEN</t>
  </si>
  <si>
    <t>This work was supported by a JST CREST Grant (JPMJCR1689), and the Center for Advanced Intelligence Project, RIKEN.</t>
  </si>
  <si>
    <t>[Yamada, Masayoshi; Takamaru, Hiroyuki; Sakamoto, Taku; Saito, Yutaka] Natl Canc Ctr, Endoscopy Div, Chuo Ku, 5-1-1 Tsukiji, Tokyo, Japan; [Yamada, Masayoshi; Kondo, Hiroko; Yamada, Shigemi; Hamamoto, Ryuji] Natl Canc Ctr, Div Med AI Res &amp; Dev, Tokyo, Japan; [Shino, Ryosaku; Imaoka, Hitoshi] NEC Corp Ltd, Biometr Res Labs, Kawasaki, Kanagawa, Japan; [Kondo, Hiroko; Yamada, Shigemi; Hamamoto, Ryuji] RIKEN Ctr Adv Intelligence Project, Canc Translat Res Team, Tokyo, Japan; [Bhandari, Pradeep] Portsmouth Hosp Univ NHS Trust, Dept Gastroenterol, Portsmouth, Hants, England; [Kuchiba, Aya; Shibata, Taro] Natl Canc Ctr, Biostat Div, Tokyo, Japan</t>
  </si>
  <si>
    <t>National Cancer Center - Japan; National Cancer Center - Japan; NEC Corporation; RIKEN; National Cancer Center - Japan</t>
  </si>
  <si>
    <t>Robust automated prediction of the revised Vienna Classification in colonoscopy using deep learning: development and initial external validation</t>
  </si>
  <si>
    <t>JOURNAL OF GASTROENTEROLOGY</t>
  </si>
  <si>
    <t>Deep learning; Artificial intelligence; Colonoscopy; Multi-class classification; External validation</t>
  </si>
  <si>
    <t>COLORECTAL-CANCER; POLYPS; DIAGNOSIS; ALGORITHM; DIFFERENTIATION; PREVENTION; ACCURACY; COLON</t>
  </si>
  <si>
    <t>Hamamoto, Ryuji/AAF-9600-2019; Yamada, Masayoshi/H-8917-2019</t>
  </si>
  <si>
    <t>Hamamoto, Ryuji/0000-0002-2632-1334; Yamada, Masayoshi/0000-0003-3979-5560</t>
  </si>
  <si>
    <t>0944-1174</t>
  </si>
  <si>
    <t>1435-5922</t>
  </si>
  <si>
    <t>J GASTROENTEROL</t>
  </si>
  <si>
    <t>J. Gastroenterol.</t>
  </si>
  <si>
    <t>879</t>
  </si>
  <si>
    <t>889</t>
  </si>
  <si>
    <t>10.1007/s00535-022-01908-1</t>
  </si>
  <si>
    <t>http://dx.doi.org/10.1007/s00535-022-01908-1</t>
  </si>
  <si>
    <t>5N8AO</t>
  </si>
  <si>
    <t>35972582</t>
  </si>
  <si>
    <t>WOS:000841111600001</t>
  </si>
  <si>
    <t>Bridge, J; Meng, YD; Zhu, WY; Fitzmaurice, T; Mccann, C; Addison, C; Wang, MH; Merritt, C; Franks, S; Mackey, M; Messenger, S; Sun, RR; Zhao, YT; Zheng, YL</t>
  </si>
  <si>
    <t>BackgroundThe automatic analysis of medical images has the potential improve diagnostic accuracy while reducing the strain on clinicians. Current methods analyzing 3D-like imaging data, such as computerized tomography imaging, often treat each image slice as individual slices. This may not be able to appropriately model the relationship between slices.MethodsOur proposed method utilizes a mixed-effects model within the deep learning framework to model the relationship between slices. We externally validated this method on a data set taken from a different country and compared our results against other proposed methods. We evaluated the discrimination, calibration, and clinical usefulness of our model using a range of measures. Finally, we carried out a sensitivity analysis to demonstrate our methods robustness to noise and missing data.ResultsIn the external geographic validation set our model showed excellent performance with an AUROC of 0.930 (95%CI: 0.914, 0.947), with a sensitivity and specificity, PPV, and NPV of 0.778 (0.720, 0.828), 0.882 (0.853, 0.908), 0.744 (0.686, 0.797), and 0.900 (0.872, 0.924) at the 0.5 probability cut-off point. Our model also maintained good calibration in the external validation dataset, while other methods showed poor calibration.ConclusionDeep learning can reduce stress on healthcare systems by automatically screening CT imaging for COVID-19. Our method showed improved generalizability in external validation compared to previous published methods. However, deep learning models must be robustly assessed using various performance measures and externally validated in each setting. In addition, best practice guidelines for developing and reporting predictive models are vital for the safe adoption of such models.</t>
  </si>
  <si>
    <t>Bridge, Joshua; Meng, Yanda; Zhu, Wenyue; Fitzmaurice, Thomas; Mccann, Caroline; Addison, Cliff; Wang, Manhui; Merritt, Cristin; Franks, Stu; Mackey, Maria; Messenger, Steve; Sun, Renrong; Zhao, Yitian; Zheng, Yalin</t>
  </si>
  <si>
    <t>Zheng, YL (corresponding author), Univ Liverpool, Inst Life Course &amp; Med Sci, Liverpool, England.</t>
  </si>
  <si>
    <t>Yalin.Zheng@liverpool.ac.uk</t>
  </si>
  <si>
    <t>EPSRC studentship [2110275]; EPSRC Impact Acceleration Account (IAA); Amazon Web Services</t>
  </si>
  <si>
    <t>EPSRC studentship (UK Research &amp; Innovation (UKRI), Engineering &amp; Physical Sciences Research Council (EPSRC)); EPSRC Impact Acceleration Account (IAA); Amazon Web Services</t>
  </si>
  <si>
    <t>This study received funding from EPSRC studentship (No. 2110275), EPSRC Impact Acceleration Account (IAA) Awards, and Amazon Web Services. The funders were not involved in the study design, collection, analysis, interpretation of data, the writing of this article or the decision to submit it for publication.</t>
  </si>
  <si>
    <t>[Bridge, Joshua; Meng, Yanda; Zhu, Wenyue; Fitzmaurice, Thomas; Zheng, Yalin] Univ Liverpool, Inst Life Course &amp; Med Sci, Liverpool, England; [Fitzmaurice, Thomas] Liverpool Heart &amp; Chest Hosp NHS Fdn Trust, Dept Resp Med, Liverpool, England; [Mccann, Caroline] Liverpool Heart &amp; Chest Hosp NHS Fdn Trust, Dept Radiol, Liverpool, England; [Addison, Cliff; Wang, Manhui] Univ Liverpool, Adv Res Comp, Liverpool, England; [Merritt, Cristin; Franks, Stu] Alces Flight Ltd, Bicester, England; [Mackey, Maria; Messenger, Steve] Amazon Web Serv, London, England; [Sun, Renrong] Hubei Univ Chinese Med, Hubei Prov Hosp Integrated Chinese &amp; Western Med, Dept Radiol, Wuhan, Peoples R China; [Zhao, Yitian] Chinese Acad Sci, Cixi Inst Biomed Engn, Ningbo Inst Mat Technol &amp; Engn, Ningbo, Peoples R China</t>
  </si>
  <si>
    <t>University of Liverpool; Liverpool Heart &amp; Chest Hospital; Liverpool Heart &amp; Chest Hospital; University of Liverpool; Hubei University of Chinese Medicine; Chinese Academy of Sciences; Ningbo Institute of Materials Technology &amp; Engineering, CAS</t>
  </si>
  <si>
    <t>Development and external validation of a mixed-effects deep learning model to diagnose COVID-19 from CT imaging</t>
  </si>
  <si>
    <t>CT; COVID-19; deep learning; diagnosis; imaging</t>
  </si>
  <si>
    <t>PREDICTION; RISK; CALIBRATION; PROGNOSIS</t>
  </si>
  <si>
    <t>Zheng, Yalin/N-6432-2017; Zhao, Yitian/AAM-4907-2021; Meng, Yanda/IUQ-7187-2023</t>
  </si>
  <si>
    <t>Meng, Yanda/0000-0001-7344-2174</t>
  </si>
  <si>
    <t>AUG 23 2023</t>
  </si>
  <si>
    <t>1113030</t>
  </si>
  <si>
    <t>10.3389/fmed.2023.1113030</t>
  </si>
  <si>
    <t>http://dx.doi.org/10.3389/fmed.2023.1113030</t>
  </si>
  <si>
    <t>AN5G8</t>
  </si>
  <si>
    <t>37680621</t>
  </si>
  <si>
    <t>WOS:001119152700001</t>
  </si>
  <si>
    <t>Thanellas, A; Peura, H; Lavinto, M; Ruokola, T; Vieli, M; Staartjes, VE; Winklhofer, S; Serra, C; Regli, L; Korja, M</t>
  </si>
  <si>
    <t>Background and ObjectivesIn medical imaging, a limited number of trained deep learning algorithms have been externally validated and released publicly. We hypothesized that a deep learning algorithm can be trained to identify and localize subarachnoid hemorrhage (SAH) on head computed tomography (CT) scans and that the trained model performs satisfactorily when tested using external and real-world data.MethodsWe used noncontrast head CT images of patients admitted to Helsinki University Hospital between 2012 and 2017. We manually segmented (i.e., delineated) SAH on 90 head CT scans and used the segmented CT scans together with 22 negative (no SAH) control CT scans in training an open-source convolutional neural network (U-Net) to identify and localize SAH. We then tested the performance of the trained algorithm by using external data sets (137 SAH and 1,242 control cases) collected in 2 foreign countries and also by creating a data set of consecutive emergency head CT scans (8 SAH and 511 control cases) performed during on-call hours in 5 different domestic hospitals in September 2021. We assessed the algorithm's capability to identify SAH by calculating patient- and slice-level performance metrics, such as sensitivity and specificity.ResultsIn the external validation set of 1,379 cases, the algorithm identified 136 of 137 SAH cases correctly (sensitivity 99.3% and specificity 63.2%). Of the 49,064 axial head CT slices, the algorithm identified and localized SAH in 1845 of 2,110 slices with SAH (sensitivity 87.4% and specificity 95.3%). Of 519 consecutive emergency head CT scans imaged in September 2021, the algorithm identified all 8 SAH cases correctly (sensitivity 100.0% and specificity 75.3%). The slice-level (27,167 axial slices in total) sensitivity and specificity were 87.3% and 98.8%, respectively, as the algorithm identified and localized SAH in 58 of 77 slices with SAH. The performance of the algorithm can be tested on through a web service.DiscussionWe show that the shared algorithm identifies SAH cases with a high sensitivity and that the slice-level specificity is high. In addition to openly sharing a high-performing deep learning algorithm, our work presents infrequently used approaches in designing, training, testing, and reporting deep learning algorithms developed for medical imaging diagnostics.Classification of EvidenceThis study provides Class III evidence that a deep learning algorithm correctly identifies the presence of subarachnoid hemorrhage on CT scan.</t>
  </si>
  <si>
    <t>Thanellas, Antonios; Peura, Heikki; Lavinto, Mikko; Ruokola, Tomi; Vieli, Moira; Staartjes, Victor E.; Winklhofer, Sebastian; Serra, Carlo; Regli, Luca; Korja, Miikka</t>
  </si>
  <si>
    <t>Korja, M (corresponding author), Univ Helsinki, Dept Neurosurg, Helsinki, Finland.; Korja, M (corresponding author), Helsinki Univ Hosp, Helsinki, Finland.</t>
  </si>
  <si>
    <t>miikka.korja@hus.fi</t>
  </si>
  <si>
    <t>[Thanellas, Antonios] Helsinki Univ Hosp, Dept Informat Management, Helsinki, Finland; [Peura, Heikki; Korja, Miikka] Univ Helsinki, Dept Neurosurg, Helsinki, Finland; [Peura, Heikki; Korja, Miikka] Helsinki Univ Hosp, Helsinki, Finland; [Lavinto, Mikko; Ruokola, Tomi] CGI, Helsinki, Finland; [Vieli, Moira; Staartjes, Victor E.; Winklhofer, Sebastian; Regli, Luca] Univ Zurich, Univ Hosp Zurich, Clin Neurosci Ctr, Dept Neurosurg,Machine Intelligence Clin Neurosci, Zurich, Switzerland; [Serra, Carlo] Univ Zurich, Univ Hosp Zurich, Clin Neurosci Ctr, Dept Neuroradiol, Zurich, Switzerland</t>
  </si>
  <si>
    <t>University of Helsinki; Helsinki University Central Hospital; University of Helsinki; University of Helsinki; Helsinki University Central Hospital; University of Zurich; University Zurich Hospital; University of Zurich; University Zurich Hospital</t>
  </si>
  <si>
    <t>Development and External Validation of a Deep Learning Algorithm to Identify and Localize Subarachnoid Hemorrhage on CT Scans</t>
  </si>
  <si>
    <t>NEUROLOGY</t>
  </si>
  <si>
    <t>Korja, Miikka/E-4292-2016; Staartjes, Victor/H-8346-2017; Serra, Carlo/AAB-8742-2022; Winklhofer, Sebastian/AAB-8987-2022</t>
  </si>
  <si>
    <t>Korja, Miikka/0000-0002-4463-6954; Staartjes, Victor/0000-0003-1039-2098; regli, luca/0000-0003-4639-4474; Vieli, Moira/0009-0008-0119-9978; Thanellas, Antonios/0000-0003-1422-9087; Serra, Carlo/0000-0002-7305-550X</t>
  </si>
  <si>
    <t>0028-3878</t>
  </si>
  <si>
    <t>1526-632X</t>
  </si>
  <si>
    <t>Neurology</t>
  </si>
  <si>
    <t>MAR 21 2023</t>
  </si>
  <si>
    <t>100</t>
  </si>
  <si>
    <t>E1257</t>
  </si>
  <si>
    <t>E1266</t>
  </si>
  <si>
    <t>10.1212/WNL.0000000000201710</t>
  </si>
  <si>
    <t>http://dx.doi.org/10.1212/WNL.0000000000201710</t>
  </si>
  <si>
    <t>9Z6YT</t>
  </si>
  <si>
    <t>36639236</t>
  </si>
  <si>
    <t>WOS:000951284900016</t>
  </si>
  <si>
    <t>Chen, TY; Chen, TE; Xu, WJ; Liang, SS; Xu, F; Liang, DD; Li, X; Zeng, CH; Xie, GT; Liu, ZH</t>
  </si>
  <si>
    <t>Background: Accurately predicting kidney outcomes in IgA nephropathy is crucial for clinical decision making. Insufficient use of longitudinal data in previous studies has limited the accuracy and interpretability of prediction models for failing to reflect the chronic nature of IgA nephropathy. The aim of this study was to establish a multivariable dynamic deep learning model using comprehensive longitudinal data for the prediction of kidney outcomes in IgA nephropathy.Methods: In this retrospective cohort study of 2056 patients with IgA nephropathy from 18 kidney centers, a total of 28,317 data points were collected by the sliding window method. Among them, 15,462 windows in a single center were randomly assigned to training (80%) and validation (20%) sets and 8797 windows in 18 kidney centers were assigned to an independent test set. Interpretable multivariable long short-term memory, a deep learning model, was implemented to predict kidney outcomes (kidney failure or 50% decline in kidney function) based on time-invariant variables measured at biopsy and time-variant variables measured during follow-up. Risk performance was evaluated using the Kaplan-Meier analysis and C-statistic. Trajectory analysis was performed to assess the various trends of clinical variables during follow-up.Results: The model achieved a higher C-statistic (0.93; 95% confidence interval, 0.92 to 0.95) on the test set than the machine learning prediction model that we developed in a previous study using only baseline information (C-statistic, 0.84; 95% confidence interval, 0.80 to 0.88). The Kaplan-Meier analysis showed that groups with lower predicted risks from the full model survived longer than groups with higher risks. Time-variant variables demonstrated higher importance scores than time-invariant variables. Within time-variant variables, more recent measurements showed higher importance scores. Further interpretation showed that certain trajectory groups of time-variant variables such as serum creatinine and urine protein were associated with elevated risks of adverse outcomes.Conclusions: In IgA nephropathy, a deep learning model can be used to accurately and dynamically predict kidney prognosis based on longitudinal data, and time-variant variables show strong ability to predict kidney outcomes.</t>
  </si>
  <si>
    <t>Chen, Tingyu; Chen, Tiange; Xu, Wenjie; Liang, Shaoshan; Xu, Feng; Liang, Dandan; Li, Xiang; Zeng, Caihong; Xie, Guotong; Liu, Zhihong</t>
  </si>
  <si>
    <t>Liu, ZH (corresponding author), Nanjing Univ, Sch Med, Jinling Hosp, Natl Clin Res Ctr Kidney Dis, Nanjing, Peoples R China.; Xie, GT (corresponding author), Ping An Healthcare Technol, Beijing, Peoples R China.</t>
  </si>
  <si>
    <t>liuzhihong@nju.edu.cn; xieguotong@pingan.com.cn</t>
  </si>
  <si>
    <t>National Natural Science Foundation of China</t>
  </si>
  <si>
    <t>National Natural Science Foundation of China (National Natural Science Foundation of China (NSFC))</t>
  </si>
  <si>
    <t>The authors acknowledge support from Zhaohui Ni and Minfang Zhang (Nephrology Division, Renji Hospital, Shanghai Jiao Tong University School of Medicine, Shanghai), Lining Miao and Ping Luo (Department of Nephrology, The Second Hospital, Jilin University, Changchun), Rong Wang and Zhimei Lv (Department of Kidney, Shandong Provincial Hospital, Shandong University, Jinan), Jianghua Chen and Jiong Tian (Kidney Disease Center of the First Affiliated Hospital, Medical School of Zhejiang University, Hangzhou), Nan Chen and Xiaoxia Pan (Department of Nephrology, Ruijin Hospital, Shanghai Jiaotong University, School of Medicine, Shanghai), Ping Fu and Zhangxue Hu (Division of Nephrology, West China Hospital of Sichuan University, Chengdu), Lining Wang and Qiuling Fan (Department of Nephrology, the First Hospital of China Medical University), Hongguang Zheng and Dewei Zhang (Department of Nephrology, General Hospital of Shenyang Military Command, Shenyang), Yaping Wang and Yanhong Huo (Center of Diagnosis and Treatment Kidney Disease of Beijing PLA, General Hospital of Beijing Military Army, Beijing), Hongli Lin and Shuni Chen (Department of Nephrology, the First Affiliated Hospital of Dalian Medical University, Dalian), Shiren Sun and Yanxia Wang (Department of Nephrology, Xijing Hospital, Fourth Military Medical University, Xi'an), Zhangsuo Liu and Dong Liu (Department of Nephrology, the First Affiliated Hospital of Zhengzhou University, Zhengzhou), Lu Ma and Tao Pan (Department of Nephrology, Beidaihe Sanatorium of Beijing Military Area, Beidaihe), Aiping Zhang and Xiaoyu Jiang (Department of Nephrology, General Hospital of Jinan Command, Jinan), Changying Xing and Bing Sun (Department of Nephrology, the First Affiliated Hospital of Nanjing Medical University, Nanjing), Qiaoling Zhou and Wenbing Tang (Department of Nephrology, Xiangya Hospital; Kidney Institute, Central South University, Changsha), Fuyou Liu and Yinghong Liu (Department of Nephrology, Second Xiangya Hospital; Kidney Institute, Central South University, Changsha) for multi-center data collection, Weibo Le (National Clinical Research Center of Kidney Diseases, Jingling hospital, Nanjing University School of Medicine, Nanjing, China) for preliminary work; Lihua Zhang, Yu An, Xia Wang, Weiwei Xu, Yuanmao Tu, Xi Yang, Li Huang, Shuiqin Cheng, Guang Chen, Chenfeng Jiao, Ling Jiang (National Clinical Research Center of Kidney Diseases, Jingling hospital, Nanjing University School of Medicine, Nanjing, China) for single center data collection.</t>
  </si>
  <si>
    <t>[Chen, Tingyu; Liang, Shaoshan; Xu, Feng; Liang, Dandan; Zeng, Caihong; Liu, Zhihong] Nanjing Univ, Sch Med, Jinling Hosp, Natl Clin Res Ctr Kidney Dis, Nanjing, Peoples R China; [Chen, Tiange] Peking Univ, Hlth Sci Ctr, Sch Publ Hlth, Beijing, Peoples R China; [Chen, Tiange; Xu, Wenjie; Li, Xiang; Xie, Guotong] Ping An Healthcare Technol, Beijing, Peoples R China</t>
  </si>
  <si>
    <t>Nanjing University; Peking University</t>
  </si>
  <si>
    <t>Development and External Validation of a Multidimensional Deep Learning Model to Dynamically Predict Kidney Outcomes in IgA Nephropathy</t>
  </si>
  <si>
    <t>CLINICAL JOURNAL OF THE AMERICAN SOCIETY OF NEPHROLOGY</t>
  </si>
  <si>
    <t>chronic GN; CKD; chronic kidney failure; glomerular disease; IgA nephropathy; nephritis; outcomes; progression; glomerular diseases</t>
  </si>
  <si>
    <t>PROGNOSIS; ALBUMIN; DECLINE</t>
  </si>
  <si>
    <t>Chen, Tiange/JEF-8880-2023; Chen, Tingyu/JEF-8880-2023; Xu, Wenjie/KBQ-0222-2024; Xu, Feng/AFN-9478-2022; /ADQ-0857-2022</t>
  </si>
  <si>
    <t>Chen, Tiange/0000-0002-3992-6391; Zeng, Caihong/0000-0002-3816-5164; Chen, Tingyu/0009-0000-0092-0868; Liang, Dandan/0009-0007-3066-7112; 徐, 峰/0000-0003-4657-9196</t>
  </si>
  <si>
    <t>AMER SOC NEPHROLOGY</t>
  </si>
  <si>
    <t>1401 H Street NW, Suite 900, WASHINGTON, DC 20005, UNITED STATES</t>
  </si>
  <si>
    <t>1555-9041</t>
  </si>
  <si>
    <t>1555-905X</t>
  </si>
  <si>
    <t>CLIN J AM SOC NEPHRO</t>
  </si>
  <si>
    <t>Clin. J. Am. Soc. Nephrol.</t>
  </si>
  <si>
    <t>898</t>
  </si>
  <si>
    <t>907</t>
  </si>
  <si>
    <t>10.2215/CJN.0000000000000471</t>
  </si>
  <si>
    <t>http://dx.doi.org/10.2215/CJN.0000000000000471</t>
  </si>
  <si>
    <t>YW0P7</t>
  </si>
  <si>
    <t>38728096</t>
  </si>
  <si>
    <t>WOS:001243441500001</t>
  </si>
  <si>
    <t>Ma, D; Faulkner, JE; Stander, N; Raisis, A; Joslyn, S</t>
  </si>
  <si>
    <t>Objective To evaluate the diagnostic performance of commercial veterinary radiology AI platforms on general practice canine abdominal radiographs with confirmed diagnoses. Methods For this pilot study, canine abdominal radiographs with definitive diagnoses were collected and submitted to 6 AI platforms between September and December 2024. Confirmation of diagnosis was obtained with surgery, necropsy, CT, ultrasound, cytology, or treatment response when appropriate. Results 53 cases were selected and submitted to AI platforms. After platform rejections, 307 evaluations were available for analysis. When differentiating cases with pathology (51 of 53) and without pathology (2 of 53), platform performance was variable and mostly low to moderate, including mean accuracy (70% to 90%), balanced accuracy (60% to 65%), and Matthews correlation coefficient (-0.08 to 0.43). Across all platforms, classification of radiographic findings (labels) showed low sensitivity (28% to 78%), F1 score (28% to 51%), and positive predictive value (25% to 54%) due to frequent missed diagnoses. Matthews correlation coefficient was higher (0.16 to 0.45), as it was less impacted by label misclas-sification. Small intestinal obstruction, a critical finding, was often not identified, with a sensitivity of 23% to 69%. Conclusions Diagnostic performance varied between the 6 AI platforms tested and was overall low to moderate for this small sample. Even the best-performing algorithm had notable limitations, and none appeared suitable for clinical use in their current form.</t>
  </si>
  <si>
    <t>Ma, Doris; Faulkner, Josephine E.; Stander, Nerissa; Raisis, Anthea; Joslyn, Stephen</t>
  </si>
  <si>
    <t>Joslyn, S (corresponding author), Murdoch Univ, Anim Hosp, Murdoch, WA, Australia.</t>
  </si>
  <si>
    <t>steve.joslyn@murdoch.edu.au</t>
  </si>
  <si>
    <t>[Ma, Doris; Faulkner, Josephine E.; Raisis, Anthea] Murdoch Univ, Sch Vet Med, Murdoch, WA, Australia; [Stander, Nerissa; Joslyn, Stephen] Murdoch Univ, Anim Hosp, Murdoch, WA, Australia</t>
  </si>
  <si>
    <t>Murdoch University; Murdoch University</t>
  </si>
  <si>
    <t>Pilot study: external validation of commercial veterinary radiology artificial intelligence services shows deficiencies in interpretation of general practice-sourced canine abdominal radiographs</t>
  </si>
  <si>
    <t>JAVMA-JOURNAL OF THE AMERICAN VETERINARY MEDICAL ASSOCIATION</t>
  </si>
  <si>
    <t>radiology; artificial intelligence; external validation; transparency; diagnostic performance</t>
  </si>
  <si>
    <t>AMER VETERINARY MEDICAL ASSOC</t>
  </si>
  <si>
    <t>SCHAUMBURG</t>
  </si>
  <si>
    <t>1931 N MEACHAM RD SUITE 100, SCHAUMBURG, IL 60173-4360 USA</t>
  </si>
  <si>
    <t>0003-1488</t>
  </si>
  <si>
    <t>1943-569X</t>
  </si>
  <si>
    <t>JAVMA-J AM VET MED A</t>
  </si>
  <si>
    <t>JAVMA-J. Am. Vet. Med. Assoc.</t>
  </si>
  <si>
    <t>264</t>
  </si>
  <si>
    <t>1022</t>
  </si>
  <si>
    <t>10.2460/javma.25.10.0691</t>
  </si>
  <si>
    <t>http://dx.doi.org/10.2460/javma.25.10.0691</t>
  </si>
  <si>
    <t>Veterinary Sciences</t>
  </si>
  <si>
    <t>LY7RV</t>
  </si>
  <si>
    <t>41861469</t>
  </si>
  <si>
    <t>WOS:001836423900033</t>
  </si>
  <si>
    <t>Wei, JW; Jiang, HY; Zeng, MS; Wang, MY; Niu, M; Gu, DS; Chong, HH; Zhang, YY; Fu, FF; Zhou, M; Chen, J; Lyv, FD; Wei, H; Bashir, MR; Song, B; Li, HJ; Tian, J</t>
  </si>
  <si>
    <t>Simple SummaryMicrovascular invasion (MVI) is an independent risk factor for postoperative recurrence of hepatocellular carcinoma (HCC). Preoperative knowledge of MVI would assist with tailored surgical strategy making to prolong patient survival. Previous radiological studies proved the role of noninvasive medical imaging in MVI prediction. However, hitherto, deep learning methods remained unexplored for this clinical task. As an end-to-end self-learning strategy, deep learning may not only achieve improved prediction accuracy, but may also visualize high-risk areas of invasion by generating attention maps. In this multicenter study, we developed deep learning models to perform MVI preoperative assessments using two imaging modalities-computed tomography (CT) and gadoxetic acid-enhanced magnetic resonance imaging (EOB-MRI). A head-to-head prospective validation was conducted to verify the validity of deep learning models and achieve a comparison between CT and EOB-MRI for MVI assessment. The findings put forward a better understanding of MVI preoperative prediction in HCC management.Microvascular invasion (MVI) is a critical risk factor for postoperative recurrence of hepatocellular carcinoma (HCC). Preknowledge of MVI would assist tailored surgery planning in HCC management. In this multicenter study, we aimed to explore the validity of deep learning (DL) in MVI prediction using two imaging modalities-contrast-enhanced computed tomography (CE-CT) and gadoxetic acid-enhanced magnetic resonance imaging (EOB-MRI). A total of 750 HCCs were enrolled from five Chinese tertiary hospitals. Retrospective CE-CT (n = 306, collected between March, 2013 and July, 2019) and EOB-MRI (n = 329, collected between March, 2012 and March, 2019) data were used to train two DL models, respectively. Prospective external validation (n = 115, collected between July, 2015 and February, 2018) was performed to assess the developed models. Furthermore, DL-based attention maps were utilized to visualize high-risk MVI regions. Our findings revealed that the EOB-MRI-based DL model achieved superior prediction outcome to the CE-CT-based DL model (area under receiver operating characteristics curve (AUC): 0.812 vs. 0.736, p = 0.038; sensitivity: 70.4% vs. 57.4%, p = 0.015; specificity: 80.3% vs. 86.9%, p = 0.052). DL attention maps could visualize peritumoral high-risk areas with genuine histopathologic confirmation. Both DL models could stratify high and low-risk groups regarding progression free survival and overall survival (p &lt; 0.05). Thus, DL can be an efficient tool for MVI prediction, and EOB-MRI was proven to be the modality with advantage for MVI assessment than CE-CT.</t>
  </si>
  <si>
    <t>Wei, Jingwei; Jiang, Hanyu; Zeng, Mengsu; Wang, Meiyun; Niu, Meng; Gu, Dongsheng; Chong, Huanhuan; Zhang, Yanyan; Fu, Fangfang; Zhou, Mu; Chen, Jie; Lyv, Fudong; Wei, Hong; Bashir, Mustafa R.; Song, Bin; Li, Hongjun; Tian, Jie</t>
  </si>
  <si>
    <t>Tian, J (corresponding author), Chinese Acad Sci, Inst Automat, Key Lab Mol Imaging, Beijing 100190, Peoples R China.; Tian, J (corresponding author), Beijing Key Lab Mol Imaging, Beijing 100190, Peoples R China.; Li, HJ (corresponding author), Capital Med Univ, Beijing Youan Hosp, Dept Radiol, Beijing 100069, Peoples R China.; Li, HJ (corresponding author), Beihang Univ, Sch Bioengn, Beijing 100191, Peoples R China.; Tian, J (corresponding author), Beihang Univ, Beijing Adv Innovat Ctr Big Data Based Precis Med, Sch Med, Beijing 100191, Peoples R China.; Tian, J (corresponding author), Xidian Univ, Sch Life Sci &amp; Technol, Minist Educ, Engn Res Ctr Mol &amp; Neuro Imaging, Xian 710126, Peoples R China.</t>
  </si>
  <si>
    <t>hanyu_jiang@foxmail.com; weijingwei2014@ia.ac.cn; lihongjun00113@ccmu.edu.cn; gudongsheng2016@ia.ac.cn; lfd@ccmu.edu.cn; jie.tian@ia.ac.cn; fufangf@126.com; 13998217255@163.com; jiechen_radi@foxmail.com; cjr.songbin@vip.163.com; muzhou@sensebrain.site; zengmengsu@outlook.com; mywang@ha.edu.cn; Weih_cat@163.com; zhyy871@126.com; mustafa.bashir@duke.edu; chongchong1226@yeah.net</t>
  </si>
  <si>
    <t>Ministry of Science and Technology of China [2017YFA0205200]; National Natural Science Foundation of China [82001917, 81930053, 81227901, 81527805]; Chinese Academy of Sciences [GJJSTD20170004, QYZDJ-SSW-JSC005]; Beijing Municipal Science and Technology Commission [Z161100002616022, Z171100000117023]</t>
  </si>
  <si>
    <t>Ministry of Science and Technology of China (Ministry of Science and Technology, China); National Natural Science Foundation of China (National Natural Science Foundation of China (NSFC)); Chinese Academy of Sciences (Chinese Academy of Sciences); Beijing Municipal Science and Technology Commission (Beijing Municipal Science &amp; Technology Commission)</t>
  </si>
  <si>
    <t>This work was supported by Ministry of Science and Technology of China under grant number 2017YFA0205200; the National Natural Science Foundation of China under grant numbers 82001917, 81930053, 81227901 and 81527805; the Chinese Academy of Sciences under grant numbers GJJSTD20170004 and QYZDJ-SSW-JSC005; the Beijing Municipal Science and Technology Commission under grant numbers Z161100002616022 and Z171100000117023.</t>
  </si>
  <si>
    <t>[Wei, Jingwei; Gu, Dongsheng; Tian, Jie] Chinese Acad Sci, Inst Automat, Key Lab Mol Imaging, Beijing 100190, Peoples R China; [Wei, Jingwei; Gu, Dongsheng; Tian, Jie] Beijing Key Lab Mol Imaging, Beijing 100190, Peoples R China; [Jiang, Hanyu; Chen, Jie; Wei, Hong; Song, Bin] Sichuan Univ, West China Hosp, Dept Radiol, Chengdu 610041, Peoples R China; [Zeng, Mengsu; Chong, Huanhuan] Fudan Univ, Zhongshan Hosp, Dept Radiol, Shanghai 200032, Peoples R China; [Zeng, Mengsu; Chong, Huanhuan] Shanghai Inst Med Imaging, Shanghai 200032, Peoples R China; [Wang, Meiyun; Fu, Fangfang] Henan Prov Peoples Hosp, Dept Med Imaging, Zhengzhou 450003, Peoples R China; [Wang, Meiyun; Fu, Fangfang] Zhengzhou Univ, Peoples Hosp, Dept Med Imaging, Zhengzhou 450003, Peoples R China; [Niu, Meng] China Med Univ, Affiliated Hosp 1, Dept Intervent Radiol, Shenyang 110000, Peoples R China; [Zhang, Yanyan; Li, Hongjun] Capital Med Univ, Beijing Youan Hosp, Dept Radiol, Beijing 100069, Peoples R China; [Zhou, Mu] SenseBrain Res, Santa Clara, CA 95131 USA; [Lyv, Fudong] Capital Med Univ, Beijing Youan Hosp, Dept Pathol, Beijing 100069, Peoples R China; [Bashir, Mustafa R.] Duke Univ, Med Ctr, Dept Radiol, Durham, NC 27710 USA; [Li, Hongjun] Beihang Univ, Sch Bioengn, Beijing 100191, Peoples R China; [Tian, Jie] Beihang Univ, Beijing Adv Innovat Ctr Big Data Based Precis Med, Sch Med, Beijing 100191, Peoples R China; [Tian, Jie] Xidian Univ, Sch Life Sci &amp; Technol, Minist Educ, Engn Res Ctr Mol &amp; Neuro Imaging, Xian 710126, Peoples R China</t>
  </si>
  <si>
    <t>Chinese Academy of Sciences; Institute of Automation, CAS; Sichuan University; Fudan University; Zhengzhou University; Zhengzhou University; China Medical University; Capital Medical University; Capital Medical University; Duke University; Beihang University; Beihang University; Xidian University</t>
  </si>
  <si>
    <t>Prediction of Microvascular Invasion in Hepatocellular Carcinoma via Deep Learning: A Multi-Center and Prospective Validation Study</t>
  </si>
  <si>
    <t>hepatocellular carcinoma; microvascular invasion; magnetic resonance imaging; computed tomography; deep learning</t>
  </si>
  <si>
    <t>PREOPERATIVE PREDICTION; RECURRENCE; RESECTION; NOMOGRAM; RISK</t>
  </si>
  <si>
    <t>Tian, Jie/H-1190-2011; Bashir, Mustafa/P-3428-2015; Chen, Jie/KHZ-6269-2024; Jiang, Hanyu/IQV-6840-2023</t>
  </si>
  <si>
    <t>魏, 靖伟/0000-0001-5067-6058; wei, hong/0000-0002-1561-1512; Chong, Huanhuan/0000-0003-4347-7602; Wang, Meiyun/0000-0002-7163-2617</t>
  </si>
  <si>
    <t>2368</t>
  </si>
  <si>
    <t>10.3390/cancers13102368</t>
  </si>
  <si>
    <t>http://dx.doi.org/10.3390/cancers13102368</t>
  </si>
  <si>
    <t>SI3IR</t>
  </si>
  <si>
    <t>34068972</t>
  </si>
  <si>
    <t>WOS:000654719300001</t>
  </si>
  <si>
    <t>Shen, RN; Jiang, F; Huang, XW; Hong, GB; Luo, Y; Wan, H; Xie, Y; Zhu, MY; Wang, Y; Liu, BH; Qin, P; Wang, YH; Wang, HX; Yang, HK; Lin, Z; Chen, R; Ouyang, NT; Huang, J; Lin, TX; Wu, SX</t>
  </si>
  <si>
    <t>Accurate preoperative diagnosis of muscle invasion (MI) is critical for urothelial carcinoma (UC) management. The aim is to evaluate whether artificial intelligence (AI) model based on urine cytology can accurately detect MIUC and compare its performance with radiologist assessments. UC patients underwent liquid-based urine cytology from four centers are included for model development/validation. Performance of the precision urine cytology AI solution for MI (PUCAS-M) is validated across multicenter cohorts and compared to radiologists' assessments (including CT/MR, MR accounted for 40.7%). Clinical utility is assessed for initial diagnosis, recurrence detection, and neoadjuvant therapy. PUCAS-M achieves an area under the receiver operation curve (AUROC) of 0.857 (95% CI: 0.820-0.895) in the whole validation cohort, which is significantly higher (P-value = 0.005) than radiologists (0.773, 95% CI: 0.727-0.818). The integration of radiologists' diagnosis and PUCAS-M (mPUCAS-M) significantly increases the sensitivity of radiologists from 63.9% to 83.3% in bladder cancer and from 76.9% to 90.3% in upper-tract UC. Lastly, in the neoadjuvant therapy subgroups, mPUCAS-M maintains an improved AUROC (ranging from 0.857-0.865), whereas radiologist assessments' performance decline. PUCAS-M provides accurate, non-invasive MI detection method, particularly valuable for equivocal imaging. Integration with clinical data enhances diagnostic precision, offering a scalable solution for UC management.</t>
  </si>
  <si>
    <t>Shen, Runnan; Jiang, Fan; Huang, Xiaowei; Hong, Guibin; Luo, Yun; Wan, Huan; Xie, Ye; Zhu, Mengyi; Wang, Yun; Liu, Bohao; Qin, Ping; Wang, Yahui; Wang, Haoxuan; Yang, Hongkun; Lin, Zhen; Chen, Rui; Ouyang, Nengtai; Huang, Jian; Lin, Tianxin; Wu, Shaoxu</t>
  </si>
  <si>
    <t>Lin, TX; Wu, SX (corresponding author), Sun Yat Sen Univ, Sun Yat Sen Mem Hosp, Dept Urol, Guangzhou 510120, Peoples R China.; Lin, TX; Wu, SX (corresponding author), Sun Yat Sen Univ, Sun Yat Sen Mem Hosp, Guangdong Prov Key Lab Malignant Tumour Epigenet &amp;, Guangdong Hong Kong Joint Lab RNA Med, Guangzhou 510120, Guangdong, Peoples R China.; Lin, TX; Wu, SX (corresponding author), Guangdong Prov Clin Res Ctr Urol Dis, Guangzhou 510120, Peoples R China.</t>
  </si>
  <si>
    <t>wushx29@mail.sysu.edu.cn; lintx@mail.sysu.edu.cn</t>
  </si>
  <si>
    <t>National Natural Science Foundation of China; National Science and Technology Major Project [2024ZD0525700]; Guangdong Basic and Applied Basic Research Foundation [2025A1515011576]; Guangzhou Science and Technology Program Project [2024A03J1190]; Guangdong Provincial Clinical Research Centre for Urological Diseases [2020B1111170006]; Science and Technology Planning Project of Guangdong Province [2023B1212060013]</t>
  </si>
  <si>
    <t>National Natural Science Foundation of China (National Natural Science Foundation of China (NSFC)); National Science and Technology Major Project; Guangdong Basic and Applied Basic Research Foundation (Guangdong Basic and Applied Basic Research Foundation); Guangzhou Science and Technology Program Project; Guangdong Provincial Clinical Research Centre for Urological Diseases; Science and Technology Planning Project of Guangdong Province (Science and Technology Planning Project of Guangdong Province)</t>
  </si>
  <si>
    <t>R.S., F.J., X.H., G.H., Y.L., and H.W. contributed equally to this work. This study was supported by the National Natural Science Foundation of China (U21A20383, 92459303, and 82341018), the National Science and Technology Major Project (2024ZD0525700), the Guangdong Basic and Applied Basic Research Foundation (2025A1515011576), the Guangzhou Science and Technology Program Project (2024A03J1190), the Guangdong Provincial Clinical Research Centre for Urological Diseases (2020B1111170006), and the Science and Technology Planning Project of Guangdong Province (2023B1212060013).</t>
  </si>
  <si>
    <t>[Shen, Runnan; Jiang, Fan; Hong, Guibin; Xie, Ye; Zhu, Mengyi; Wang, Yun; Wang, Haoxuan; Yang, Hongkun; Huang, Jian; Lin, Tianxin; Wu, Shaoxu] Sun Yat Sen Univ, Sun Yat Sen Mem Hosp, Dept Urol, Guangzhou 510120, Peoples R China; [Shen, Runnan; Jiang, Fan; Hong, Guibin; Xie, Ye; Zhu, Mengyi; Wang, Yun; Wang, Haoxuan; Yang, Hongkun; Huang, Jian; Lin, Tianxin; Wu, Shaoxu] Sun Yat Sen Univ, Sun Yat Sen Mem Hosp, Guangdong Prov Key Lab Malignant Tumour Epigenet &amp;, Guangdong Hong Kong Joint Lab RNA Med, Guangzhou 510120, Guangdong, Peoples R China; [Shen, Runnan; Jiang, Fan; Hong, Guibin; Xie, Ye; Zhu, Mengyi; Wang, Yun; Wang, Haoxuan; Yang, Hongkun; Huang, Jian; Lin, Tianxin; Wu, Shaoxu] Guangdong Prov Clin Res Ctr Urol Dis, Guangzhou 510120, Peoples R China; [Huang, Xiaowei; Lin, Zhen; Chen, Rui] CellsVis Med Technol Serv Co Ltd, Guangzhou 510260, Peoples R China; [Luo, Yun; Liu, Bohao] Sun Yat Sen Univ, Affiliated Hosp 3, Dept Urol, Guangzhou 510630, Peoples R China; [Wan, Huan; Ouyang, Nengtai] Sun Yat Sen Univ, Sun Yat Sen Mem Hosp, Dept Pathol, Guangzhou 510120, Peoples R China; [Qin, Ping] Guangzhou Med Univ, Affiliated Hosp 3, Dept Pathol, Guangzhou 510150, Peoples R China; [Wang, Yahui] Shen Shan Cent Hosp, Dept Urol, Shanwei 516600, Peoples R China</t>
  </si>
  <si>
    <t>Sun Yat Sen University; Sun Yat Sen University; Sun Yat Sen University; Sun Yat Sen University; Guangzhou Medical University</t>
  </si>
  <si>
    <t>Artificial Intelligence-Assisted Urine Cytology for Noninvasive Detection of Muscle-Invasive Urothelial Carcinoma: A Multi-Center Diagnostic Study with Prospective Validation</t>
  </si>
  <si>
    <t>ADVANCED SCIENCE</t>
  </si>
  <si>
    <t>artificial intelligence; muscle invasive; prospective validation; urine cytology; urothelial carcinoma</t>
  </si>
  <si>
    <t>BLADDER-CANCER; TRANSURETHRAL RESECTION; PARIS SYSTEM; IMPACT; STAGE; RECURRENCE</t>
  </si>
  <si>
    <t>Jiang, Fan/PBW-2744-2025; zhu, mengyi/P-5621-2015; Hong, Guibin/JFB-1455-2023; Chen, Rui/PNI-1124-2026</t>
  </si>
  <si>
    <t>WILEY-V C H VERLAG GMBH</t>
  </si>
  <si>
    <t>WEINHEIM</t>
  </si>
  <si>
    <t>POSTFACH 101161, 69451 WEINHEIM, GERMANY</t>
  </si>
  <si>
    <t>2198-3844</t>
  </si>
  <si>
    <t>ADV SCI</t>
  </si>
  <si>
    <t>Adv. Sci.</t>
  </si>
  <si>
    <t>10.1002/advs.202508977</t>
  </si>
  <si>
    <t>http://dx.doi.org/10.1002/advs.202508977</t>
  </si>
  <si>
    <t>Chemistry, Multidisciplinary; Nanoscience &amp; Nanotechnology; Materials Science, Multidisciplinary</t>
  </si>
  <si>
    <t>Chemistry; Science &amp; Technology - Other Topics; Materials Science</t>
  </si>
  <si>
    <t>8VH4C</t>
  </si>
  <si>
    <t>40709669</t>
  </si>
  <si>
    <t>WOS:001535162400001</t>
  </si>
  <si>
    <t>Wu, SX; Hong, GB; Wang, Y; Zeng, H; Lin, Z; Yang, J; Chen, JN; Chen, HT; Huang, Y; Hong, LL; Wang, YY; Feng, WE; Zeng, YJ; Huang, HS; Wang, CH; Xing, C; Dong, GH; Hua, X; Qi, CH; Liu, AJ; Wu, JH; Chen, X; Chen, CH; Zhong, WL; Xie, Y; Zhu, MY; Liao, CX; Wang, HX; Yang, HK; Jiang, F; Shen, RN; Huang, ST; Chen, R; Lin, TX</t>
  </si>
  <si>
    <t>Background Accurate detection of lymph node metastasis is crucial for precise tumour staging and treatment planning. Conventional pathological examination can overlook lymph node micrometastasis, resulting in under-diagnosis and suboptimal clinical outcomes. This study aimed to develop a pan-cancer artificial intelligence diagnostic model (PanCAM) for detecting lymph node metastasis across cancer types. Methods In this multicentre diagnostic study, patients who had undergone tumour resection and lymph node dissection from 17 hospitals in China were included. The entire dataset included nine common and 24 rare cancers. Histological slides of resected lymph nodes were collected and scanned to generate whole slide images (WSIs). PanCAM was developed by use of supervised learning and incremental learning strategies and trained and internally validated retrospectively on WSIs from nine common cancers at Sun Yat-sen Memorial Hospital of Sun Yat-sen University (Guangzhou, China). Its generalisability was retrospectively validated by use of WSIs from 15 external hospitals in China and the publicly available CAMELYON16 dataset from the Netherlands, representing both common and rare cancers. Prospective validation was done in a multicentre study (NCT06517979) across nine hospitals in China. The primary outcome was diagnostic sensitivity for detecting lymph node metastasis. In a secondary analysis, we compared performance between PanCAM and pathologists. Findings Between Jan 1, 2013, and Nov 30, 2024, 9256 patients from 17 hospitals in China were included in the study (4735 [51.2%] men; 4521 [48.8%] women; median age 60 years [IQR 50-69]; 3486 [37.7%] with lymph node metastasis). The dataset comprised 1303 patients in the training set, 558 in the internal validation set, 6006 in the external validation sets, and 1389 in the prospective validation sets, totalling 69 502 images and 153 985 lymph nodes. The CAMELYON16 dataset consisted of 399 images. In the retrospective validation, the diagnostic sensitivity of PanCAM for detecting lymph node metastasis ranged from 0.97 (95% CI 0.92-0.99) to 1.00 (0.98-1.00) across 16 hospitals, and was 0.96 (0.92-0.99) on the CAMELYON16 dataset. In the prospective validation, PanCAM exhibited sensitivity ranging from 0.93 (0.78-0.99) to 1.00 (0.98-1.00) across nine hospitals. Despite being trained solely on images from common cancers, PanCAM achieved a sensitivity of 0.98 (0.95-1.00) for rare cancers in both retrospective and prospective validations. At the patient level, PanCAM identified 120 additional patients with lymph node metastasis who were missed by pathologists in the retrospective validation and 21 additional cases in the prospective validation. Interpretation PanCAM provided a generalisable solution for detecting lymph node metastasis across cancer types. With high sensitivity and robust performance, the model could assist pathologists in diagnosing lymph node metastasis, improving diagnostic accuracy, supporting treatment decision making, and ultimately enhancing patient outcomes.</t>
  </si>
  <si>
    <t>Wu, Shaoxu; Hong, Guibin; Wang, Yun; Zeng, Hong; Lin, Zhen; Yang, Jie; Chen, Jianning; Chen, Hongtao; Huang, Yan; Hong, Liangli; Wang, Yuanyuan; Feng, Weineng; Zeng, Yunjie; Huang, Huasheng; Wang, Chunhui; Xing, Chen; Dong, Gehong; Hua, Xing; Qi, Changhai; Liu, Aijun; Wu, Jihua; Chen, Xu; Chen, Changhao; Zhong, Wenlong; Xie, Ye; Zhu, Mengyi; Liao, Chengxiao; Wang, Haoxuan; Yang, Hongkun; Jiang, Fan; Shen, Runnan; Huang, Shuting; Chen, Rui; Lin, Tianxin</t>
  </si>
  <si>
    <t>Lin, TX (corresponding author), Sun Yat Sen Univ, Sun Yat Sen Mem Hosp, Dept Urol, Guangzhou 510120, Peoples R China.</t>
  </si>
  <si>
    <t>lintx@mail.sysu.edu.cn</t>
  </si>
  <si>
    <t>National Natural Science Foundation of China; National Science and Technology Major Project; Science and Technology Projects in Guangzhou; Guangdong Provincial Clinical Research Centre for Urological Diseases; Science and Technology Planning Project of Guangdong Province</t>
  </si>
  <si>
    <t>National Natural Science Foundation of China (National Natural Science Foundation of China (NSFC)); National Science and Technology Major Project; Science and Technology Projects in Guangzhou; Guangdong Provincial Clinical Research Centre for Urological Diseases; Science and Technology Planning Project of Guangdong Province (Science and Technology Planning Project of Guangdong Province)</t>
  </si>
  <si>
    <t>National Natural Science Foundation of China, National Science and Technology Major Project, Science and Technology Projects in Guangzhou, Guangdong Provincial Clinical Research Centre for Urological Diseases, and Science and Technology Planning Project of Guangdong Province.</t>
  </si>
  <si>
    <t>[Wu, Shaoxu; Hong, Guibin; Wang, Yun; Xing, Chen; Chen, Xu; Chen, Changhao; Zhong, Wenlong; Xie, Ye; Zhu, Mengyi; Liao, Chengxiao; Wang, Haoxuan; Yang, Hongkun; Jiang, Fan; Shen, Runnan; Lin, Tianxin] Sun Yat Sen Univ, Sun Yat Sen Mem Hosp, Guangdong Prov Key Lab Malignant Tumour Epigenet, Guangdong Hong Kong Joint Lab RNA Med,Dept Urol, Guangzhou, Guangdong, Peoples R China; [Zeng, Hong] Sun Yat Sen Univ, Sun Yat Sen Mem Hosp, Dept Pathol, Guangzhou, Peoples R China; [Lin, Zhen; Huang, Shuting; Chen, Rui] CellsVis Med Technol Serv, Guangzhou, Peoples R China; [Yang, Jie] Southern Med Univ, Dept Pathol, Zhujiang Hosp, Guangzhou, Peoples R China; [Chen, Jianning] Sun Yat Sen Univ, Affiliated Hosp 3, Dept Pathol, Guangzhou, Peoples R China; [Chen, Hongtao; Lin, Tianxin] Sun Yat Sen Univ, Affiliated Hosp 5, Dept Clin Lab, Zhuhai, Peoples R China; [Lin, Tianxin] Sun Yat Sen Univ, Affiliated Hosp 5, Dept Urol, Zhuhai, Peoples R China; [Huang, Yan] Sun Yat Sen Univ, Affiliated Hosp 6, Dept Pathol, Guangzhou, Peoples R China; [Hong, Liangli] Shantou Univ, Dept Pathol, Affiliated Hosp 1, Med Coll, Shantou, Peoples R China; [Wang, Yun; Wang, Yuanyuan] Shantou Cent Hosp, Dept Pathol, Shantou, Peoples R China; [Feng, Weineng] First Peoples Hosp Foshan, Dept Pulm Oncol, Foshan, Peoples R China; [Zeng, Yunjie] Shen Shan Cent Hosp, Dept Pathol, Shanwei, Peoples R China; [Huang, Huasheng] Houjie Hosp Dongguan, Dept Urol, Dongguan, Peoples R China; [Wang, Chunhui] Yanan Hosp Kunming, Dept Urol, Kunming, Peoples R China; [Xing, Chen] Xinjiang Med Univ, Dept Urol, Affiliated Hosp 5, Urumqi, Xinjiang, Peoples R China; [Dong, Gehong] Capital Med Univ, Dept Pathol, Beijing Tiantan Hosp, Beijing, Peoples R China; [Hua, Xing] Guangzhou Red Cross Hosp, Dept Pathol, Guangzhou, Peoples R China; [Qi, Changhai] Aerosp Ctr Hosp, Dept Pathol, Beijing, Peoples R China; [Liu, Aijun] Seventh Med Ctr Chinese Peoples Liberat Army Gen H, Dept Pathol, Beijing, Peoples R China; [Wu, Jihua] Chinese Peoples Liberat Army Gen Hosp, Dept Pathol, Ninth Med Ctr, Beijing, Peoples R China; [Lin, Tianxin] Sun Yat Sen Univ, Sun Yat Sen Mem Hosp, Dept Urol, Guangzhou 510120, Peoples R China</t>
  </si>
  <si>
    <t>Sun Yat Sen University; Sun Yat Sen University; Southern Medical University - China; Sun Yat Sen University; Sun Yat Sen University; Sun Yat Sen University; Sun Yat Sen University; Xinjiang Medical University; Capital Medical University; Aerospace Center Hospital; Chinese People's Liberation Army General Hospital; Sun Yat Sen University</t>
  </si>
  <si>
    <t>Artificial intelligence-based pathological model for pan-cancer lymph node metastasis detection: a multicentre diagnostic study with retrospective and prospective validation</t>
  </si>
  <si>
    <t>COLORECTAL-CANCER; PROSTATE-CANCER; HIGH-RISK; PREDICTION</t>
  </si>
  <si>
    <t>Hong, Guibin/JFB-1455-2023; Hong, Liangli/NBX-5504-2025; Chen, Xu/ISS-8928-2023; jiang, yuchuan/ACZ-6105-2022; Lin, Zhenzhe/PMF-9346-2026; Jiang, Fan/PBW-2744-2025</t>
  </si>
  <si>
    <t>Lin, Zhen/0000-0002-6181-5532</t>
  </si>
  <si>
    <t>100961</t>
  </si>
  <si>
    <t>10.1016/j.landig.2025.100961</t>
  </si>
  <si>
    <t>http://dx.doi.org/10.1016/j.landig.2025.100961</t>
  </si>
  <si>
    <t>HC1YJ</t>
  </si>
  <si>
    <t>41792018</t>
  </si>
  <si>
    <t>WOS:001750568300001</t>
  </si>
  <si>
    <t>Chari, A; Adler, S; Wagstyl, K; Seunarine, K; Tahir, MZ; Moeller, F; Thornton, R; Boyd, S; Das, K; Cooray, G; Smith, S; D'Arco, F; Baldeweg, T; Eltze, C; Cross, JH; Tisdall, MM</t>
  </si>
  <si>
    <t>Aim: To evaluate a lesion detection algorithm designed to detect focal cortical dysplasia (FCD) in children undergoing stereoelectroencephalography (SEEG) as part of their presurgical evaluation for drug-resistant epilepsy.Method: This was a prospective, single-arm, interventional study (Idea, Development, Exploration, Assessment, and Long-Term Follow-Up phase 1/2a). After routine SEEG planning, structural magnetic resonance imaging sequences were run through an FCD lesion detection algorithm to identify putative clusters. If the top three clusters were not already sampled, up to three additional SEEG electrodes were added. The primary outcome measure was the proportion of patients who had additional electrode contacts in the SEEG-defined seizure-onset zone (SOZ).Results: Twenty patients (median age 12 years, range 4-18 years) were enrolled, one of whom did not undergo SEEG. Additional electrode contacts were part of the SOZ in 1 out of 19 patients while 3 out of 19 patients had clusters that were part of the SOZ but they were already implanted. A total of 16 additional electrodes were implanted in nine patients and there were no adverse events from the additional electrodes.Interpretation: We demonstrate early-stage prospective clinical validation of a machine learning lesion detection algorithm used to aid the identification of the SOZ in children undergoing SEEG. We share key lessons learnt from this evaluation and emphasize the importance of robust prospective evaluation before routine clinical adoption of such algorithms.</t>
  </si>
  <si>
    <t>Chari, Aswin; Adler, Sophie; Wagstyl, Konrad; Seunarine, Kiran; Tahir, M. Zubair; Moeller, Friederike; Thornton, Rachel; Boyd, Steward; Das, Krishna; Cooray, Gerald; Smith, Stuart; D'Arco, Felice; Baldeweg, Torsten; Eltze, Christin; Cross, J. Helen; Tisdall, Martin M. M.</t>
  </si>
  <si>
    <t>Chari, A (corresponding author), UCL, Great Ormond St Hosp, Inst Child Hlth, Dev Neurosci, 30 Guilford St, London WC1N 3JH, England.</t>
  </si>
  <si>
    <t>aswin.chari.18@ucl.ac.uk</t>
  </si>
  <si>
    <t>Great Ormond Street Hospital Charity [VS0319]; European Association of Neurosurgical Societies [EANS-StrykerGrant2020]; Rosetrees Trust [A2665]; NIHR Great Ormond Street Biomedical Research Centre</t>
  </si>
  <si>
    <t>Great Ormond Street Hospital Charity; European Association of Neurosurgical Societies; Rosetrees Trust (Rosetrees Trust); NIHR Great Ormond Street Biomedical Research Centre</t>
  </si>
  <si>
    <t>Great Ormond Street Hospital Charity, Grant/Award Number: VS0319; European Association of Neurosurgical Societies, Grant/Award Number: EANS-StrykerGrant2020; The Rosetrees Trust, Grant/Award Number: A2665; NIHR Great Ormond Street Biomedical Research Centre</t>
  </si>
  <si>
    <t>[Chari, Aswin; Tahir, M. Zubair; Tisdall, Martin M. M.] Great Ormond St Hosp Sick Children, Dept Neurosurg, London, England; [Chari, Aswin; Adler, Sophie; Wagstyl, Konrad; Seunarine, Kiran; Baldeweg, Torsten; Cross, J. Helen; Tisdall, Martin M. M.] UCL, Inst Child Hlth, Dev Neurosci, London, England; [Wagstyl, Konrad] UCL, Wellcome Ctr Human Neuroimaging, London, England; [Moeller, Friederike; Boyd, Steward; Das, Krishna; Cooray, Gerald; Smith, Stuart] Great Ormond St Hosp Sick Children, Dept Neurophysiol, London, England; [Thornton, Rachel] Addenbrookes Hosp, Dept Neurophysiol, Cambridge, England; [Das, Krishna; Eltze, Christin; Cross, J. Helen] Great Ormond St Hosp Sick Children, Dept Neurol, London, England; [D'Arco, Felice] Great Ormond St Hosp Sick Children, Dept Neuroradiol, London, England; [Chari, Aswin] UCL, Great Ormond St Hosp, Inst Child Hlth, Dev Neurosci, 30 Guilford St, London WC1N 3JH, England</t>
  </si>
  <si>
    <t>University of London; University College London; Great Ormond Street Hospital for Children NHS Foundation Trust; University of London; University College London; University of London; University College London; University of London; University College London; Great Ormond Street Hospital for Children NHS Foundation Trust; Cambridge University Hospitals NHS Foundation Trust; University of Cambridge; Addenbrooke's Hospital; University of London; University College London; Great Ormond Street Hospital for Children NHS Foundation Trust; University of London; University College London; Great Ormond Street Hospital for Children NHS Foundation Trust; University of London; University College London; Great Ormond Street Hospital for Children NHS Foundation Trust</t>
  </si>
  <si>
    <t>Lesion detection in epilepsy surgery: Lessons from a prospective evaluation of a machine learning algorithm</t>
  </si>
  <si>
    <t>DEVELOPMENTAL MEDICINE AND CHILD NEUROLOGY</t>
  </si>
  <si>
    <t>MULTIVARIABLE PREDICTION MODEL; INDIVIDUAL PROGNOSIS; DIAGNOSIS TRIPOD</t>
  </si>
  <si>
    <t>D'Arco, Felice/AAE-6902-2019; Cross, Helen/ACK-3032-2022</t>
  </si>
  <si>
    <t>Cross, Helen/0000-0001-7345-4829; Chari, Aswin/0000-0003-0053-147X</t>
  </si>
  <si>
    <t>0012-1622</t>
  </si>
  <si>
    <t>1469-8749</t>
  </si>
  <si>
    <t>DEV MED CHILD NEUROL</t>
  </si>
  <si>
    <t>Dev. Med. Child Neurol.</t>
  </si>
  <si>
    <t>10.1111/dmcn.15727</t>
  </si>
  <si>
    <t>http://dx.doi.org/10.1111/dmcn.15727</t>
  </si>
  <si>
    <t>Clinical Neurology; Pediatrics</t>
  </si>
  <si>
    <t>Neurosciences &amp; Neurology; Pediatrics</t>
  </si>
  <si>
    <t>DO6FQ</t>
  </si>
  <si>
    <t>37559345</t>
  </si>
  <si>
    <t>WOS:001045089900001</t>
  </si>
  <si>
    <t>Khunte, M; Chae, A; Wang, R; Jain, R; Sun, Y; Sollee, JR; Jiao, Z; Bai, H</t>
  </si>
  <si>
    <t>AIM: To examine the current landscape of US Food and Drug Administration (FDA)-approved artificial intelligence (AI) medical imaging devices and identify trends in clinical validation strategy.MATERIALS AND METHODS: A retrospective study was conducted that analysed data extracted from the American College of Radiology (ACR) Data Science Institute AI Central database as of November 2021 to identify trends in FDA clearance of AI products related to medical imaging. Product and clinical validation information of each device was gathered from their respective public 510(k) summary or de novo request submission, depending on their type of authorisation.RESULTS: Overall, the database included a total of 151 AI algorithms that were cleared by the FDA between 2008 and November 2021. Out of the 151 FDA summaries reviewed, 97 (64.2%) reported the use of clinical data to validate their device, with six (4%) revealing study participant demographics, and eight (5.3%) reporting the specifications of the machines used. A total of 51 (33.8%) AI devices characterised their clinical data as multicentre, three (2%) as single-centre, and the remaining 97 (64.2%) did not specify. The ground truth used for clinical validation was specified in 78 (51.6%) FDA summaries.CONCLUSION: A wide breadth of AI algorithms has been developed for medical imaging. Most of the FDA summaries of the devices mention their use of clinical data and patient cases for device validation; however, few devices revealed the patient demographics or machine specifications used in their clinical studies, which may lead some consumers to question their external validation.(c) 2022 The Royal College of Radiologists. Published by Elsevier Ltd. All rights reserved.</t>
  </si>
  <si>
    <t>Khunte, M.; Chae, A.; Wang, R.; Jain, R.; Sun, Y.; Sollee, J. R.; Jiao, Z.; Bai, H. X.</t>
  </si>
  <si>
    <t>Bai, H (corresponding author), Johns Hopkins, Dept Radiol &amp; Radiol Sci, Sch Med, Baltimore, MD 21205 USA.</t>
  </si>
  <si>
    <t>hbai7@jhu.edu</t>
  </si>
  <si>
    <t>[Khunte, M.; Sollee, J. R.] Brown Univ, Warren Alpert Sch Med, Providence, RI USA; [Chae, A.] Univ Penn, Perelman Sch Med, Philadelphia, PA USA; [Wang, R.] Johns Hopkins Univ, Sch Med, Baltimore, MD USA; [Jain, R.] Brown Univ, Providence, RI USA; [Sun, Y.] World Bank, Washington, DC USA; [Jiao, Z.] Brown Univ, Warren Alpert Sch Med, Dept Diagnost Imaging, Providence, RI USA; [Bai, H. X.] Johns Hopkins Univ, Dept Radiol &amp; Radiol Sci, Sch Med, Baltimore, MD USA; [Bai, H. X.] Johns Hopkins, Dept Radiol &amp; Radiol Sci, Sch Med, Baltimore, MD 21205 USA</t>
  </si>
  <si>
    <t>Brown University; University of Pennsylvania; Pennsylvania Medicine; Johns Hopkins University; Johns Hopkins Medicine; Brown University; The World Bank; Brown University; Johns Hopkins University; Johns Hopkins Medicine; Johns Hopkins University; Johns Hopkins Medicine</t>
  </si>
  <si>
    <t>Trends in clinical validation and usage of US Food and Drug Administration-cleared artificial intelligence algorithms for medical imaging</t>
  </si>
  <si>
    <t>CLINICAL RADIOLOGY</t>
  </si>
  <si>
    <t>CANCER</t>
  </si>
  <si>
    <t>Jiao, Zhicheng/0000-0002-6968-0919</t>
  </si>
  <si>
    <t>W B SAUNDERS CO LTD</t>
  </si>
  <si>
    <t>32 JAMESTOWN RD, LONDON NW1 7BY, ENGLAND</t>
  </si>
  <si>
    <t>0009-9260</t>
  </si>
  <si>
    <t>1365-229X</t>
  </si>
  <si>
    <t>CLIN RADIOL</t>
  </si>
  <si>
    <t>Clin. Radiol.</t>
  </si>
  <si>
    <t>129</t>
  </si>
  <si>
    <t>10.1016/j.crad.2022.09.122</t>
  </si>
  <si>
    <t>http://dx.doi.org/10.1016/j.crad.2022.09.122</t>
  </si>
  <si>
    <t>H2BB8</t>
  </si>
  <si>
    <t>36625218</t>
  </si>
  <si>
    <t>WOS:000994059400001</t>
  </si>
  <si>
    <t>Hurkmans, C; Bibault, JE; Brock, KK; van Elmpt, W; Feng, MRY; Fuller, CD; Jereczek-Fossa, BA; Korreman, S; Landry, G; Madesta, F; Mayo, C; Mcwilliam, A; Moura, F; Muren, LP; El Naqa, I; Seuntjens, J; Valentini, V; Velec, M</t>
  </si>
  <si>
    <t>Background and purpose: Artificial Intelligence (AI) models in radiation therapy are being developed with increasing pace. Despite this, the radiation therapy community has not widely adopted these models in clinical practice. A cohesive guideline on how to develop, report and clinically validate AI algorithms might help bridge this gap.</t>
  </si>
  <si>
    <t>Hurkmans, Coen; Bibault, Jean -Emmanuel; Brock, Kristy K.; van Elmpt, Wouter; Feng, Mary; Fuller, Clifton David; Jereczek-Fossa, Barbara A.; Korreman, Stine; Landry, Guillaume; Madesta, Frederic; Mayo, Chuck; Mcwilliam, Alan; Moura, Filipe; Muren, Ludvig P.; El Naqa, Issam; Seuntjens, Jan; Valentini, Vincenzo; Velec, Michael</t>
  </si>
  <si>
    <t>Hurkmans, C (corresponding author), Catharina Hosp, Dept Radiat Oncol, Michelangelolaan 2,POB 1350, NL-5602 ZA Eindhoven, Netherlands.</t>
  </si>
  <si>
    <t>Coen.hurkmans@cze.nl</t>
  </si>
  <si>
    <t>EORTC Cancer Research Fund</t>
  </si>
  <si>
    <t>AcknowledgementsWe thank Marjan Sharabiani for her invaluable help in the conceptualization of this work, guidance through the Delphi process and fruitful scientific discussions. She was supported by a grant from the EORTC Cancer Research Fund. We acknowledge the comprehensive review of this guideline by the ESTRO and AAPM reviewers. We sincerely appreciate their valuable comments and suggestions, which helped improving the quality of the manuscript.</t>
  </si>
  <si>
    <t>[Hurkmans, Coen] Catharina Hosp, Dept Radiat Oncol, Michelangelolaan 2,POB 1350, NL-5602 ZA Eindhoven, Netherlands; [Hurkmans, Coen] Tech Univ Eindhoven, Dept Elect Engn, Eindhoven, Netherlands; [Bibault, Jean -Emmanuel] Georges Pompidou European Hosp, Dept Radiat Oncol, Paris, France; [Brock, Kristy K.] Univ Texas MD Anderson Canc Ctr, Dept Imaging Phys, Houston, TX USA; [Brock, Kristy K.] Univ Texas MD Anderson Canc Ctr, Dept Radiat Phys, Houston, TX USA; [van Elmpt, Wouter] Maastricht Univ, Med Ctr, GROW Sch Oncol &amp; Reprod, Dept Radiat Oncol MAASTRO, Maastricht, Netherlands; [Feng, Mary] Univ Calif San Francisco, San Francisco, CA USA; [Fuller, Clifton David] Univ Texas MD Anderson Canc, Dept Radiat Oncol, Houston, TX USA; [Jereczek-Fossa, Barbara A.] Univ Milan, Dept Oncol &amp; Hematooncol, Milan, Italy; [Jereczek-Fossa, Barbara A.] IEO European Inst Oncol IRCCS, Dept Radiat Oncol, Milan, Italy; [Korreman, Stine; Muren, Ludvig P.] Aarhus Univ, Dept Clin Med, Aarhus, Denmark; [Korreman, Stine; Muren, Ludvig P.] Aarhus Univ Hosp, Danish Ctr Particle Therapy, Aarhus, Denmark; [Landry, Guillaume; Muren, Ludvig P.] Ludwig Maximilians Univ Munchen, LMU Univ Hosp, Dept Radiat Oncol, Munich, Germany; [Landry, Guillaume] German Canc Consortium DKTK, Partner Site Munich, Tubingen, Germany; [Landry, Guillaume] Bavarian Canc Res Ctr BZKF, Partner Site Munich, Munich, Germany; [Madesta, Frederic] Univ Med Ctr Hamburg Eppendorf, Dept Computat Neurosci, Hamburg, Germany; [Madesta, Frederic] Univ Med Ctr Hamburg Eppendorf, Inst Appl Med Informat, Hamburg, Germany; [Madesta, Frederic] Univ Med Ctr Hamburg Eppendorf, Ctr Biomed Artificial Intelligence bAIome, Hamburg, Germany; [Mayo, Chuck] Univ Michigan, Inst Healthcare Policy &amp; Innovat, Ann Arbor, MI USA; [Mcwilliam, Alan] Univ Manchester, Div Canc Sci, Manchester, England; [Moura, Filipe] Portuguese Red Cross Higher Hlth Sch Lisbon, CrossI&amp;D Lisbon Res Ctr, Lisbon, Portugal; [El Naqa, Issam] Moffitt Canc Ctr, Dept Machine Learning, Tampa, FL 33612 USA; [Seuntjens, Jan] Univ Hlth Network, Princess Margaret Canc Ctr, Radiat Med Program, Toronto, ON, Canada; [Seuntjens, Jan] Univ Toronto, Dept Radiat Oncol, Toronto, ON, Canada; [Seuntjens, Jan] Univ Toronto, Dept Med Biophys, Toronto, ON, Canada; [Valentini, Vincenzo] Fdn Policlin Univ Agostino Gemelli IRCCS, Dept Diagnost Imaging Oncol Radiotherapy &amp; Hematol, Rome, Italy; [Valentini, Vincenzo] Univ Cattolica Sacro Cuore, Rome, Italy; [Velec, Michael] Univ Toronto, Princess Margaret Canc Ctr, Radiat Med Program, Toronto, ON, Canada; [Velec, Michael] Univ Toronto, Dept Radiat Oncol, Toronto, ON, Canada</t>
  </si>
  <si>
    <t>Catharina Hospital; Eindhoven University of Technology; Assistance Publique Hopitaux Paris (APHP); Universite Paris Cite; Hopital Universitaire Europeen Georges-Pompidou - APHP; University of Texas System; UTMD Anderson Cancer Center; University of Texas System; UTMD Anderson Cancer Center; Maastricht University; Maastricht University Medical Centre (MUMC); University of California System; University of California San Francisco; University of Texas System; UTMD Anderson Cancer Center; University of Milan; Aarhus University; Aarhus University; University of Munich; Helmholtz Association; German Cancer Research Center (DKFZ); University of Hamburg; University Medical Center Hamburg-Eppendorf; University of Hamburg; University Medical Center Hamburg-Eppendorf; University of Hamburg; University Medical Center Hamburg-Eppendorf; University of Michigan System; University of Michigan; University of Manchester; H Lee Moffitt Cancer Center &amp; Research Institute; University of Toronto; University Health Network Toronto; Princess Margaret Cancer Centre; University of Toronto; University of Toronto; Catholic University of the Sacred Heart; IRCCS Policlinico Gemelli; Catholic University of the Sacred Heart; IRCCS Policlinico Gemelli; University of Toronto; University Health Network Toronto; Princess Margaret Cancer Centre; University of Toronto</t>
  </si>
  <si>
    <t>A joint ESTRO and AAPM guideline for development, clinical validation and reporting of artificial intelligence models in radiation therapy</t>
  </si>
  <si>
    <t>RADIOTHERAPY AND ONCOLOGY</t>
  </si>
  <si>
    <t>Artificial Intelligence; Deep learning; Machine Learning</t>
  </si>
  <si>
    <t>LUNG-CANCER; RADIOTHERAPY; PREDICTION; MACHINE; QUALITY; RADIOSENSITIVITY; ACCURATE; OUTCOMES; RISK; AI</t>
  </si>
  <si>
    <t>Seuntjens, Jan/KTZ-1481-2024; Landry, Guillaume/AFL-3214-2022; Fuller, Clifton/AAB-4012-2019; Naqa, Issam/T-3066-2019</t>
  </si>
  <si>
    <t>Hurkmans, Coen/0000-0003-2268-0492; Mcwilliam, Alan/0000-0002-7344-2868; Korreman, Stine Sofia/0000-0002-3523-382X; Cidade de Moura, Filipe/0000-0002-4685-1885; Landry, Guillaume/0000-0003-1707-4068; Madesta, Frederic/0000-0001-8987-7690; Mayo, Charles/0000-0003-2030-9892; van Elmpt, Wouter/0000-0001-8820-0784</t>
  </si>
  <si>
    <t>94</t>
  </si>
  <si>
    <t>0167-8140</t>
  </si>
  <si>
    <t>1879-0887</t>
  </si>
  <si>
    <t>RADIOTHER ONCOL</t>
  </si>
  <si>
    <t>Radiother. Oncol.</t>
  </si>
  <si>
    <t>197</t>
  </si>
  <si>
    <t>110345</t>
  </si>
  <si>
    <t>10.1016/j.radonc.2024.110345</t>
  </si>
  <si>
    <t>http://dx.doi.org/10.1016/j.radonc.2024.110345</t>
  </si>
  <si>
    <t>WS4P9</t>
  </si>
  <si>
    <t>38838989</t>
  </si>
  <si>
    <t>WOS:001256853700001</t>
  </si>
  <si>
    <t>Wang, GD; Liu, TT; Ji, WW; Li, TT; Wang, ZY; Hu, TH; Wang, XJ; Shi, ZH</t>
  </si>
  <si>
    <t>Background: Deep vein thrombosis (DVT) is a frequent yet underrecognized complication in critically ill patients with chronic obstructive pulmonary disease (COPD). Existing risk assessment tools are not specifically tailored to this high-risk population. We aimed to develop and externally validate an interpretable machine-learning model for early prediction of DVT in ICU-admitted COPD patients. Methods: Adult COPD patients admitted to the ICU were identified from the MIMIC-IV database and randomly divided into training and internal validation cohorts. Eight machine-learning algorithms were constructed and compared. The best-performing model was externally validated in MIMIC-III and eICU cohorts. Model discrimination, calibration, and clinical utility were assessed using AUC, calibration plots, decision-curve analysis (DCA), and Brier scores. SHAP analysis was applied for global and individual interpretability. A web-based calculator was developed for clinical application. Results: Among 6,672 ICU patients with COPD, 462 (6.9%) developed DVT. XGBoost showed the best overall performance, with an AUC of 0.840 (95% CI 0.812-0.868) in the internal validation cohort and good calibration. External validation confirmed stable discrimination in both MIMIC-III and eICU cohorts. Model interpretation identified prolonged PTT, elevated RDW, reduced SpO2, and increased respiratory rate as important contributors to DVT risk. Decision-curve analysis suggested potential clinical benefit across relevant risk thresholds. Conclusion: We developed and externally validated an explainable machine-learning model for early prediction of DVT in ICU patients with COPD. By providing individualized risk estimates and interpretable explanations, this tool may help clinicians identify high-risk patients earlier and support more targeted thromboprophylaxis and imaging surveillance strategies.</t>
  </si>
  <si>
    <t>Wang, Guangdong; Liu, Tingting; Ji, Wenwen; Li, Tingting; Wang, Zhuoyang; Hu, Tinghua; Wang, Xiaojian; Shi, Zhihong</t>
  </si>
  <si>
    <t>Shi, ZH (corresponding author), Xi An Jiao Tong Univ, Affiliated Hosp 1, Dept Resp &amp; Crit Care Med, 277 Yanta West Rd, Xian 710061, Shaanxi, Peoples R China.; Wang, XJ (corresponding author), Xian Changan Dist Hosp, Dept Resp &amp; Crit Care Med, Xian 710100, Shaanxi, Peoples R China.</t>
  </si>
  <si>
    <t>1216325717@qq.com; docszh@xjtufh.edu.cn</t>
  </si>
  <si>
    <t>Chinese Academy of Medical Sciences Innovation Fund for Medical Sciences [2022-KY-209-3]</t>
  </si>
  <si>
    <t>Chinese Academy of Medical Sciences Innovation Fund for Medical Sciences</t>
  </si>
  <si>
    <t>Funding This research was supported by the Chinese Academy of Medical Sciences Innovation Fund for Medical Sciences (Grant No. 2021-I2M-049) and the Chinese Academy of Medical Sciences Innovation Fund for Medical Sciences (Grant No. 2022-KY-209-3) .</t>
  </si>
  <si>
    <t>[Wang, Guangdong; Liu, Tingting; Ji, Wenwen; Li, Tingting; Wang, Zhuoyang; Hu, Tinghua; Shi, Zhihong] Xi An Jiao Tong Univ, Affiliated Hosp 1, Dept Resp &amp; Crit Care Med, 277 Yanta West Rd, Xian 710061, Shaanxi, Peoples R China; [Wang, Xiaojian] Xian Changan Dist Hosp, Dept Resp &amp; Crit Care Med, Xian 710100, Shaanxi, Peoples R China</t>
  </si>
  <si>
    <t>Explainable Machine Learning for Predicting Deep Vein Thrombosis in Critically Ill Patients with COPD: Development and Multicenter External Validation</t>
  </si>
  <si>
    <t>INTERNATIONAL JOURNAL OF CHRONIC OBSTRUCTIVE PULMONARY DISEASE</t>
  </si>
  <si>
    <t>chronic obstructive pulmonary disease; deep vein thrombosis; machine learning; XGBoost; SHAP interpretability</t>
  </si>
  <si>
    <t>ACUTE VENOUS THROMBOEMBOLISM; RISK-ASSESSMENT; INFLAMMATION; VALIDITY; CODES</t>
  </si>
  <si>
    <t>1178-2005</t>
  </si>
  <si>
    <t>INT J CHRONIC OBSTR</t>
  </si>
  <si>
    <t>Int. J. Chronic Obstr. Pulm. Dis.</t>
  </si>
  <si>
    <t>21609203</t>
  </si>
  <si>
    <t>10.2147/COPD.S609203</t>
  </si>
  <si>
    <t>http://dx.doi.org/10.2147/COPD.S609203</t>
  </si>
  <si>
    <t>MW1AP</t>
  </si>
  <si>
    <t>WOS:001852273100001</t>
  </si>
  <si>
    <t>Li, CZ; Wang, XM; Zhang, C; Rao, JJ; Jiang, B; Xiang, Y; Liu, YH; Tang, F</t>
  </si>
  <si>
    <t>Background Kawasaki disease (KD) is the leading cause of acquired cardiac disease in children, in whom delayed diagnosis carries a substantial risk of coronary artery aneurysms. Differentiating KD from other paediatric febrile illnesses remains clinically challenging because no single laboratory test confirms the diagnosis. Existing machine-learning (ML) models for KD identification lack independent external validation and consistent calibration reporting. We aimed to develop and externally validate an interpretable ML model for early KD diagnosis based on routine laboratory parameters.Methods We conducted a retrospective two-centre TRIPOD + AI diagnostic accuracy study (Wuhan Children's Hospital, internal n = 5,261; Hubei Provincial People's Hospital, external n = 461). Nine ML algorithms were benchmarked on 36 candidate routine variables; LASSO yielded 27 non-zero predictors. Models underwent 10 &amp; times; 10 repeated cross-validation; selection used OOF performance (max AUC; min Brier; sensitivity &gt;= 85%). The external cohort was blinded for one-time transportability evaluation. Calibration was assessed per the Van Calster hierarchy; clinical utility by decision curve analysis; interpretability by SHAP.Results XGBoost achieved the highest OOF AUC (0.962, 95% CI 0.961-0.964), internal test AUC 0.970, and lowest internal test Brier score (0.065). Blinded external AUC was 0.893 (95% CI 0.863-0.920). At threshold 0.699, internal sensitivity was 85.7% (specificity 96.1%) and external sensitivity 65.8% (specificity 95.0%). A three-zone Bayesian framework raised operational sensitivity to 72.8%; site-specific Platt recalibration further restored it to 84.8% at the cost of specificity reduction (95.2% to 75.4%). Likelihood ratios were PLR = 13.16 and NLR = 0.360. SHAP identified prealbumin, GGT, CK, neutrophils, hsCRP, and WBC as top-six features (39.6% of total credit), with high cross-cohort stability (Spearman rho = 0.949).Conclusions A Platt-calibrated XGBoost model selected exclusively on OOF performance delivered the best diagnostic profile among nine algorithms, with blinded external validation demonstrating transportability alongside meaningful calibration drift recoverable by site-specific recalibration. The SHAP signature highlights prealbumin and gamma-glutamyltransferase as diagnostically informative biomarkers absent from current AHA criteria. The model is freely accessible at .</t>
  </si>
  <si>
    <t>Li, Changzhen; Wang, Xiaomei; Zhang, Chi; Rao, Jingjing; Jiang, Boan; Xiang, Yun; Liu, Yanhong; Tang, Feng</t>
  </si>
  <si>
    <t>Xiang, Y; Tang, F (corresponding author), Huazhong Univ Sci &amp; Technol, Wuhan Childrens Hosp, Wuhan Maternal &amp; Child Healthcare Hosp, Tongji Med Coll,Dept Lab Med, Wuhan 430015, Peoples R China.; Liu, YH (corresponding author), Wuhan Univ, Renmin Hosp, Dept Clin Lab, Wuhan 430060, Hubei, Peoples R China.</t>
  </si>
  <si>
    <t>tang33feng66@163.com; xiangyun426@163.com; 1376090683@qq.com</t>
  </si>
  <si>
    <t>[Li, Changzhen; Wang, Xiaomei; Rao, Jingjing; Xiang, Yun; Tang, Feng] Huazhong Univ Sci &amp; Technol, Wuhan Childrens Hosp, Wuhan Maternal &amp; Child Healthcare Hosp, Tongji Med Coll,Dept Lab Med, Wuhan 430015, Peoples R China; [Zhang, Chi] Huazhong Univ Sci &amp; Technol, Tongji Hosp, Tongji Med Coll, Dept Lab Med, 1095 Jiefang Ave, Wuhan 430030, Peoples R China; [Jiang, Boan; Liu, Yanhong] Wuhan Univ, Renmin Hosp, Dept Clin Lab, Wuhan 430060, Hubei, Peoples R China</t>
  </si>
  <si>
    <t>Huazhong University of Science &amp; Technology; Huazhong University of Science &amp; Technology; Wuhan University</t>
  </si>
  <si>
    <t>Early identification of Kawasaki disease using an interpretable machine learning model with robust external validation and clinical utility assessment</t>
  </si>
  <si>
    <t>EUROPEAN JOURNAL OF MEDICAL RESEARCH</t>
  </si>
  <si>
    <t>Kawasaki disease; Machine learning; XGBoost; SHAP; Differential diagnosis; External validation; Clinical decision support</t>
  </si>
  <si>
    <t>LONG-TERM MANAGEMENT; SCIENTIFIC STATEMENT; HEALTH-PROFESSIONALS; DIAGNOSIS; CALIBRATION; TRANSTHYRETIN</t>
  </si>
  <si>
    <t>0949-2321</t>
  </si>
  <si>
    <t>2047-783X</t>
  </si>
  <si>
    <t>EUR J MED RES</t>
  </si>
  <si>
    <t>Eur. J. Med. Res.</t>
  </si>
  <si>
    <t>JUN 9 2026</t>
  </si>
  <si>
    <t>960</t>
  </si>
  <si>
    <t>10.1186/s40001-026-04712-2</t>
  </si>
  <si>
    <t>http://dx.doi.org/10.1186/s40001-026-04712-2</t>
  </si>
  <si>
    <t>KS7MF</t>
  </si>
  <si>
    <t>WOS:001814712200001</t>
  </si>
  <si>
    <t>Yao, LF; Chen, YJ; Shen, J; Zhang, JE; Zhang, YW; Liang, GJ; Ji, YQ</t>
  </si>
  <si>
    <t>Purpose: High-quality narrative feedback is essential for competency-based medical education, but manual evaluation of feedback is time-consuming and subjective. This research aims to develop and validate a machine learning (ML)-based model to automate the bulk evaluation of feedback quality from anesthesiology residency program instructors. Methods: Using 990 narrative feedback entries from October 2023 to November 2025 at the First Affiliated Hospital of Ningbo University, we conducted training and validation. An additional 587 feedback records from Ningbo Li HuiLi Hospital were used as an external test set. Text processing employed the jieba Chinese word segmenter combined with an anesthesia-specific vocabulary database to extract TF-IDF and manual features. Data imbalance was addressed using the Synthetic Minority Oversampling Technique (SMOTE). Logistic regression (LR), random forests (RF), and Gradient Boosting Machine (GBM) were used for training and validation. Model performance was measured using the area under the receiver operating characteristic curve (AUC-ROC), accuracy, cross-validation accuracy, precision, recall, and F1 score. Results: In internal training, LR performed optimally, demonstrating the best overall performance (F1 score: 0.941) and stability (cross-validation accuracy: 0.925 +/- 0.026), along with the highest precision (0.906). In external testing, the LR model achieved an overall accuracy of 0.840 (95% CI: 0.808-0.867), with high recall (0.956) and moderate precision (0.636) for identifying high-quality feedback, yielding an F1 score of 0.764 and an AUC of 0.729. Conclusion: This study successfully developed and externally validated a machine learning-based model for automated feedback quality assessment in Chinese anesthesiology residency training. With its high recall and stable internal performance, the model may serve as a screening tool to support competency-based medical education by enabling batch evaluation of narrative feedback.</t>
  </si>
  <si>
    <t>Yao, Lifeng; Chen, Yijun; Shen, Jing; Zhang, Junge; Zhang, Yiwei; Liang, Guojin; Ji, Yiqin</t>
  </si>
  <si>
    <t>Chen, YJ (corresponding author), Ningbo Univ, Affiliated Hosp 1, Dept Anesthesiol, 59 Liuting St, Ningbo 315010, Zhejiang, Peoples R China.</t>
  </si>
  <si>
    <t>fyychenyijun@nbu.edu.cn</t>
  </si>
  <si>
    <t>Zhejiang Provincial Medical and Health Science and Technology Program [2025KY1333]; Ningbo Municipal Major Breakthrough Project for High-Level Medical Teams [2024010317]; First Affiliated Hospital of Ningbo University Educational Research Project [2025-JXK-007]</t>
  </si>
  <si>
    <t>Zhejiang Provincial Medical and Health Science and Technology Program; Ningbo Municipal Major Breakthrough Project for High-Level Medical Teams; First Affiliated Hospital of Ningbo University Educational Research Project</t>
  </si>
  <si>
    <t>This research was supported by the following grants: Zhejiang Provincial Medical and Health Science and Technology Program (No. 2025KY1333) ; Ningbo Municipal Major Breakthrough Project for High-Level Medical Teams (No. 2024010317) ; The First Affiliated Hospital of Ningbo University Educational Research Project (No. 2025-JXK-007) .</t>
  </si>
  <si>
    <t>[Yao, Lifeng; Chen, Yijun; Shen, Jing; Zhang, Junge; Zhang, Yiwei; Liang, Guojin; Ji, Yiqin] Ningbo Univ, Affiliated Hosp 1, Dept Anesthesiol, 59 Liuting St, Ningbo 315010, Zhejiang, Peoples R China</t>
  </si>
  <si>
    <t>Ningbo University</t>
  </si>
  <si>
    <t>Development and External Validation of a Machine Learning Model for Automated Feedback Quality Assessment in Chinese Anesthesiology Residency Training</t>
  </si>
  <si>
    <t>ADVANCES IN MEDICAL EDUCATION AND PRACTICE</t>
  </si>
  <si>
    <t>machine learning; natural language processing; medical education; educational improvement; feedback quality</t>
  </si>
  <si>
    <t>1179-7258</t>
  </si>
  <si>
    <t>ADV MED EDUC PRACT</t>
  </si>
  <si>
    <t>Adv. Med. Educ. Pract.</t>
  </si>
  <si>
    <t>599543</t>
  </si>
  <si>
    <t>10.2147/AMEP.S599543</t>
  </si>
  <si>
    <t>http://dx.doi.org/10.2147/AMEP.S599543</t>
  </si>
  <si>
    <t>Education, Scientific Disciplines</t>
  </si>
  <si>
    <t>Education &amp; Educational Research</t>
  </si>
  <si>
    <t>HM3ZI</t>
  </si>
  <si>
    <t>42094912</t>
  </si>
  <si>
    <t>WOS:001757494200001</t>
  </si>
  <si>
    <t>Jiang, L; Wang, SY; Ai, ZP; Shen, TW; Zhang, H; Duan, SF; Chen, YC; Yin, XD; Sun, J</t>
  </si>
  <si>
    <t>Objectives To develop and externally validate a machine learning (ML) model based on diffusion-weighted imaging (DWI) and fluid-attenuated inversion recovery (FLAIR) to identify the onset time of wake-up stroke from MRI.Methods DWI and FLAIR images of stroke patients within 24 h of clear symptom onset in our hospital (dataset 1, n=410) and another hospital (dataset 2, n= 177) were included. Seven ML models based on dataset 1 were developed to estimate the stroke onset time for binary classification (&lt;= 4.5 h or &gt;4.5 h): Random Forest (RF), support vector machine with kernel (svmLinear) or radial basis function kernel (svmRadial), Bayesian (Bayer), K-nearest neighbor (KNN), adaptive boosting (AdaBoost), and neural network (NNET). ROC analysis and RSD were performed to evaluate the performance and stability of the ML models, respectively, and dataset 2 was externally validated to evaluate the model generalization ability using ROC analysis.Results svmRadial achieved the best performance with the highest AUC and accuracy (AUC: 0.896, accuracy: 0.878), and was the most stable (RSD% of AUC: 0.08, RSD% of accuracy: 0.06). The svmRadial model was then selected as the final model, and the AUC of the svmRadial model for predicting the onset time external validation was 0.895, with 0.825 accuracy.Conclusions The svmRadial model using DWI + FLAIR is the most stable and generalizable for identifying the onset time of wake-up stroke patients within 4.5 h of symptom onset.</t>
  </si>
  <si>
    <t>Jiang, Liang; Wang, Siyu; Ai, Zhongping; Shen, Tingwen; Zhang, Hong; Duan, Shaofeng; Chen, Yu-Chen; Yin, Xindao; Sun, Jun</t>
  </si>
  <si>
    <t>Yin, XD; Sun, J (corresponding author), Nanjing Med Univ, Nanjing Hosp 1, Dept Radiol, 68 Changle Rd, Nanjing 210006, Peoples R China.</t>
  </si>
  <si>
    <t>y.163yy@163.com; 13505194324@163.com</t>
  </si>
  <si>
    <t>Natural Science Foundation of Jiangsu Province [BK20201118]; Jiangsu Provincial Special Program of Medical Science [BE2021604]</t>
  </si>
  <si>
    <t>Natural Science Foundation of Jiangsu Province (Natural Science Foundation of Jiangsu Province); Jiangsu Provincial Special Program of Medical Science</t>
  </si>
  <si>
    <t>Our study was funded by Natural Science Foundation of Jiangsu Province (No. BK20201118) and The Jiangsu Provincial Special Program of Medical Science (No. BE2021604).</t>
  </si>
  <si>
    <t>[Jiang, Liang; Wang, Siyu; Ai, Zhongping; Chen, Yu-Chen; Yin, Xindao; Sun, Jun] Nanjing Med Univ, Nanjing Hosp 1, Dept Radiol, 68 Changle Rd, Nanjing 210006, Peoples R China; [Shen, Tingwen; Zhang, Hong] Nanjing Med Univ, Dept Radiol, Affiliated Jiangning Hosp, Nanjing 210000, Peoples R China; [Duan, Shaofeng] GE Healthcare, Precis Hlth Inst, Shanghai 200120, Peoples R China</t>
  </si>
  <si>
    <t>Nanjing Medical University; Nanjing Medical University; General Electric</t>
  </si>
  <si>
    <t>Development and external validation of a stability machine learning model to identify wake-up stroke onset time from MRI</t>
  </si>
  <si>
    <t>Wake-up stroke; Machine learning; Diffusion-weighted imaging; Fluid-attenuated inversion recovery</t>
  </si>
  <si>
    <t>ATTENUATED INVERSION-RECOVERY; UNKNOWN TIME; IDENTIFICATION; MISMATCH</t>
  </si>
  <si>
    <t>Wang, Siyu/LJK-3612-2024; hongjie, zhang/AAS-4873-2020; jiang, liang/ABC-2504-2021</t>
  </si>
  <si>
    <t>3661</t>
  </si>
  <si>
    <t>3669</t>
  </si>
  <si>
    <t>10.1007/s00330-021-08493-6</t>
  </si>
  <si>
    <t>http://dx.doi.org/10.1007/s00330-021-08493-6</t>
  </si>
  <si>
    <t>1J9ZO</t>
  </si>
  <si>
    <t>35037969</t>
  </si>
  <si>
    <t>WOS:000744763000001</t>
  </si>
  <si>
    <t>Shimizu, GY; Schrempf, M; Romao, EA; Jauk, S; Kramer, D; Rainer, PP; da Costa, JAC; de Azevedo-Marques, JM; Scarpelini, S; Suzuki, KMF; César, HV; de Azevedo-Marques, PM</t>
  </si>
  <si>
    <t>Background Studies of cardiovascular disease risk prediction by machine learning algorithms often do not assess their ability to generalize to other populations and few of them include an analysis of the interpretability of individual predictions. This manuscript addresses the development and validation, both internal and external, of predictive models for the assessment of risks of major adverse cardiovascular events (MACE). Global and local interpretability analyses of predictions were conducted towards improving MACE's model reliability and tailoring preventive interventions.Methods The models were trained and validated on a retrospective cohort with the use of data from Ribeir &amp; atilde;o Preto Medical School (RPMS), University of S &amp; atilde;o Paulo, Brazil. Data from Beth Israel Deaconess Medical Center (BIDMC), USA, were used for external validation. A balanced sample of 6,000 MACE cases and 6,000 non-MACE cases from RPMS was created for training and internal validation and an additional one of 8,000 MACE cases and 8,000 non-MACE cases from BIDMC was employed for external validation. Eight machine learning algorithms, namely Penalized Logistic Regression, Random Forest, XGBoost, Decision Tree, Support Vector Machine, k-Nearest Neighbors, Naive Bayes, and Multi-Layer Perceptron were trained to predict a 5-year risk of major adverse cardiovascular events and their predictive performance was evaluated regarding accuracy, ROC curve (receiver operating characteristic), and AUC (area under the ROC curve). LIME and Shapley values were applied towards insights about model interpretability.Findings Random Forest showed the best predictive performance in both internal validation (AUC = 0.871 (0.859-0.882); Accuracy = 0.794 (0.782-0.808)) and external one (AUC = 0.786 (0.778-0.792); Accuracy = 0.710 (0.704-0.717)). Compared to LIME, Shapley values suggest more consistent explanations on exploratory analysis and importance of features.Conclusions Among the machine learning algorithms evaluated, Random Forest showed the best generalization ability, both internally and externally. Shapley values for local interpretability were more informative than LIME ones, which is in line with our exploratory analysis and global interpretation of the final model. Machine learning algorithms with good generalization and accompanied by interpretability analyses are recommended for assessments of individual risks of cardiovascular diseases and development of personalized preventive actions.</t>
  </si>
  <si>
    <t>Shimizu, Gilson Yuuji; Schrempf, Michael; Romao, Elen Almeida; Jauk, Stefanie; Kramer, Diether; Rainer, Peter P.; Cardeal da Costa, Jose Abrao; de Azevedo-Marques, Joao Mazzoncini; Scarpelini, Sandro; Suzuki, Katia Mitiko Firmino; Cesar, Hilton Vicente; de Azevedo-Marques, Paulo Mazzoncini</t>
  </si>
  <si>
    <t>Shimizu, GY (corresponding author), Univ Sao Paulo, Ribeirao Preto Med Sch, Ribeirao Preto, SP, Brazil.</t>
  </si>
  <si>
    <t>gilsonshimizu@yahoo.com.br</t>
  </si>
  <si>
    <t>Brazilian National Council for Scientific and Technological Development (CNPq) [302480/2022-6]; ERA PerMed [ERAPERMED2021-219]; Sao Paulo Research Foundation (FAPESP) [2021/06137-4, 2022/16683-9, 2023/01695-4]; Formas [2023-01695] Funding Source: Formas</t>
  </si>
  <si>
    <t>Brazilian National Council for Scientific and Technological Development (CNPq) (Conselho Nacional de Desenvolvimento Cientifico e Tecnologico (CNPQ)); ERA PerMed; Sao Paulo Research Foundation (FAPESP) (Fundacao de Amparo a Pesquisa do Estado de Sao Paulo (FAPESP)); Formas (Swedish Research Council Formas)</t>
  </si>
  <si>
    <t>PMAM, GYS and HVC were financed by The Sao Paulo Research Foundation (FAPESP)-Grants #2021/06137-4, #2022/16683-9, #2023/01695-4. PMAM is also supported by The Brazilian National Council for Scientific and Technological Development (CNPq) Grant #302480/2022-6. MS, SJ, DK and PPR were financed by ERA PerMed funded project PRECARE-ML (Reference number: ERAPERMED2021-219). https://tapesp.br/ https://www.gov.br/cnpq/pt-br https://erapermed.isciii.es/ The funders had no role in study design, data collection and analysis, decision to publish, or manuscript preparation.</t>
  </si>
  <si>
    <t>[Shimizu, Gilson Yuuji; Romao, Elen Almeida; Cardeal da Costa, Jose Abrao; de Azevedo-Marques, Joao Mazzoncini; Scarpelini, Sandro; Suzuki, Katia Mitiko Firmino; Cesar, Hilton Vicente; de Azevedo-Marques, Paulo Mazzoncini] Univ Sao Paulo, Ribeirao Preto Med Sch, Ribeirao Preto, SP, Brazil; [Jauk, Stefanie; Kramer, Diether] Steiermark Krankenanstaltengesellsch MbH, Graz, Austria; [Rainer, Peter P.] Med Univ Graz, Graz, Austria; [Schrempf, Michael; Jauk, Stefanie; Kramer, Diether] Predicting Hlth GmbH, Graz, Austria; [Schrempf, Michael] Med Univ Graz, Div Cardiol, Graz, Austria</t>
  </si>
  <si>
    <t>Universidade de Sao Paulo; Medical University of Graz; Medical University of Graz</t>
  </si>
  <si>
    <t>Machine learning-based risk prediction for major adverse cardiovascular events in a Brazilian hospital: Development, external validation, and interpretability</t>
  </si>
  <si>
    <t>de azevedo marques, joão/AAQ-8464-2020; Costa, José/J-5997-2017; Suzuki, Katia/AAR-6998-2021; Azevedo-Marques, Paulo/A-1305-2008; Scarpelini, Sandro/H-7063-2012; Romao, Elen/E-6808-2017; César, Hilton/M-5754-2019; Rainer, Peter/M-2145-2016</t>
  </si>
  <si>
    <t>Suzuki, Katia Mitiko Firmino/0000-0003-0912-2998; Shimizu, Gilson Yuuji/0000-0003-3711-5592</t>
  </si>
  <si>
    <t>OCT 11 2024</t>
  </si>
  <si>
    <t>e0311719</t>
  </si>
  <si>
    <t>10.1371/journal.pone.0311719</t>
  </si>
  <si>
    <t>http://dx.doi.org/10.1371/journal.pone.0311719</t>
  </si>
  <si>
    <t>J4G7J</t>
  </si>
  <si>
    <t>39392843</t>
  </si>
  <si>
    <t>WOS:001336670500012</t>
  </si>
  <si>
    <t>Lin, SH; Wang, WW; Liu, LX; Guan, JY; Cen, CR; Yang, HW</t>
  </si>
  <si>
    <t>Objective: To investigate the prognostic value of postoperative radiotherapy (RT) for overall survival (OS) in patients with de novo metastatic hormone receptor (HR)-positive breast cancer, and to develop and externally validate a machine learning-based prognostic prediction model to support prognostic risk stratification in patients with or without postoperative radiotherapy. Methods: 2,266 patients with de novo metastatic HR-positive breast cancer from the Surveillance, Epidemiology, and End Results (SEER) database (2010-2015) were retrospectively enrolled as the training cohort, and 79 patients from Guangxi Medical University Cancer Hospital (2015-2020) served as the independent external validation cohort. OS was compared between the RT and non-RT groups using Kaplan-Meier analysis and the log-rank test. Multivariate Cox regression was performed to identify independent prognostic factors. Four machine learning models-K-nearest neighbors (KNN), logistic regression (LR), random forest (RF), and extreme gradient boosting (XGBoost)-were constructed to predict 3-year OS and evaluated using the area under the receiver operating characteristic curve (AUC), average precision (AP), calibration curves, and decision curve analysis (DCA). Postoperative RT status was included as one of the input features in all models. The predicted outcome reflects 3-year prognostic risk (i.e., probability of death within 3 years) rather than the causal RT benefit. Results: In the training cohort, the RT group demonstrated significantly superior OS compared with the non-RT group (HR = 0.52, P &lt; 0.001). Multivariate analysis confirmed RT as an independent protective factor for OS (HR = 0.657, P &lt; 0.001), a finding further validated in the external validation cohort (HR = 0.171, P = 0.015). Among the four models, the LR model achieved the best performance, with an AUC of 0.721, an AP of 0.429, and a calibration slope of 0.97. DCA demonstrated favorable net clinical benefit for the LR model. Conclusion: Postoperative RT is an independent protective factor for OS in patients with de novo metastatic HR-positive breast cancer. The LR-based prognostic model provides reliable prognostic risk estimates and may serve as a supportive reference for clinical discussions. This model predicts observed survival risk, not the causal benefit of RT, and should not be used as a standalone tool for treatment decisions.</t>
  </si>
  <si>
    <t>Lin, Sihang; Wang, Wanwan; Liu, Lixia; Guan, Jiayu; Cen, Chuanrong; Yang, Huawei</t>
  </si>
  <si>
    <t>Yang, HW (corresponding author), Guangxi Med Univ, Dept Breast Surg, Key Lab Breast Canc Diag &amp; Treatment Res, Guangxi Dept Educ,Canc Hosp, Nanning, Peoples R China.</t>
  </si>
  <si>
    <t>930060@sr.gxmu.edu.cn</t>
  </si>
  <si>
    <t>The author(s) declared that financial support was received for this work and/or its publication. This work was supported by the National Natural Science Foundation of China (No. 8186100068 to HY) and Key Laboratory Fund of Guangxi Medical University Cancer Hospital (No. 2022-1).</t>
  </si>
  <si>
    <t>[Lin, Sihang; Wang, Wanwan; Liu, Lixia; Cen, Chuanrong; Yang, Huawei] Guangxi Med Univ, Dept Breast Surg, Key Lab Breast Canc Diag &amp; Treatment Res, Guangxi Dept Educ,Canc Hosp, Nanning, Peoples R China; [Guan, Jiayu] Jinan Univ, Clin Med Coll 2, Shenzhen, Peoples R China</t>
  </si>
  <si>
    <t>Guangxi Medical University; Jinan University</t>
  </si>
  <si>
    <t>A machine learning-based prognostic model for de novo metastatic HR-positive breast cancer: SEER cohort with external validation</t>
  </si>
  <si>
    <t>hormone receptor-positive; machine learning; metastatic breast cancer; postoperative radiotherapy; prognostic prediction model; SEER database</t>
  </si>
  <si>
    <t>JUL 17 2026</t>
  </si>
  <si>
    <t>1875284</t>
  </si>
  <si>
    <t>10.3389/fonc.2026.1875284</t>
  </si>
  <si>
    <t>http://dx.doi.org/10.3389/fonc.2026.1875284</t>
  </si>
  <si>
    <t>LZ9NI</t>
  </si>
  <si>
    <t>42539395</t>
  </si>
  <si>
    <t>WOS:001837231600001</t>
  </si>
  <si>
    <t>Zhong, MY; Chen, R</t>
  </si>
  <si>
    <t>Background Prostate cancer (PCa) often metastasizes to bone or lung, leading to poor prognosis and higher mortality. Early identification of patients at high risk for metastasis is critical for improving treatment outcomes. However, current prediction models are limited in accuracy and generalizability. This study aimed to develop and validate machine learning models to predict bone and/or lung metastasis in PCa patients, using data from both the SEER database and an external cohort. Methods Data from 56,107 PCa patients in the SEER database (2018-2021) were analyzed, with feature selection performed using LASSO regression, identifying variables such as Gleason score, PSA levels, and N stage. Six machine learning models were constructed, including XGBoost, Random Forest, and Logistic Regression. The SMOTE technique was applied to address data imbalance, and the models were externally validated using a cohort of 201 patients from the First Affiliated Hospital of Nanchang University. Results In the SEER cohort, 2868 (5.1%) patients had bone and/or lung metastasis, while 53,239 (94.9%) showed no evidence of metastasis. The external validation cohort, consisting of 201 patients, had a significantly higher metastatic rate, with 51 (25.4%) patients presenting with bone and/or lung metastasis. XGBoost showed superior performance, achieving an AUC of 0.979 in the SEER training set and 0.924 in the external validation cohort. Key predictors were Gleason score, PSA, and N stage. The model correctly identified 2768 metastatic cases (true positives) and 52,712 non-metastatic cases (true negatives). Feature importance analysis confirmed Gleason score and PSA as the most significant predictors. In external validation, the model maintained high accuracy, sensitivity, and specificity, confirming its robustness and generalizability across different patient populations. Conclusion XGBoost proved to be a highly accurate tool for predicting bone and/or lung metastasis in PCa patients. Incorporating this model into clinical practice could improve early detection of high-risk patients, enabling more personalized and timely interventions, ultimately enhancing patient outcomes.</t>
  </si>
  <si>
    <t>Zhong, Mingyan; Chen, Ru</t>
  </si>
  <si>
    <t>Zhong, MY (corresponding author), Pingxiang Second Peoples Hosp, Dept Oncol, Pingxiang 337000, Jiangxi, Peoples R China.</t>
  </si>
  <si>
    <t>[Zhong, Mingyan] Pingxiang Second Peoples Hosp, Dept Oncol, Pingxiang 337000, Jiangxi, Peoples R China; [Chen, Ru] Nanchang Univ, Affiliated Hosp 1, Jiangxi Med Coll, Dept Urol, Nanchang, Jiangxi, Peoples R China</t>
  </si>
  <si>
    <t>Prediction of bone or lung metastasis in prostate cancer using machine learning: a SEER-based study with external validation</t>
  </si>
  <si>
    <t>DISCOVER ONCOLOGY</t>
  </si>
  <si>
    <t>Prostate cancer metastasis; Bone metastasis; Lung metastasis; Machine learning prediction</t>
  </si>
  <si>
    <t>2730-6011</t>
  </si>
  <si>
    <t>DISCOV ONCOL</t>
  </si>
  <si>
    <t>Discov. Oncol.</t>
  </si>
  <si>
    <t>NOV 19 2025</t>
  </si>
  <si>
    <t>2236</t>
  </si>
  <si>
    <t>10.1007/s12672-025-04030-9</t>
  </si>
  <si>
    <t>http://dx.doi.org/10.1007/s12672-025-04030-9</t>
  </si>
  <si>
    <t>Oncology; Endocrinology &amp; Metabolism</t>
  </si>
  <si>
    <t>AL7ZS</t>
  </si>
  <si>
    <t>41258601</t>
  </si>
  <si>
    <t>WOS:001651154400001</t>
  </si>
  <si>
    <t>Joshi, N; Rani, HP; Shevtsov, M; Chandran, T</t>
  </si>
  <si>
    <t>Background: Lung cancer remains one of the leading causes of cancer-related mortality worldwide. However, prognostic models developed within a specific population may not be accurate when applied to another population due to differences in demographics and clinical practices. In the present study, we investigated the cross-national applicability of machine learning (ML)-based survival prediction models trained on population data from the United States and validated on an independent Chinese clinical cohort. Methods: Cox proportional hazards, Random Survival Forest (RSF), and XGBoost-Cox models were developed and externally validated. Model discrimination was evaluated using the concordance index (C-index) and time-dependent AUC at 1, 3, and 5 years, along with calibration and decision curve analysis. Hyperparameter tuning was performed using cross-validation to reduce overfitting and improve model generalizability. Results: Three survival prediction models were developed using the U.S. SEER database (n = 13,260) and externally validated in an independent Chinese cohort (n = 505). Baseline characteristics differed between the cohorts, with the Chinese cohort being younger and having a higher proportion of stage IA disease. Despite these differences, all models demonstrated acceptable discrimination. The RSF model was the most stable across cohorts and time horizons, with a C-index of 0.740 (95% CI: 0.735-0.746) in SEER and 0.782 (95% CI: 0.720-0.844) in the Chinese cohort. RSF showed good calibration at 1 and 3 years but slightly overestimated 5-year mortality risk in the Chinese cohort. Conclusions: Machine learning-based survival prediction models, such as the Random Survival Forest model, are promising and robust tools for predicting cross-population survival in early-stage non-small cell lung cancer (NSCLC). However, differences in patient characteristics and treatment patterns may influence long-term model performance. These findings highlight the potential of flexible machine learning models in oncology and the essential role of rigorous external validation.</t>
  </si>
  <si>
    <t>Joshi, Nikhil; Rani, Hari Ponnamma; Shevtsov, Maxim; Chandran, Thyageshwar</t>
  </si>
  <si>
    <t>Rani, HP (corresponding author), Natl Inst Technol Warangal, Dept Math, Hanamkonda 506004, Telangana, India.; Shevtsov, M (corresponding author), Tech Univ Munich, Dept Radiat Oncol, Klinikum Rechts Isar, D-81675 Munich, Germany.</t>
  </si>
  <si>
    <t>nj24mac1r18@student.nitw.ac.in; hprani@nitw.ac.in; maxim.shevtsov@tum.de; thyagesh@nitw.ac.in</t>
  </si>
  <si>
    <t>National Institute of Arthritis and Musculoskeletal and Skin Diseases [R44AR079960]; Technische Universitt Mnchen (TUM) within the DFG funding programme Open Access Publishing</t>
  </si>
  <si>
    <t>National Institute of Arthritis and Musculoskeletal and Skin Diseases (United States Department of Health &amp; Human Services, National Institutes of Health (NIH) - USA, NIH National Institute of Arthritis &amp; Musculoskeletal &amp; Skin Diseases (NIAMS)); Technische Universitt Mnchen (TUM) within the DFG funding programme Open Access Publishing</t>
  </si>
  <si>
    <t>This research was funded by the by Grant R44AR079960 from National Institute of Arthritis and Musculoskeletal and Skin Diseases, NIH and Technische Universitat Munchen (TUM) within the DFG funding programme Open Access Publishing.</t>
  </si>
  <si>
    <t>[Joshi, Nikhil; Rani, Hari Ponnamma] Natl Inst Technol Warangal, Dept Math, Hanamkonda 506004, Telangana, India; [Shevtsov, Maxim] Tech Univ Munich, Dept Radiat Oncol, Klinikum Rechts Isar, D-81675 Munich, Germany; [Chandran, Thyageshwar] Natl Inst Technol Warangal, Dept Biotechnol, Hanamkonda 506004, Telangana, India</t>
  </si>
  <si>
    <t>National Institute of Technology (NIT System); National Institute of Technology Warangal; Technical University of Munich; National Institute of Technology (NIT System); National Institute of Technology Warangal</t>
  </si>
  <si>
    <t>Machine Learning-Based Survival Prediction in Early-Stage Non-Small Cell Lung Cancer: Development and Cross-National External Validation</t>
  </si>
  <si>
    <t>lung cancer; non-small cell lung cancer; survival prediction; machine learning; random survival forest; external validation; SEER database</t>
  </si>
  <si>
    <t>EGFR MUTATION; MODELS; MANAGEMENT; DIAGNOSIS</t>
  </si>
  <si>
    <t>Chandran, Thyageshwar/JXL-5296-2024; RANI, HARI/AAH-5111-2020; Shevtsov, Maxim/U-8830-2019</t>
  </si>
  <si>
    <t>3701</t>
  </si>
  <si>
    <t>10.3390/jcm15103701</t>
  </si>
  <si>
    <t>http://dx.doi.org/10.3390/jcm15103701</t>
  </si>
  <si>
    <t>IL8YG</t>
  </si>
  <si>
    <t>42194663</t>
  </si>
  <si>
    <t>WOS:001774782700001</t>
  </si>
  <si>
    <t>Sukson, P; Cholamjiak, W; Eiamniran, N; Khwanmuang, M</t>
  </si>
  <si>
    <t>Background/Objectives: Early-stage diabetes often presents with subtle symptoms, making timely screening challenging. This study aimed to develop an interpretable and robust machine learning framework for early-stage diabetes risk prediction using integrated statistical and machine learning-based feature selection, and to evaluate its generalizability using real-world hospital data. Methods: A Union Feature Selection approach was constructed by combining logistic regression significance testing with ReliefF and MRMR feature importance scores. Five machine learning models-Decision Tree, Na &amp; iuml;ve Bayes, SVM, KNN, and Neural Network-were trained on the UCI Early Stage Diabetes dataset (N = 520) under multiple feature-selection scenarios. External validation was performed using retrospective hospital records from the University of Phayao (N = 60). Model performance was assessed using accuracy, precision, recall, and F1-score. Results: The union feature-selection approach identified four core predictors-polyuria, polydipsia, gender, and irritability-with additional secondary features providing only marginal improvements. Among the evaluated models, Na &amp; iuml;ve Bayes demonstrated the most stable external performance, achieving 85% test accuracy, balanced precision, recall, and F1-score, along with a moderate AUC of 0.838, indicating reliable discriminative ability in real-world hospital data. In contrast, SVM, KNN, and Neural Network models, despite exhibiting very high internal validation performance (&gt;96%) under optimally selected ML features, showed marked performance decline during external validation, highlighting their sensitivity to distributional shifts between public and clinical datasets. Conclusions: The combined statistical-ML feature selection method improved interpretability and stability in early-stage diabetes prediction. Na &amp; iuml;ve Bayes demonstrated the strongest generalizability and is well suited for real-world screening applications. The findings support the use of integrated feature selection to develop efficient and clinically relevant risk assessment tools.</t>
  </si>
  <si>
    <t>Sukson, Pasa; Cholamjiak, Watcharaporn; Eiamniran, Nontawat; Khwanmuang, Mallika</t>
  </si>
  <si>
    <t>Khwanmuang, M (corresponding author), Univ Phayao, Sch Med, Phayao 56000, Thailand.</t>
  </si>
  <si>
    <t>mallika.kh@up.ac.th; watcharaporn.ch@up.ac.th; pasa.su@up.ac.th; nontawatskip@gmail.com</t>
  </si>
  <si>
    <t>Thailand Science Research and Innovation Fund [2253/2568]; School of Medicine, University of Phayao [MD68-17]</t>
  </si>
  <si>
    <t>Thailand Science Research and Innovation Fund; School of Medicine, University of Phayao</t>
  </si>
  <si>
    <t>This study was supported by the revenue budget in 2025, School of Medicine, University of Phayao (Grant No. MD68-17) and Thailand Science Research and Innovation Fund (Fundamental Fund 2026, Grant No. 2253/2568).</t>
  </si>
  <si>
    <t>[Sukson, Pasa; Khwanmuang, Mallika] Univ Phayao, Sch Med, Phayao 56000, Thailand; [Cholamjiak, Watcharaporn; Eiamniran, Nontawat] Univ Phayao, Sch Sci, Phayao 56000, Thailand</t>
  </si>
  <si>
    <t>University of Phayao; University of Phayao</t>
  </si>
  <si>
    <t>Towards Robust Risk-Based Screening of Early-Stage Diabetes: Machine Learning Models with Union Features Selection and External Validation</t>
  </si>
  <si>
    <t>DIABETOLOGY</t>
  </si>
  <si>
    <t>early-stage diabetes; machine learning; feature selection; external validation; risk prediction</t>
  </si>
  <si>
    <t>PREDICTION; MELLITUS; PERFORMANCE</t>
  </si>
  <si>
    <t>CHOLAMJIAK, WATCHARAPORN/KIH-9869-2024</t>
  </si>
  <si>
    <t>Khwanmuang, Mallika/0009-0004-6448-4785</t>
  </si>
  <si>
    <t>2673-4540</t>
  </si>
  <si>
    <t>Diabetol.</t>
  </si>
  <si>
    <t>DEC 26 2025</t>
  </si>
  <si>
    <t>10.3390/diabetology7010002</t>
  </si>
  <si>
    <t>http://dx.doi.org/10.3390/diabetology7010002</t>
  </si>
  <si>
    <t>CR5FG</t>
  </si>
  <si>
    <t>WOS:001672706500001</t>
  </si>
  <si>
    <t>Deng, BX; Zhao, Z; Ruan, TC; Zhou, RX; Liu, CE; Li, QP; Cheng, WZ; Wang, J; Wang, F; Xie, HX; Li, CL; Du, ZT; Lu, WT; Li, XH; Ying, JJ; Xiong, T; Hou, XT; Hong, XY; Mu, DZ</t>
  </si>
  <si>
    <t>BackgroundPatients supported by extracorporeal membrane oxygenation (ECMO) are at a high risk of brain injury, contributing to significant morbidity and mortality. This study aimed to employ machine learning (ML) techniques to predict brain injury in pediatric patients ECMO and identify key variables for future research.MethodsData from pediatric patients undergoing ECMO were collected from the Chinese Society of Extracorporeal Life Support (CSECLS) registry database and local hospitals. Ten ML methods, including random forest, support vector machine, decision tree classifier, gradient boosting machine, extreme gradient boosting, light gradient boosting machine, Naive Bayes, neural networks, a generalized linear model, and AdaBoost, were employed to develop and validate the optimal predictive model based on accuracy and area under the curve (AUC). Patients were divided into retrospective cohort for model development and internal validation, and one cohort for external validation.ResultsA total of 1,633 patients supported by ECMO were included in the model development, of whom 181 experienced brain injury. In the external validation cohort, 30 of the 154 patients experienced brain injury. Fifteen features were selected for the model construction. Among the ML models tested, the random forest model achieved the best performance, with an AUC of 0.912 for internal validation and 0.807 for external validation.ConclusionThe Random Forest model based on machine learning demonstrates high accuracy and robustness in predicting brain injury in pediatric patients supported by ECMO, with strong generalization capabilities and promising clinical applicability.</t>
  </si>
  <si>
    <t>Deng, Bixin; Zhao, Zhe; Ruan, Tiechao; Zhou, Ruixi; Liu, Chang'e; Li, Qiuping; Cheng, Wenzhe; Wang, Jie; Wang, Feng; Xie, Haixiu; Li, Chenglong; Du, Zhongtao; Lu, Wenting; Li, Xiaohong; Ying, Junjie; Xiong, Tao; Hou, Xiaotong; Hong, Xiaoyang; Mu, Dezhi</t>
  </si>
  <si>
    <t>Mu, DZ (corresponding author), Sichuan Univ, West China Univ Hosp 2, Dept Pediat, Chengdu, Peoples R China.; Mu, DZ (corresponding author), Sichuan Univ, Key Lab Birth Defects &amp; Related Dis Women &amp; Childr, Minist Educ, NHC Key Lab Chronobiol, Chengdu, Peoples R China.; Hong, XY (corresponding author), Chinese Peoples Liberat Army Gen Hosp, Fac Pediat, Pediat Intens Care Unit, Med Ctr 7, Beijing, Peoples R China.; Hou, XT (corresponding author), Capital Med Univ, Beijing Anzhen Hosp, Ctr Cardiac Intens Care, Beijing, Peoples R China.</t>
  </si>
  <si>
    <t>mudz@scu.edu.cn; xt.hou@ccmu.edu.cn; jyhongxy@163.com</t>
  </si>
  <si>
    <t>[Deng, Bixin; Ruan, Tiechao; Zhou, Ruixi; Ying, Junjie; Xiong, Tao; Mu, Dezhi] Sichuan Univ, West China Univ Hosp 2, Dept Pediat, Chengdu, Peoples R China; [Deng, Bixin; Ruan, Tiechao; Zhou, Ruixi; Li, Xiaohong; Ying, Junjie; Xiong, Tao; Mu, Dezhi] Sichuan Univ, Key Lab Birth Defects &amp; Related Dis Women &amp; Childr, Minist Educ, NHC Key Lab Chronobiol, Chengdu, Peoples R China; [Zhao, Zhe; Hong, Xiaoyang] Chinese Peoples Liberat Army Gen Hosp, Fac Pediat, Pediat Intens Care Unit, Med Ctr 7, Beijing, Peoples R China; [Liu, Chang'e] Chinese Peoples Liberat Army Gen Hosp, Dept Nutr, Med Ctr 7, Beijing, Peoples R China; [Li, Qiuping] Chinese Peoples Liberat Army Gen Hosp, Fac Pediat, Neonatal Intens Care Unit, Med Ctr 7, Beijing, Peoples R China; [Cheng, Wenzhe; Wang, Jie; Wang, Feng] Zhengzhou Univ, Henan Childrens Hosp, Childrens Hosp, Surg Care Unit, Zhengzhou, Peoples R China; [Xie, Haixiu; Li, Chenglong; Du, Zhongtao; Hou, Xiaotong] Capital Med Univ, Beijing Anzhen Hosp, Ctr Cardiac Intens Care, Beijing, Peoples R China; [Lu, Wenting] Sichuan Univ, West China Hosp, Integrated Care Management Ctr, Chengdu, Peoples R China</t>
  </si>
  <si>
    <t>Sichuan University; Sichuan University; Seventh Medical Center of Chinese PLA General Hospital; Chinese People's Liberation Army General Hospital; Chinese People's Liberation Army General Hospital; Seventh Medical Center of Chinese PLA General Hospital; Chinese People's Liberation Army General Hospital; Seventh Medical Center of Chinese PLA General Hospital; Zhengzhou University; Capital Medical University; Sichuan University</t>
  </si>
  <si>
    <t>Development and external validation of a machine learning model for brain injury in pediatric patients on extracorporeal membrane oxygenation</t>
  </si>
  <si>
    <t>Random forest model; Brain injury; Prediction model; ECMO; Machine learning</t>
  </si>
  <si>
    <t>LIFE-SUPPORT; HEMORRHAGIC STROKES; RISK-FACTORS; COMPLICATIONS; CONSTRUCTION; IMPUTATION</t>
  </si>
  <si>
    <t>Zhao, Zhe/AAK-5038-2020; Hong, Xiaoyang/AAA-2084-2021; 穆, 迪/AEZ-5082-2022; Ying, Junjie/OZE-6320-2025</t>
  </si>
  <si>
    <t>Zhao, Zhe/0000-0003-1338-5264; Xiong, Tao/0000-0002-0408-1288</t>
  </si>
  <si>
    <t>JAN 9 2025</t>
  </si>
  <si>
    <t>10.1186/s13054-024-05248-9</t>
  </si>
  <si>
    <t>http://dx.doi.org/10.1186/s13054-024-05248-9</t>
  </si>
  <si>
    <t>R7X2C</t>
  </si>
  <si>
    <t>39789565</t>
  </si>
  <si>
    <t>WOS:001393523000002</t>
  </si>
  <si>
    <t>Karhade, AV; Ahmed, AK; Pennington, Z; Chara, A; Schilling, A; Thio, QCBS; Ogink, PT; Sciubba, DM; Schwab, JH</t>
  </si>
  <si>
    <t>BACKGROUND CONTEXT: Preoperative survival estimation in spinal metastatic disease helps determine the appropriateness of invasive management. The SORG ML 90-day and 1-year machine learning algorithms for survival in spinal metastatic disease were previously developed in a single institutional sample but remain to be externally validated.PURPOSE: The purpose of this study was to externally validate these algorithms in an independent population from another institution.STUDY DESIGN/SETTING: Retrospective study at a large, tertiary care center.PATIENT SAMPLE: Patients 18 years or older who underwent surgery between 2003 and 2016.OUTCOME MEASURES: Ninety-day and 1-year mortality.METHODS: Baseline characteristics of the validation cohort were compared to the developmental cohort for the SORG ML algorithms. Discrimination (c-statistic and receiver operating curve), calibration (calibration slope, intercept, calibration plot, and observed proportions by predicted risk groups), overall performance (Brier score), and decision curve analysis were used to assess the performance of the SORG ML algorithms in the validation cohort.RESULTS: Overall, 176 patients underwent surgery for spinal metastatic disease, of which 44 (22.7%) experienced 90-day mortality and 99 (56.2%) experienced 1-year mortality. The validation cohort differed significantly from the developmental cohort on primary tumor histology, metastatic tumor burden, previous systemic therapy, overall comorbidity burden, and preoperative laboratory characteristics. Despite these differences, the SORG ML algorithms generalized well to the validation cohort on discrimination (c-statistic 0.75-0.81 for 90-day mortality and 0.77-0.78 for 1-year mortality), calibration, Brier score, and decision curve analysis.CONCLUSION AND RELEVANCE: Initial results from external validation of the SORG ML 90-day and 1-year algorithms for survival prediction in spinal metastatic disease suggest potential utility of these digital decision aids in clinical practice. Further studies are needed to validate or refute these algorithms in large patient samples from prospective, international, multi-institutional trials. (C) 2019 Published by Elsevier Inc.</t>
  </si>
  <si>
    <t>Karhade, Aditya, V; Ahmed, Ali K.; Pennington, Zach; Chara, Alejandro; Schilling, Andrew; Thio, Quirina C. B. S.; Ogink, Paul T.; Sciubba, Daniel M.; Schwab, Joseph H.</t>
  </si>
  <si>
    <t>Schwab, JH (corresponding author), Harvard Med Sch, Massachusetts Gen Hosp, Dept Orthoped Surg, 55 Fruit St, Boston, MA 02114 USA.</t>
  </si>
  <si>
    <t>jhschwab@mgh.harvard.edu</t>
  </si>
  <si>
    <t>[Karhade, Aditya, V; Thio, Quirina C. B. S.; Ogink, Paul T.; Schwab, Joseph H.] Harvard Med Sch, Massachusetts Gen Hosp, Dept Orthopaed Surg, Boston, MA 02114 USA; [Ahmed, Ali K.; Pennington, Zach; Chara, Alejandro; Schilling, Andrew; Sciubba, Daniel M.] Johns Hopkins Univ, Sch Med, Dept Neurosurg, Baltimore, MD 21205 USA</t>
  </si>
  <si>
    <t>Harvard University; Harvard Medical School; Harvard University Medical Affiliates; Massachusetts General Hospital; Johns Hopkins University; Johns Hopkins Medicine</t>
  </si>
  <si>
    <t>External validation of the SORG 90-day and 1-year machine learning algorithms for survival in spinal metastatic disease</t>
  </si>
  <si>
    <t>SPINE JOURNAL</t>
  </si>
  <si>
    <t>External validation; Machine learning; Neurosurgery; Ninety-day; One year; Orthopedic surgery; Prediction; Prognosis; Spine metastasis; Spine surgery; Survival</t>
  </si>
  <si>
    <t>SCORING SYSTEM; PREOPERATIVE EVALUATION; PROGNOSTIC-FACTORS; CORD COMPRESSION; PREDICTION; MODELS; SURGERY; TRIAL</t>
  </si>
  <si>
    <t>Pennington, Zachary/MGW-6444-2025</t>
  </si>
  <si>
    <t>Schwab, Joseph/0000-0002-2059-7559; Pennington, Zachary/0000-0001-8012-860X; HUITRON, EFREN/0009-0008-2046-3359</t>
  </si>
  <si>
    <t>101 Park Avenue, 24th Floor, NEW YORK, NY, UNITED STATES</t>
  </si>
  <si>
    <t>1529-9430</t>
  </si>
  <si>
    <t>1878-1632</t>
  </si>
  <si>
    <t>SPINE J</t>
  </si>
  <si>
    <t>Spine Journal</t>
  </si>
  <si>
    <t>10.1016/j.spinee.2019.09.003</t>
  </si>
  <si>
    <t>http://dx.doi.org/10.1016/j.spinee.2019.09.003</t>
  </si>
  <si>
    <t>JW1IZ</t>
  </si>
  <si>
    <t>31505303</t>
  </si>
  <si>
    <t>WOS:000502813600003</t>
  </si>
  <si>
    <t>Hackeloöer, M; Rieger, O; Suresh, S; Mueller, A; Hoyler, A; Schmidt, L; Neznansky, M; Lorenz-Meyer, L; Henrich, W; Rana, S; Verlohren, S</t>
  </si>
  <si>
    <t>Objectives: This study aimed to refine an existing machine learning (ML) algorithm for predicting preeclampsiarelated adverse outcomes and to assess its generalizability and predictive performance through internal validation in a German cohort and external validation in a North American cohort. Study Design: A retrospective analysis was conducted using data from two cohorts: a cohort of 1,634 pregnant women in Germany and a prospective study cohort of 946 in North America, all presenting with clinical suspicion of preeclampsia. Main Outcome Measures: Gradient-boosted trees and logistic regression were used to predict (1) any adverse maternal or fetal outcome, (2) delivery within 14 days before 34 + 0 weeks, and (3) delivery within 7 days after 34 + 0 weeks. Model performance was evaluated using the area under the receiver operating characteristic curve (AUROC). Results: Despite notable differences in baseline characteristics between cohorts, the refined model demonstrated strong and consistent predictive performance. For predicting any adverse outcome, AUROCs were 0.92 (95% CI: 0.87-0.96) in the German cohort and 0.87 (95% CI: 0.82-0.91) in the North American cohort. For delivery within 14 days before 34 + 0 weeks, AUROCs were 0.92 and 0.88, respectively. For delivery within 7 days after 34 + 0 weeks, AUROCs were 0.79 and 0.78. Conclusions: The refined ML model maintained high predictive accuracy across two distinct populations, demonstrating its generalizability and potential for integration into clinical decision-making. These findings support the use of machine learning in enhancing the prediction of preeclampsia-related adverse outcomes and improving maternal and neonatal care.</t>
  </si>
  <si>
    <t>Hackelooer, Max; Rieger, Oliver; Suresh, Sunitha; Mueller, Ariel; Hoyler, Ameli; Schmidt, Leon; Neznansky, Mark; Lorenz-Meyer, Lisa; Henrich, Wolfgang; Rana, Sarosh; Verlohren, Stefan</t>
  </si>
  <si>
    <t>Verlohren, S (corresponding author), Charite Univ Med Berlin, Berlin, Germany.; Verlohren, S (corresponding author), Univ Med Ctr Hamburg Eppendorf UKE, Dept Obstet &amp; Fetal Med, Martinistr 52, D-20246 Hamburg, Germany.</t>
  </si>
  <si>
    <t>s.verlohren@uke.de</t>
  </si>
  <si>
    <t>[Hackelooer, Max; Rieger, Oliver; Hoyler, Ameli; Schmidt, Leon; Neznansky, Mark; Lorenz-Meyer, Lisa; Henrich, Wolfgang; Verlohren, Stefan] Charite Univ Med Berlin, Berlin, Germany; [Hackelooer, Max; Rieger, Oliver; Hoyler, Ameli; Schmidt, Leon; Neznansky, Mark; Lorenz-Meyer, Lisa; Henrich, Wolfgang; Verlohren, Stefan] Free Univ Berlin, Berlin, Germany; [Hackelooer, Max; Rieger, Oliver; Hoyler, Ameli; Schmidt, Leon; Neznansky, Mark; Lorenz-Meyer, Lisa; Henrich, Wolfgang; Verlohren, Stefan] Humboldt Univ, Dept Obstet, Berlin, Germany; [Suresh, Sunitha] NorthShore Univ HealthSyst, Dept Obstet &amp; Gynecol, Div Maternal Fetal Med, Evanston, IL USA; [Mueller, Ariel] Harvard Med Sch, Massachusetts Gen Hosp, Dept Anesthesia Crit Care &amp; Pain Med, Boston, MA USA; [Mueller, Ariel; Rana, Sarosh] Univ Chicago, Dept Obstet &amp; Gynecol, Div Maternal Fetal Med, Chicago, IL USA</t>
  </si>
  <si>
    <t>Free University of Berlin; Humboldt University of Berlin; Charite Universitatsmedizin Berlin; Free University of Berlin; Humboldt University of Berlin; NorthShore University Health System; Harvard University; Harvard Medical School; Harvard University Medical Affiliates; Massachusetts General Hospital; University of Chicago</t>
  </si>
  <si>
    <t>Internal and external validation of a machine learning algorithm to detect preeclampsia-related adverse outcomes in high-risk pregnancies</t>
  </si>
  <si>
    <t>PREGNANCY HYPERTENSION-AN INTERNATIONAL JOURNAL OF WOMENS CARDIOVASCULAR HEALTH</t>
  </si>
  <si>
    <t>Generalizability; External validation; Machine-learning; Preeclampsia; High-risk pregnancy; sFlt-1/PlGF-ratio</t>
  </si>
  <si>
    <t>WOMEN; PREDICTION; MODELS</t>
  </si>
  <si>
    <t>Henrich, Wolfgang/MGT-6988-2025; Verlohren, Stefan/JHS-8068-2023; Schmidt, Leon/MCJ-7852-2025</t>
  </si>
  <si>
    <t>Henrich, Wolfgang/0000-0002-0759-832X; Suresh, Sunitha/0000-0002-2535-074X</t>
  </si>
  <si>
    <t>2210-7789</t>
  </si>
  <si>
    <t>PREGNANCY HYPERTENS</t>
  </si>
  <si>
    <t>Pregnancy Hypertens.</t>
  </si>
  <si>
    <t>101457</t>
  </si>
  <si>
    <t>10.1016/j.preghy.2026.101457</t>
  </si>
  <si>
    <t>http://dx.doi.org/10.1016/j.preghy.2026.101457</t>
  </si>
  <si>
    <t>Obstetrics &amp; Gynecology; Peripheral Vascular Disease</t>
  </si>
  <si>
    <t>Obstetrics &amp; Gynecology; Cardiovascular System &amp; Cardiology</t>
  </si>
  <si>
    <t>FY9DG</t>
  </si>
  <si>
    <t>41895047</t>
  </si>
  <si>
    <t>WOS:001730686200001</t>
  </si>
  <si>
    <t>Chen, LM; Teng, XY; Tian, JL; Du, YZ; Liu, WC</t>
  </si>
  <si>
    <t>Background: Precise identification of malignant breast nodules is critical for clinical intervention. This study aimed to develop and externally validate an interpretable machine learning model using routine blood biomarkers. Methods: This retrospective multicenter study included 899 women with pathologically confirmed breast nodules in a derivation cohort from Shanghai Baoshan Hospital (March 2022-December 2024). After missing-value imputation and LASSO selection, eight models were developed. Model performance was evaluated using the area under the curve (AUC), calibration curves, and decision curve analysis (DCA). The models were subsequently validated in an independent temporal validation cohort (n = 205, recruited from the same center between January 2025 and September 2025) and an external validation cohort (n = 290, Tongji Hospital, Shanghai, between January 2025 and November 2025). Model interpretability was evaluated using SHapley Additive exPlanations (SHAP). Results: Eleven predictors (age and ten biomarkers) were selected. The Random Forest (RF) model exhibited the best performance, yielding AUCs of 0.82 (95% CI: 0.77-0.87), 0.78 (95% CI: 0.71-0.86), and 0.72 (95% CI: 0.66-0.78) in the internal, temporal, and external validations cohorts, respectively, indicating a moderate decline yet acceptable discriminative ability in independent validation cohorts. In the temporal validation cohort, its diagnostic performance was comparable to ultrasound (AUC = 0.76) and mammography (AUC = 0.74). SHAP analysis identified hs-CRP, RBC, and age as the most influential predictors. A web-based calculator was developed to facilitate future evaluation of the model. Conclusion: Routine blood biomarkers can support interpretable machine-learning models for differentiating malignant from benign breast nodules. The proposed model may serve as a complementary pre-biopsy risk-assessment tool alongside conventional imaging modalities; however, prospective validation across broader populations and healthcare settings remains necessary before routine clinical implementation.</t>
  </si>
  <si>
    <t>Chen, Longmei; Teng, Xiaoyan; Tian, Jiale; Du, Yuzhen; Liu, Wanchao</t>
  </si>
  <si>
    <t>Liu, WC (corresponding author), Shanghai Univ Tradit Chinese Med, Shanghai Baoshan Hosp Integrated Tradit Chinese &amp;, Baoshan Hosp, Dept Lab Med, Shanghai 201999, Peoples R China.; Du, YZ (corresponding author), Shanghai Jiao Tong Univ, Shanghai Peoples Hosp 6, Dept Lab Med, Sch Med, Shanghai 200233, Peoples R China.</t>
  </si>
  <si>
    <t>bs0197@shutcm.edu.cn; yzdu@sjtu.edu.cn</t>
  </si>
  <si>
    <t>Outstanding Young Medical Talents Training Program of Shanghai Baoshan Hospital of Integrated Traditional Chinese and Western Medicine (Baoshan Hospital, Shanghai University of Traditional Chinese Medicine) [2023BY003]</t>
  </si>
  <si>
    <t>Outstanding Young Medical Talents Training Program of Shanghai Baoshan Hospital of Integrated Traditional Chinese and Western Medicine (Baoshan Hospital, Shanghai University of Traditional Chinese Medicine)</t>
  </si>
  <si>
    <t>This work was supported by the Outstanding Young Medical Talents Training Program of Shanghai Baoshan Hospital of Integrated Traditional Chinese and Western Medicine (Baoshan Hospital, Shanghai University of Traditional Chinese Medicine) (No. 2023BY003) .</t>
  </si>
  <si>
    <t>[Chen, Longmei; Liu, Wanchao] Shanghai Univ Tradit Chinese Med, Shanghai Baoshan Hosp Integrated Tradit Chinese &amp;, Baoshan Hosp, Dept Lab Med, Shanghai 201999, Peoples R China; [Teng, Xiaoyan; Du, Yuzhen] Shanghai Jiao Tong Univ, Shanghai Peoples Hosp 6, Dept Lab Med, Sch Med, Shanghai 200233, Peoples R China; [Tian, Jiale] Tongji Univ, Dept Lab Med, Tongji Hosp, Shanghai 200065, Peoples R China</t>
  </si>
  <si>
    <t>Shanghai University of Traditional Chinese Medicine; Shanghai Jiao Tong University; Tongji University</t>
  </si>
  <si>
    <t>Development and External Validation of an Interpretable Machine Learning Model Using Routine Blood Biomarkers for Differentiating Malignant Breast Nodules</t>
  </si>
  <si>
    <t>mammary neoplasms; serum inflammation indices; random forest; diagnostic performance; external validation</t>
  </si>
  <si>
    <t>CANCER PATIENTS; CA15-3; CA125; CEA; MORTALITY</t>
  </si>
  <si>
    <t>614073</t>
  </si>
  <si>
    <t>10.2147/JIR.S614073</t>
  </si>
  <si>
    <t>http://dx.doi.org/10.2147/JIR.S614073</t>
  </si>
  <si>
    <t>MJ7JH</t>
  </si>
  <si>
    <t>WOS:001843879200001</t>
  </si>
  <si>
    <t>Shao, JK; Liu, F; Ji, SF; Song, C; Ma, Y; Shen, M; Sun, YT; Zhu, SM; Guo, YL; Liu, B; Wu, YB; Qin, HD; Lai, SW; Fan, YL</t>
  </si>
  <si>
    <t>Background: Cardiac surgery-associated acute kidney injury (CSA-AKI) is a major complication that results in short-and long-term mortality among patients. Here, we adopted machine learning algorithms to build prediction models with the overarching goal of identi-fying patients who are at a high risk of such unfavorable kidney outcomes. Methods: A total of 1686 patients (development cohort) and 422 patients (validation cohort), with 126 pre-and intra-operative variables, were recruited from the First Medical Centre and the Sixth Medical Centre of Chinese PLA General Hospital in Beijing, China, respectively. Analyses were performed using six machine learn-ing techniques, namely K-nearest neighbor, logistic regression, decision tree, random forest (RF), support vector machine, and neural network, and the APPROACH score, a previously established risk score for CSA-AKI. For model tuning, optimal hyperparameter was achieved by using GridSearch with 5-fold cross-validation from the scikit-learn library. Model performance was externally assessed via the receiver operating characteristic (ROC) and decision curve analysis (DCA). Explainable machine learning was performed using the Python SHapley Additive exPlanation (SHAP) package and Seaborn library, which allow the calculation of marginal contributory SHAP value. Results: 637 patients (30.2%) developed CSA-AKI within seven days after surgery. In the external validation, the RF classifier exhibited the best performance among the six machine learning techniques, as shown by the ROC curve and DCA, while the traditional APPROACH risk score showed a relatively poor performance. Further analysis found no specific causative factor contributing to the development of CSA-AKI; rather, the development of CSA-AKI appeared to be a complex process resulting from a complex interplay of multiple risk factors. The SHAP summary plot illustrated the positive or negative contribution of RF-top 20 variables and extrapolated risk of developing CSA-AKI at individual levels. The Seaborn library showed the effect of each single feature on the model output of the RF prediction. Conclusions: Efficient machine learning approaches were successfully established to predict patients with a high probability of developing acute kidney injury after cardiac surgery. These findings are expected to help clinicians to optimize treatment strategies and minimize postoperative complications. Clinical Trial Registration: The study protocol was registered at the ClinicalTrials Registration System (https://www.clinicaltrials.gov/, #NCT04966598) on July 26, 2021.</t>
  </si>
  <si>
    <t>Shao, Jiakang; Liu, Feng; Ji, Shuaifei; Song, Chao; Ma, Yan; Shen, Ming; Sun, Yuntian; Zhu, Siming; Guo, Yilong; Liu, Bing; Wu, Yuanbin; Qin, Handai; Lai, Shengwei; Fan, Yunlong</t>
  </si>
  <si>
    <t>Qin, HD; Lai, SW; Fan, YL (corresponding author), Med Sch Chinese PLA, Beijing 100853, Peoples R China.; Fan, YL (corresponding author), Chinese Peoples Liberat Army Gen Hosp, Dept Cardiovasc Surg, Med Ctr 1, Beijing 100853, Peoples R China.</t>
  </si>
  <si>
    <t>FanYL301hospital@163.com; QinHD301hospital@163.com; LaiSW301hospital@163.com</t>
  </si>
  <si>
    <t>[Shao, Jiakang; Ji, Shuaifei; Song, Chao; Ma, Yan; Sun, Yuntian; Zhu, Siming; Guo, Yilong; Wu, Yuanbin; Qin, Handai; Lai, Shengwei; Fan, Yunlong] Med Sch Chinese PLA, Beijing 100853, Peoples R China; [Liu, Feng] Chinese Peoples Liberat Army Gen Hosp, Dept Vasc &amp; Endovasc Surg, Med Ctr 1, Beijing 100853, Peoples R China; [Song, Chao; Sun, Yuntian; Zhu, Siming; Wu, Yuanbin; Fan, Yunlong] Chinese Peoples Liberat Army Gen Hosp, Dept Cardiovasc Surg, Med Ctr 1, Beijing 100853, Peoples R China; [Shen, Ming] Hebei Med Univ, Dept Cardiovasc Med, Hosp 1, Shijiazhuang 050000, Hebei, Peoples R China; [Liu, Bing] Chinese Peoples Liberat Army Gen Hosp, Dept Cardiovasc Surg, Med Ctr 6, Beijing 100048, Peoples R China</t>
  </si>
  <si>
    <t>Chinese People's Liberation Army General Hospital; Chinese People's Liberation Army General Hospital; Chinese People's Liberation Army General Hospital; Hebei Medical University; Chinese People's Liberation Army General Hospital</t>
  </si>
  <si>
    <t>Development, External Validation, and Visualization of Machine Learning Models for Predicting Occurrence of Acute Kidney Injury after Cardiac Surgery</t>
  </si>
  <si>
    <t>REVIEWS IN CARDIOVASCULAR MEDICINE</t>
  </si>
  <si>
    <t>acute kidney injury; cardiac surgery; machine learning; prediction model; precision medicine</t>
  </si>
  <si>
    <t>RENAL REPLACEMENT THERAPY; RISK; OUTCOMES; FAILURE</t>
  </si>
  <si>
    <t>刘, 冰/LRU-7989-2024; Wu, Yuanbin/JOK-4753-2023; Guo, Yilong/LZH-0891-2025; ji, shuaifei/AGM-7583-2022; Zhu, Siming/HPG-1029-2023; Fan, Yunlong/AGB-1418-2022</t>
  </si>
  <si>
    <t>ROBINSON</t>
  </si>
  <si>
    <t>112 ROBINSON RD, ROBINSON, SINGAPORE</t>
  </si>
  <si>
    <t>1530-6550</t>
  </si>
  <si>
    <t>2153-8174</t>
  </si>
  <si>
    <t>REV CARDIOVASC MED</t>
  </si>
  <si>
    <t>Rev. Cardiovasc. Med.</t>
  </si>
  <si>
    <t>229</t>
  </si>
  <si>
    <t>10.31083/j.rcm2408229</t>
  </si>
  <si>
    <t>http://dx.doi.org/10.31083/j.rcm2408229</t>
  </si>
  <si>
    <t>R9WB9</t>
  </si>
  <si>
    <t>39076716</t>
  </si>
  <si>
    <t>WOS:001067770500024</t>
  </si>
  <si>
    <t>Kemp, O; Bascaran, C; Cartwright, E; McQuillan, L; Matthew, N; Shillingford-Ricketts, H; Zondervan, M; Foster, A; Burton, M</t>
  </si>
  <si>
    <t>ObjectiveSeveral artificial intelligence (AI) systems for diabetic retinopathy screening have been validated but there is limited evidence on their performance in real-world settings. This study aimed to assess the performance of an AI software deployed within the diabetic retinopathy screening programme in Dominica.Methods and analysisWe conducted a prospective, cross-sectional clinical validation study. Patients with diabetes aged 18 years and above attending the diabetic retinopathy screening in primary care facilities in Dominica from 5 June to 3 July 2021 were enrolled.Grading was done at the point of care by the field grader, followed by counselling and referral to the eye clinic. Images were then graded by an AI system. Sensitivity, specificity with 95% CIs and area under the curve (AUC) were calculated for comparing the AI to field grader as gold standard.Methods and analysisWe conducted a prospective, cross-sectional clinical validation study. Patients with diabetes aged 18 years and above attending the diabetic retinopathy screening in primary care facilities in Dominica from 5 June to 3 July 2021 were enrolled.Grading was done at the point of care by the field grader, followed by counselling and referral to the eye clinic. Images were then graded by an AI system. Sensitivity, specificity with 95% CIs and area under the curve (AUC) were calculated for comparing the AI to field grader as gold standard.ResultsA total of 587 participants were screened. The AI had a sensitivity and specificity for detecting referable diabetic retinopathy of 77.5% and 91.5% compared with the grader, for all participants, including ungradable images. The AUC was 0.8455. Excluding 52 participants deemed ungradable by the grader, the AI had a sensitivity and specificity of 81.4% and 91.5%, with an AUC of 0.9648.ConclusionThis study provides evidence that AI has the potential to be deployed to assist a diabetic screening programme in a middle-income real-world setting and perform with reasonable accuracy compared with a specialist grader.</t>
  </si>
  <si>
    <t>Kemp, Oliver; Bascaran, Covadonga; Cartwright, Edyta; McQuillan, Lauren; Matthew, Nanda; Shillingford-Ricketts, Hazel; Zondervan, Marcia; Foster, Allen; Burton, Matthew</t>
  </si>
  <si>
    <t>Bascaran, C (corresponding author), London Sch Hyg &amp; Trop Med, London, England.</t>
  </si>
  <si>
    <t>covadoa.bascaran@lshtm.ac.uk</t>
  </si>
  <si>
    <t>Ophthalmology Department, Ministry of Health Dominica; Open Solutions for Health, a local company in Dominica</t>
  </si>
  <si>
    <t>Remidio/Medios: Remidio provided technical support under the framework of their existing goods and services relationship with Dominica ophthalmology services. Remidio/Medios had no role in study design, data collection, data analysis, data interpretation or writing or reviewing the report. Open Solutions for Health, a local company in Dominica, provided support building a software for the DR screening programme in which we could embed the study data collection.</t>
  </si>
  <si>
    <t>[Kemp, Oliver; Bascaran, Covadonga; Zondervan, Marcia; Foster, Allen; Burton, Matthew] London Sch Hyg &amp; Trop Med, London, England; [Cartwright, Edyta; McQuillan, Lauren] Univ Hosp Sussex NHS Fdn Trust, Worthing, England; [Matthew, Nanda; Shillingford-Ricketts, Hazel] Domin China Friendship Hosp, Roseau, Dominica; [Burton, Matthew] Moorfields Eye Hosp NHS Fdn Trust, London, England</t>
  </si>
  <si>
    <t>University of London; London School of Hygiene &amp; Tropical Medicine; University of London; University College London; Moorfields Eye Hospital NHS Foundation Trust</t>
  </si>
  <si>
    <t>Real-world evaluation of smartphone-based artificial intelligence to screen for diabetic retinopathy in Dominica: a clinical validation study</t>
  </si>
  <si>
    <t>BMJ OPEN OPHTHALMOLOGY</t>
  </si>
  <si>
    <t>Diagnostic tests/Investigation; Eye (Globe); Retina</t>
  </si>
  <si>
    <t>DISEASE</t>
  </si>
  <si>
    <t>Burton, Matthew J/KIE-2978-2024</t>
  </si>
  <si>
    <t>Burton, Matthew J/0000-0003-1872-9169; Foster, Allen/0000-0003-2368-4436; Zondervan, Marcia/0000-0003-4879-5757</t>
  </si>
  <si>
    <t>2397-3269</t>
  </si>
  <si>
    <t>BMJ OPEN OPHTHALMOL</t>
  </si>
  <si>
    <t>BMJ Open Ophthalmol.</t>
  </si>
  <si>
    <t>e001491</t>
  </si>
  <si>
    <t>10.1136/bmjophth-2023-001491</t>
  </si>
  <si>
    <t>http://dx.doi.org/10.1136/bmjophth-2023-001491</t>
  </si>
  <si>
    <t>DV2D8</t>
  </si>
  <si>
    <t>38135351</t>
  </si>
  <si>
    <t>WOS:001134783300001</t>
  </si>
  <si>
    <t>Tay, J; Yen, YH; Rivera, K; Chou, EH; Wang, CH; Chou, FY; Sun, JT; Han, ST; Tsai, TP; Chen, YC; Bhakta, T; Tsai, CL; Lu, TC; Ma, MHM</t>
  </si>
  <si>
    <t>Introduction: Timely diagnosis of patients affected by an emerging infectious disease plays a crucial role in treating patients and avoiding disease spread. In prior research, we developed an approach using machine learning (ML) algorithms to predict serious acute respiratory syndrome coronavirus (SARS-CoV-2) infection based on clinical features of patients visiting an emergency department (ED) during the early coronavirus 2019 (COVID-19) pandemic. In this study, we aimed to externally validate this approach within a distinct ED population. Methods: To create our training/validation cohort (model development) we collected data retrospectively from suspected COVID-19 patients at a US ED from February 23-May 12, 2020. Another dataset was collected as an external validation (testing) cohort from an ED in another country from May 12-June 2021. Clinical features including patient demographics and triage information were used to train and test the models. The primary outcome was the confirmed diagnosis of COVID-19, defined as a positive reverse transcription polymerase chain reaction test result for SARS-CoV-2. We employed three different ML algorithms, including gradient boosting, random forest, and extra trees classifiers, to construct the predictive model. The predictive performances were evaluated with the area under the receiver operating characteristic curve (AUC) in the testing cohort. Results: In total, 580 and 946 ED patients were included in the training and testing cohorts, respectively. Of them, 98 (16.9%) and 180 (19.0%) were diagnosed with COVID-19. All the constructed ML models showed acceptable discrimination, as indicated by the AUC. Among them, random forest (0.785, 95% confidence interval [CI] 0.747-0.822) performed better than gradient boosting (0.774, 95% CI 0.739-0.811) and extra trees classifier (0.72, 95% CI 0.677-0.762). There was no significant difference between the constructed models. Conclusion: Our study validates the use of ML for predicting COVID-19 in the ED and demonstrates its potential for predicting emerging infectious diseases based on models built by clinical features with temporal and spatial heterogeneity. This approach holds promise for scenarios where effective diagnostic tools for an emerging infectious disease may be lacking in the future. [West J Emerg Med. 2024;25(1)67-78.]</t>
  </si>
  <si>
    <t>Tay, Joyce; Yen, Yi-Hsuan; Rivera, Kevin; Chou, Eric H.; Wang, Chih-Hung; Chou, Fan-Ya; Sun, Jen-Tang; Han, Shih-Tsung; Tsai, Tzu-Ping; Chen, Yen-Chia; Bhakta, Toral; Tsai, Chu-Lin; Lu, Tsung-Chien; Ma, Matthew Huei-Ming</t>
  </si>
  <si>
    <t>Lu, TC (corresponding author), Natl Taiwan Univ Hosp, Dept Emergency Med, 7 Zhongshan S Rd, Taipei 100, Taiwan.; Ma, MHM (corresponding author), Natl Taiwan Univ Hosp, Dept Emergency Med, Yunlin Branch, 579,Sec 2,Yunlin Rd, Douliu City 640, Yunlin County, Taiwan.</t>
  </si>
  <si>
    <t>mattma.tw@gmail.com; jonathanlu@ntu.edu.tw</t>
  </si>
  <si>
    <t>National Health Research Institutes (NHRI) , Taiwan [NHRI-EX112-11137PI]; National Science and Technology Council (NSTC) , Taiwan [109-2823-8-002-013-CV]</t>
  </si>
  <si>
    <t>National Health Research Institutes (NHRI) , Taiwan (National Health Research Institutes - Taiwan); National Science and Technology Council (NSTC) , Taiwan (National Science &amp; Technology Council (NSTC) Taiwan)</t>
  </si>
  <si>
    <t>By the WestJEM article submission agreement, all authors are required to disclose all affiliations, funding sources and financial or management relationships that could be perceived as potential sources of bias. This work was supported with grants from National Health Research Institutes (NHRI) , Taiwan (NHRI-EX112-11137PI) , and National Science and Technology Council (NSTC) , Taiwan (109-2823-8-002-013-CV) . The funders had no role in the design or conduct of the study; collection, management, or of the or approval of the manuscript; or decision to submit the manuscript for publication. There are no conflicts of interest to declare.</t>
  </si>
  <si>
    <t>[Tay, Joyce; Chou, Fan-Ya; Tsai, Chu-Lin; Lu, Tsung-Chien; Ma, Matthew Huei-Ming] Natl Taiwan Univ Hosp, Dept Emergency Med, Taipei, Taiwan; [Yen, Yi-Hsuan; Chou, Eric H.; Bhakta, Toral] Baylor Scott &amp; White All St Med Ctr, Dept Emergency Med, Ft Worth, TX USA; [Rivera, Kevin] Texas Christian Univ, Sch Med, Ft Worth, TX USA; [Chou, Eric H.] Baylor Univ, Med Ctr, Dept Emergency Med, Dallas, TX USA; [Wang, Chih-Hung; Chou, Fan-Ya; Tsai, Chu-Lin; Lu, Tsung-Chien; Ma, Matthew Huei-Ming] Natl Taiwan Univ, Coll Med, Dept Emergency Med, Taipei, Taiwan; [Sun, Jen-Tang] Far Eastern Mem Hosp, Dept Emergency Med, New Taipei City, Taiwan; [Han, Shih-Tsung] Chang Gung Mem Hosp Linkou, Dept Emergency Med, Taoyuan, Taiwan; [Chen, Yen-Chia] Taipei Vet Gen Hosp, Dept Emergency Med, Taipei, Taiwan; [Ma, Matthew Huei-Ming] Natl Taiwan Univ Hosp, Dept Emergency Med, Yunlin Branch, Douliu City, Yunlin County, Taiwan; [Lu, Tsung-Chien] Natl Taiwan Univ Hosp, Dept Emergency Med, 7 Zhongshan S Rd, Taipei 100, Taiwan; [Ma, Matthew Huei-Ming] Natl Taiwan Univ Hosp, Dept Emergency Med, Yunlin Branch, 579,Sec 2,Yunlin Rd, Douliu City 640, Yunlin County, Taiwan</t>
  </si>
  <si>
    <t>National Taiwan University; National Taiwan University Hospital; Baylor Scott &amp; White Health; Texas Christian University; Baylor University; Baylor University Medical Center; National Taiwan University; National Taiwan University Hospital; Far Eastern Memorial Hospital; Chang Gung Memorial Hospital; Taipei Veterans General Hospital; National Taiwan University; National Taiwan University Hospital; National Taiwan University; National Taiwan University Hospital; National Taiwan University; National Taiwan University Hospital</t>
  </si>
  <si>
    <t>Development and External Validation of Clinical Features-based Machine Learning Models for Predicting COVID-19 in the Emergency Department</t>
  </si>
  <si>
    <t>WESTERN JOURNAL OF EMERGENCY MEDICINE</t>
  </si>
  <si>
    <t>Chou, Eric/LRC-9630-2024; Rivera, Kevin/QMQ-6506-2026</t>
  </si>
  <si>
    <t>LU, TSUNG-CHIEN/0000-0003-2729-7142; MA, MATTHEW HUEI-MING/0000-0002-4388-9984; TSAI, CHU-LIN/0000-0003-4639-1513</t>
  </si>
  <si>
    <t>WESTJEM</t>
  </si>
  <si>
    <t>ORANGE</t>
  </si>
  <si>
    <t>C/O SHAHRAM LOTFIPOUR, MD, MPH, 333 CITY BLVD W STE 640, RT 128-01, ORANGE, CA 92868 USA</t>
  </si>
  <si>
    <t>1936-900X</t>
  </si>
  <si>
    <t>1936-9018</t>
  </si>
  <si>
    <t>WEST J EMERG MED</t>
  </si>
  <si>
    <t>West. J. Emerg. Med.</t>
  </si>
  <si>
    <t>JAN 2024</t>
  </si>
  <si>
    <t>10.5811/westjem.60243</t>
  </si>
  <si>
    <t>http://dx.doi.org/10.5811/westjem.60243</t>
  </si>
  <si>
    <t>FF5I2</t>
  </si>
  <si>
    <t>38205987</t>
  </si>
  <si>
    <t>WOS:001144356600018</t>
  </si>
  <si>
    <t>Gesierich, B; Pirpamer, L; Meier, DS; Amann, M; Cerfontaine, MN; de Leeuw, FE; Maillard, P; Moy, S; Helmer, KG; Kühne, M; Bonati, LH; Rutten, JW; Oberstein, SAJL; Duering, M</t>
  </si>
  <si>
    <t>Introduction: White matter hyperintensities (WMH) on MRI are a hallmark of cerebral small vessel disease. Although numerous WMH segmentation tools exist, each presents relevant limitations that can impact their usability. This research aimed to develop, validate, and disseminate a novel WMH segmentation algorithm to address these limitations. Methods: Using an intentionally heterogeneous dataset, we trained models based on the MD-GRU and nnU-Net deep learning algorithms. The new models were benchmarked in both technical and clinical validation against current state-of-the-art algorithms, utilizing datasets that were not included in the training data. For technical validation in patients, we assessed bias and precision against reference masks, scan-rescan repeatability and inter-scanner reproducibility in data from the MarkVCID consortium. Segmentation performance on 2D data was evaluated using the SWISS-AF dataset. For clinical validation, we determined percent volume change over a twoyear follow-up in the DiViNAS study and calculated statistical power to detect treatment effects. Results: The newly trained algorithms outperformed the benchmarking algorithms, demonstrating better agreement with reference volumes, as well as less bias and higher precision in the repeatability and reproducibility experiments. The nnU-Net algorithm exhibited the highest statistical power for detecting treatment effects, requiring a 41 % smaller sample size than the best-performing benchmarking algorithm. Conclusion: We developed and systematically validated two novel WMH segmentation algorithms, which demonstrated excellent generalization capabilities. The comprehensive, user-friendly processing pipelines are publicly available as prebuilt software containers and can be applied to a wide range of datasets without retraining or modifications.</t>
  </si>
  <si>
    <t>Gesierich, Benno; Pirpamer, Lukas; Meier, Dominik S.; Amann, Michael; Cerfontaine, Minne N.; de Leeuw, Frank-Erik; Maillard, Pauline; Moy, Sue; Helmer, Karl G.; Kuhne, Michael; Bonati, Leo H.; Rutten, Julie W.; Oberstein, Saskia A. J. Lesnik; Duering, Marco</t>
  </si>
  <si>
    <t>Duering, M (corresponding author), Med Image Anal Ctr MIAC, Basel, Switzerland.</t>
  </si>
  <si>
    <t>marco.duering@miac.ch</t>
  </si>
  <si>
    <t>Alzheimer's Disease Neuroimaging Initiative (ADNI) (National Institutes of Health) [U01 AG024904]; DOD ADNI (Department of Defense) [W81XWH-12-2-0012]; National Institute on Aging; National Institute of Biomedical Imaging and Bioengineering; Alzheimer's Association; Alzheimer's Drug Discovery Foundation; AbbVie; Araclon Biotech; BioClinica, Inc.; Piramal Imaging; Biogen; Servier; Bristol-Myers Squibb Company; Takeda Pharmaceutical Company; CereSpir, Inc.; Transition Therapeutics; Cogstate; Canadian Institutes of Health Research; Eisai Inc.; NINDS/NIA as part of the MarkVCID Consortium; Elan Pharmaceuticals, Inc.; Netherlands Organisation for Health Research and Development; Eli Lilly and Company; Netherlands Brain Foundation; EuroImmun; F. Hoffmann-La Roche Ltd and its affiliated company Genentech, Inc.; Fujirebio; GE Healthcare; IXICO Ltd.; Janssen Alzheimer Immunotherapy Research &amp; Development, LLC.; Johnson &amp; Johnson Pharmaceutical Research &amp; Development LLC.; Lumosity; Lundbeck; Merck Co., Inc.; Meso Scale Diagnostics, LLC.; NeuroRx Research; Neurotrack Technologies; Novartis Pharmaceuticals Corporation; Pfizer Inc.</t>
  </si>
  <si>
    <t>Alzheimer's Disease Neuroimaging Initiative (ADNI) (National Institutes of Health) (United States Department of Health &amp; Human Services, National Institutes of Health (NIH) - USA, NIH National Institute of Neurological Disorders &amp; Stroke (NINDS)); DOD ADNI (Department of Defense) (United States Department of Defense); National Institute on Aging (United States Department of Health &amp; Human Services, National Institutes of Health (NIH) - USA, NIH National Institute on Aging (NIA)); National Institute of Biomedical Imaging and Bioengineering (United States Department of Health &amp; Human Services, National Institutes of Health (NIH) - USA, NIH National Institute of Biomedical Imaging &amp; Bioengineering (NIBIB)); Alzheimer's Association (Alzheimer's Association); Alzheimer's Drug Discovery Foundation; AbbVie (AbbVie); Araclon Biotech; BioClinica, Inc.; Piramal Imaging; Biogen (Biogen); Servier (Servier); Bristol-Myers Squibb Company (Bristol-Myers Squibb); Takeda Pharmaceutical Company (Takeda Pharmaceutical Company Ltd); CereSpir, Inc.; Transition Therapeutics; Cogstate (CogState Limited); Canadian Institutes of Health Research (Canadian Institutes of Health Research (CIHR)); Eisai Inc. (Eisai Co Ltd); NINDS/NIA as part of the MarkVCID Consortium; Elan Pharmaceuticals, Inc.; Netherlands Organisation for Health Research and Development (Netherlands Organization for Health Research and Development); Eli Lilly and Company (Eli Lilly); Netherlands Brain Foundation; EuroImmun; F. Hoffmann-La Roche Ltd and its affiliated company Genentech, Inc.; Fujirebio; GE Healthcare (General Electric, GE Healthcare); IXICO Ltd.; Janssen Alzheimer Immunotherapy Research &amp; Development, LLC.; Johnson &amp; Johnson Pharmaceutical Research &amp; Development LLC. (Johnson &amp; Johnson, Johnson &amp; Johnson USA); Lumosity; Lundbeck (Lundbeck Corporation); Merck Co., Inc. (Merck &amp; Company); Meso Scale Diagnostics, LLC.; NeuroRx Research; Neurotrack Technologies; Novartis Pharmaceuticals Corporation (Novartis); Pfizer Inc. (Pfizer)</t>
  </si>
  <si>
    <t>Data used in preparation of this article were obtained from the Alz-heimer's Disease Neuroimaging Initiative (ADNI) database (adni.loni. usc.edu), from the MarkVCID consortium, and from the following cohort studies: VASCAMY, RUN DMC, DiViNAS, Swiss-AF. As such, the investigators within these studies contributed to the design and implementation of the study and/or provided data but did not participate in analysis or writing of this report. A complete listing of ADNI investigators can be found at: http://adni.loni.usc.edu/wp-content/uplo ads/how_to_apply/ADNI_Acknowledgement_List.pdf. A complete listing of MarkVCID investigators can be found on www.markvcid.org. Data collection and sharing for this project was funded by the Alzheimer's Disease Neuroimaging Initiative (ADNI) (National Institutes of Health Grant U01 AG024904) and DOD ADNI (Department of Defense award number W81XWH-12-2-0012) . ADNI is funded by the National Institute on Aging, the National Institute of Biomedical Imaging and Bioengineering, and through generous contributions from the following: AbbVie, Alzheimer's Association; Alzheimer's Drug Discovery Foundation; Araclon Biotech; BioClinica, Inc.; Biogen; Bristol-Myers Squibb Company; CereSpir, Inc.; Cogstate; Eisai Inc.; Elan Pharmaceuticals, Inc.; Eli Lilly and Company; EuroImmun; F. Hoffmann-La Roche Ltd and its affiliated company Genentech, Inc.; Fujirebio; GE Healthcare; IXICO Ltd.; Janssen Alzheimer Immunotherapy Research &amp; Development, LLC.; Johnson &amp; Johnson Pharmaceutical Research &amp; Development LLC.; Lumosity; Lundbeck; Merck &amp; Co., Inc.; Meso Scale Diagnostics, LLC.; NeuroRx Research; Neurotrack Technologies; Novartis Pharmaceuticals Corporation; Pfizer Inc.; Piramal Imaging; Servier; Takeda Pharmaceutical Company; and Transition Therapeutics. The Canadian Institutes of Health Research is providing funds to support ADNI clinical sites in Canada. Private sector contributions are facilitated by the Foundation for the National Institutes of Health ( www.fnih.org) . The grantee organization is the Northern California Institute for Research and Education, and the study is coordinated by the Alzheimer's Therapeutic Research Institute at the University of Southern California. ADNI data are disseminated by the Laboratory for Neuro Imaging at the University of Southern California. Data collection and sharing for MarkVCID was funded by NINDS/NIA as part of the MarkVCID Consortium (U24NS100591) . DiViNAS was funded by the Netherlands Organisation for Health Research and Development (ZonMW, 91717325) and the Netherlands Brain Foundation (HA2016-02-03, BG2015-2).</t>
  </si>
  <si>
    <t>[Gesierich, Benno; Pirpamer, Lukas; Meier, Dominik S.; Amann, Michael; Duering, Marco] Med Image Anal Ctr MIAC, Basel, Switzerland; [Cerfontaine, Minne N.; Rutten, Julie W.; Oberstein, Saskia A. J. Lesnik] Leiden Univ, Med Ctr, Dept Clin Genet, Leiden, Netherlands; [de Leeuw, Frank-Erik] Radboud Univ Nijmegen, Res Inst Med Innovat &amp; Donders, Inst Brain Cognit &amp; Behav, Dept Neurol,Med Ctr, Nijmegen, Netherlands; [Maillard, Pauline] Univ Calif Davis, Dept Neurol, Davis, CA USA; [Moy, Sue; Helmer, Karl G.] Massachusetts Gen Hosp, Dept Radiol, Boston, MA USA; [Helmer, Karl G.] Harvard Med Sch, Dept Radiol, Boston, MA USA; [Kuhne, Michael] Univ Hosp Basel, Univ Heart Ctr, Basel, Switzerland; [Bonati, Leo H.] Univ Basel, Dept Neurol, Neurol Clin &amp; Policlin, Basel, Switzerland; [Bonati, Leo H.] Univ Basel, Univ Hosp Basel, Dept Clin Res, Basel, Switzerland; [Bonati, Leo H.] Univ Basel, Basel, Switzerland; [Bonati, Leo H.] Reha Rheinfelden, Res Dept, Rheinfelden, Switzerland; [Duering, Marco] Univ Basel, Dept Biomed Engn, Translat Imaging Neurol ThINk Basel, Basel, Switzerland; [Duering, Marco] Ludwig Maximilians Univ Munchen, LMU Univ Hosp, Inst Stroke &amp; Dementia Res ISD, Munich, Germany</t>
  </si>
  <si>
    <t>Leiden University; Leiden University - Excl LUMC; Leiden University Medical Center (LUMC); University of California System; University of California Davis; Harvard University; Harvard University Medical Affiliates; Massachusetts General Hospital; Harvard University; Harvard Medical School; University of Basel; University of Basel; University of Munich</t>
  </si>
  <si>
    <t>Alzheimers Dis Neuroimaging Initiative</t>
  </si>
  <si>
    <t>Technical and clinical validation of a novel deep learning-based white matter hyperintensity segmentation tool</t>
  </si>
  <si>
    <t>CEREBRAL CIRCULATION-COGNITION AND BEHAVIOR</t>
  </si>
  <si>
    <t>Small vessel disease; White matter hyperintensities; Segmentation; Deep learning; Biomarker validation</t>
  </si>
  <si>
    <t>Kühne, Michael/AAB-5202-2022; Maillard, Pauline/N-7600-2018; Duering, Marco/AAE-6949-2021; Meier, Dominik S./MCX-4178-2025; Oberstein, Saskia/C-3643-2016; de Leeuw, Frank-Erik/E-4795-2012; Bonati, Leo/G-4058-2012</t>
  </si>
  <si>
    <t>Pirpamer, Lukas/0000-0002-4390-9703; Kühne, Michael/0000-0002-2937-3711; Gesierich, Benno/0000-0003-2842-7105; Amann, Michael/0000-0001-8041-4083; Maillard, Pauline/0000-0003-3516-6345; Cerfontaine, Minne/0000-0001-9357-270X; Rutten, Julie/0000-0003-3250-7263</t>
  </si>
  <si>
    <t>2666-2450</t>
  </si>
  <si>
    <t>CEREB CIRC-COGN BEHA</t>
  </si>
  <si>
    <t>Cereb. Circ.-Cogn. Behav.</t>
  </si>
  <si>
    <t>100393</t>
  </si>
  <si>
    <t>10.1016/j.cccb.2025.100393</t>
  </si>
  <si>
    <t>http://dx.doi.org/10.1016/j.cccb.2025.100393</t>
  </si>
  <si>
    <t>Clinical Neurology; Peripheral Vascular Disease</t>
  </si>
  <si>
    <t>Neurosciences &amp; Neurology; Cardiovascular System &amp; Cardiology</t>
  </si>
  <si>
    <t>7CJ9U</t>
  </si>
  <si>
    <t>40979673</t>
  </si>
  <si>
    <t>WOS:001567688100001</t>
  </si>
  <si>
    <t>Kim, KS; Kim, BK; Chung, MJ; Cho, HB; Cho, BH; Jung, YG</t>
  </si>
  <si>
    <t>BackgroundThis study aims to develop artificial intelligence (AI) system to automatically classify patients with maxillary sinus fungal ball (MFB), chronic rhinosinusitis (CRS), and healthy controls (HCs).MethodsWe collected 512 coronal image sets from ostiomeatal unit computed tomography (OMU CT) performed on subjects who visited a single tertiary hospital. These data included 254 MFB, 128 CRS, and 130 HC subjects and were used for training the proposed AI system. The AI system takes these 1024 sets of half CT images as input and classifies these as MFB, CRS, or HC. To optimize the classification performance, we adopted a 3-D convolutional neural network of ResNet 18. We also collected 64 coronal OMU CT image sets for external validation, including 26 MFB, 18 CRS, and 20 HCs from subjects from another referral hospital. Finally, the performance of the developed AI system was compared with that of the otolaryngology resident physicians.ResultsClassification performance was evaluated using internal 5-fold cross-validation (818 training and 206 internal validation data) and external validation (128 data). The area under the receiver operating characteristic over the internal 5-fold cross-validation and the external validation was 0.96 +/- 0.006 and 0.97 +/- 0.006, respectively. The accuracy of the internal 5-fold cross-validation and the external validation was 87.5 +/- 2.3% and 88.4 +/- 3.1%, respectively. As a result of performing a classification test on external validation data from six otolaryngology resident physicians, the accuracy was obtained as 84.6 +/- 11.3%.ConclusionsThis AI system is the first study to classify MFB, CRS, and HC using deep neural networks to the best of our knowledge. The proposed system is fully automatic but performs similarly to or better than otolaryngology resident physicians. Therefore, we believe that in regions where otolaryngology specialists are scarce, the proposed AI will perform sufficiently effective diagnosis on behalf of doctors.</t>
  </si>
  <si>
    <t>Kim, Kyung-Su; Kim, Byung Kil; Chung, Myung Jin; Cho, Hyun Bin; Cho, Beak Hwan; Jung, Yong Gi</t>
  </si>
  <si>
    <t>Cho, BH; Jung, YG (corresponding author), Samsung Med Ctr, Med AI Res Ctr, Seoul, South Korea.; Jung, YG (corresponding author), Sungkyunkwan Univ, Samsung Med Ctr, Dept Otorhinolaryngol Head &amp; Neck Surg, Sch Med, Seoul, South Korea.; Cho, BH (corresponding author), Sungkyunkwan Univ, Samsung Med Ctr, Dept Med Device Management &amp; Res, SAIHST,Sch Med, Seoul, South Korea.</t>
  </si>
  <si>
    <t>baekhwan.cho@samsung.com; ent.jyg@gmail.com</t>
  </si>
  <si>
    <t>Future Medicine 20*30 Project of the Samsung Medical Center [SMX1210791]; Bio &amp; Medical Technology Development Program of the NRF - Korean government, MSIT [NRF2017M3A9E1064784]</t>
  </si>
  <si>
    <t>Future Medicine 20*30 Project of the Samsung Medical Center; Bio &amp; Medical Technology Development Program of the NRF - Korean government, MSIT (National Research Foundation of Korea)</t>
  </si>
  <si>
    <t>This research was supported by the Future Medicine 20*30 Project of the Samsung Medical Center [SMX1210791]. This research was supported by the Bio &amp; Medical Technology Development Program of the NRF funded by the Korean government, MSIT (NRF2017M3A9E1064784). The funders had no role in study design, data collection and analysis, decision to publish, or preparation of the manuscript.</t>
  </si>
  <si>
    <t>[Kim, Kyung-Su; Chung, Myung Jin; Cho, Hyun Bin; Cho, Beak Hwan; Jung, Yong Gi] Samsung Med Ctr, Med AI Res Ctr, Seoul, South Korea; [Kim, Byung Kil; Jung, Yong Gi] Sungkyunkwan Univ, Samsung Med Ctr, Dept Otorhinolaryngol Head &amp; Neck Surg, Sch Med, Seoul, South Korea; [Chung, Myung Jin] Sungkyunkwan Univ, Samsung Med Ctr, Dept Radiol, Sch Med, Seoul, South Korea; [Cho, Beak Hwan] Sungkyunkwan Univ, Samsung Med Ctr, Dept Med Device Management &amp; Res, SAIHST,Sch Med, Seoul, South Korea</t>
  </si>
  <si>
    <t>Sungkyunkwan University (SKKU); Samsung Medical Center; Sungkyunkwan University (SKKU); Samsung Medical Center; Sungkyunkwan University (SKKU); Samsung Medical Center</t>
  </si>
  <si>
    <t>Detection of maxillary sinus fungal ball via 3-D CNN-based artificial intelligence: Fully automated system and clinical validation</t>
  </si>
  <si>
    <t>DIAGNOSTIC-ACCURACY; CLASSIFICATION</t>
  </si>
  <si>
    <t>Chung, Myung/C-1876-2011; Cho, Baek Hwan/ABC-8231-2021</t>
  </si>
  <si>
    <t>Kim, Kyungsu/0000-0001-6622-6545; Jung, Yong gi/0000-0001-7456-849X; Cho, Baek Hwan/0000-0001-7722-5660</t>
  </si>
  <si>
    <t>FEB 25 2022</t>
  </si>
  <si>
    <t>e0263125</t>
  </si>
  <si>
    <t>10.1371/journal.pone.0263125</t>
  </si>
  <si>
    <t>http://dx.doi.org/10.1371/journal.pone.0263125</t>
  </si>
  <si>
    <t>0U7EE</t>
  </si>
  <si>
    <t>35213545</t>
  </si>
  <si>
    <t>WOS:000787811000015</t>
  </si>
  <si>
    <t>Hawken, S; Ducharme, R; Murphy, MSQ; Olibris, B; Bota, AB; Wilson, LA; Cheng, W; Little, J; Potter, BK; Denize, KM; Lamoureux, M; Henderson, M; Rittenhouse, KJ; Price, JT; Mwape, H; Vwalika, B; Musonda, P; Pervin, J; Chowdhury, AKA; Rahman, A; Chakraborty, P; Stringer, JSA; Wilson, K</t>
  </si>
  <si>
    <t>BackgroundAccurate estimates of gestational age (GA) at birth are important for preterm birth surveillance but can be challenging to obtain in low income countries. Our objective was to develop machine learning models to accurately estimate GA shortly after birth using clinical and metabolomic data. MethodsWe derived three GA estimation models using ELASTIC NET multivariable linear regression using metabolomic markers from heel-prick blood samples and clinical data from a retrospective cohort of newborns from Ontario, Canada. We conducted internal model validation in an independent cohort of Ontario newborns, and external validation in heel prick and cord blood sample data collected from newborns from prospective birth cohorts in Lusaka, Zambia and Matlab, Bangladesh. Model performance was measured by comparing model-derived estimates of GA to reference estimates from early pregnancy ultrasound. ResultsSamples were collected from 311 newborns from Zambia and 1176 from Bangladesh. The best-performing model accurately estimated GA within about 6 days of ultrasound estimates in both cohorts when applied to heel prick data (MAE 0.79 weeks (95% CI 0.69, 0.90) for Zambia; 0.81 weeks (0.75, 0.86) for Bangladesh), and within about 7 days when applied to cord blood data (1.02 weeks (0.90, 1.15) for Zambia; 0.95 weeks (0.90, 0.99) for Bangladesh). ConclusionsAlgorithms developed in Canada provided accurate estimates of GA when applied to external cohorts from Zambia and Bangladesh. Model performance was superior in heel prick data as compared to cord blood data.</t>
  </si>
  <si>
    <t>Hawken, Steven; Ducharme, Robin A.; Murphy, Malia S. Q.; Olibris, Brieanne; Bota, A. Brianne K.; Wilson, Lindsay A. M.; Cheng, Wei; Little, Julian; Potter, Beth K. J.; Denize, Kathryn M. T.; Lamoureux, Monica; Henderson, Matthew; Rittenhouse, Katelyn J.; Price, Joan T.; Mwape, Humphrey; Vwalika, Bellington; Musonda, Patrick; Pervin, Jesmin; Chowdhury, A. K. Azad; Rahman, Anisur; Chakraborty, Pranesh; Stringer, Jeffrey S. A.; Wilson, Kumanan</t>
  </si>
  <si>
    <t>Hawken, S (corresponding author), Ottawa Hosp Res Inst, Clin Epidemiol Program, Ottawa, ON, Canada.</t>
  </si>
  <si>
    <t>shawken@ohri.ca</t>
  </si>
  <si>
    <t>Bill &amp; Melinda Gates Foundation [OPP1141535, OPP1033514]; US National Institutes of Health [P30 AI50410, D43 TW009340]; Bill and Melinda Gates Foundation [OPP1033514, OPP1141535] Funding Source: Bill and Melinda Gates Foundation; National Institute of Mental Health; John E. Fogarty International Center for Advanced Study in the Health Sciences; National Institute of Neurological Disorders and Stroke [D43TW009340] Funding Source: NIH RePORTER</t>
  </si>
  <si>
    <t>Bill &amp; Melinda Gates Foundation (Bill &amp; Melinda Gates Foundation, Bill &amp; Melinda Gates Foundation Grand Challenges Explorations Initiative, CGIAR); US National Institutes of Health (United States Department of Health &amp; Human Services, National Institutes of Health (NIH) - USA); Bill and Melinda Gates Foundation (Bill &amp; Melinda Gates Foundation); National Institute of Mental Health; John E. Fogarty International Center for Advanced Study in the Health Sciences; National Institute of Neurological Disorders and Stroke (United States Department of Health &amp; Human Services, National Institutes of Health (NIH) - USA, NIH National Institute of Mental Health (NIMH), NIH Fogarty International Center (FIC), NIH National Institute of Neurological Disorders &amp; Stroke (NINDS))</t>
  </si>
  <si>
    <t>This study was supported by the Bill &amp; Melinda Gates Foundation [OPP1141535] (KW), [OPP1033514] (JSAS); with site support to Zambia provided by the US National Institutes of Health [P30 AI50410, D43 TW009340]. The funders had no role in study design, data collection and interpretation, or the decision to submit the work for publication.</t>
  </si>
  <si>
    <t>[Hawken, Steven; Ducharme, Robin A.; Murphy, Malia S. Q.; Olibris, Brieanne; Bota, A. Brianne K.; Wilson, Lindsay A. M.; Cheng, Wei; Wilson, Kumanan] Ottawa Hosp Res Inst, Clin Epidemiol Program, Ottawa, ON, Canada; [Little, Julian; Potter, Beth K. J.; Wilson, Kumanan] Univ Ottawa, Sch Epidemiol &amp; Publ Hlth, Ottawa, ON, Canada; [Denize, Kathryn M. T.; Lamoureux, Monica; Henderson, Matthew; Chakraborty, Pranesh] Childrens Hosp Eastern Ontario, Newborn Screening Ontario, Ottawa, ON, Canada; [Rittenhouse, Katelyn J.; Price, Joan T.; Stringer, Jeffrey S. A.] Univ N Carolina, Chapel Hill, NC USA; [Mwape, Humphrey] UNC Global Projects Zambia, Lusaka, Zambia; [Vwalika, Bellington] Univ Zambia, Sch Med, Dept Obstet &amp; Gynaecol, Lusaka, Zambia; [Musonda, Patrick] Univ Zambia, Coll Publ Hlth, Dept Med Stat, Lusaka, Zambia; [Pervin, Jesmin; Rahman, Anisur] Int Ctr Diarrhoeal Dis Res, Dhaka, Bangladesh; [Chowdhury, A. K. Azad] Dhaka Shishu Children Hosp, Dhaka, Bangladesh; [Wilson, Kumanan] Univ Ottawa, Fac Med, Dept Med, Ottawa, ON, Canada</t>
  </si>
  <si>
    <t>University of Ottawa; Ottawa Hospital Research Institute; University of Ottawa; University of Ottawa; Children's Hospital of Eastern Ontario; University of North Carolina; University of North Carolina Chapel Hill; University of Zambia; University of Zambia; International Centre for Diarrhoeal Disease Research (ICDDR); University of Ottawa</t>
  </si>
  <si>
    <t>Development and external validation of machine learning algorithms for postnatal gestational age estimation using clinical data and metabolomic markers</t>
  </si>
  <si>
    <t>Cheng, Wei/AAE-4605-2022; Hawken, Steven/AFM-5177-2022; Stringer, Jeffrey/AAU-2342-2021</t>
  </si>
  <si>
    <t>Cheng, Wei/0000-0002-1475-4079; Rahman, Anisur/0000-0003-1033-5034</t>
  </si>
  <si>
    <t>MAR 6 2023</t>
  </si>
  <si>
    <t>e0281074</t>
  </si>
  <si>
    <t>10.1371/journal.pone.0281074</t>
  </si>
  <si>
    <t>http://dx.doi.org/10.1371/journal.pone.0281074</t>
  </si>
  <si>
    <t>9R9OS</t>
  </si>
  <si>
    <t>WOS:000945977800023</t>
  </si>
  <si>
    <t>Gül, M; Sahin, A; Özer, C; Altan, M; Güdelci, T; Sahin, KC; Gültekin, MH; Ibis, MA; Duran, MB; Sivaslioglu, B; Hasirci, E; Kiliç, M; Albaz, AC; Çeker, G; Salvio, G</t>
  </si>
  <si>
    <t>Background The Klinefelter syndrome is a common genetic cause of male infertility, and testicular sperm extraction (TESE) enables sperm retrieval in a subset of affected patients. However, predicting TESE success remains challenging due to the heterogeneous clinical and endocrinological presentation of the Klinefelter syndrome. Objectives We aimed to develop and externally validate machine learning models to predict sperm retrieval outcomes in infertile patients with the Klinefelter syndrome using routinely available clinical, hormonal, and testicular parameters. Methods This multicenter retrospective study included 470 infertile patients with the Klinefelter syndrome who underwent TESE between January 2021 and November 2025. Data from 12 centers (n = 307) constituted the internal dataset and were randomly split into training (80%) and test (20%) sets, while data from one independent center (n = 163) were used for external validation. Five supervised ML algorithms-Random Forest, Decision Tree, AdaBoost, Gradient Boosting, and Extreme Gradient Boosting-were developed using repeated stratified five-fold cross-validation with five repeats. Model performance was evaluated using accuracy, F1 score, sensitivity, specificity, area under the receiver operating characteristic curve (AUROC), and Youden's J index. Model interpretability was assessed using Shapley additive explanations (SHAP). Results Across internal cross-validation, all ensemble-based models demonstrated high discriminative performance (mean AUROC &gt; 0.95). During external validation, performance declined across models; however, the Random Forest model achieved the highest accuracy (0.83), AUROC (0.95), and Youden's J index (0.73), indicating superior generalizability. SHAP analysis identified follicle-stimulating hormone as the most influential predictor, followed by total testosterone, luteinizing hormone, and bilateral testicular volume. Higher FSH and LH levels were associated with reduced sperm retrieval probability, whereas higher testosterone levels and larger testicular volumes increased the likelihood of successful retrieval. Conclusions Machine learning models can accurately and interpretable predict sperm retrieval outcomes in patients with the Klinefelter syndrome. Among the evaluated algorithms, Random Forest demonstrated the most robust and clinically balanced performance during external validation. Integration of ML-based prediction tools may support individualized counseling and decision-making in the management of infertility in the Klinefelter syndrome.</t>
  </si>
  <si>
    <t>Gul, Murat; Sahin, Ali; Ozer, Cevahir; Altan, Mesut; Gudelci, Tansu; Sahin, Kadir Can; Gultekin, Mehmet Hamza; Ibis, Muhammed Arif; Duran, Mesut Berkan; Sivaslioglu, Burak; Hasirci, Eray; Kilic, Mert; Albaz, Ali Can; Ceker, Gokhan; Salvio, Gianmaria</t>
  </si>
  <si>
    <t>Gül, M (corresponding author), Selcuk Univ, Sch Med, Dept Urol, Konya, Turkiye.; Gül, M (corresponding author), Selcuk Univ, Dept Androl, Sch Med, Konya, Turkiye.</t>
  </si>
  <si>
    <t>murat.gul@selcuk.edu.tr</t>
  </si>
  <si>
    <t>[Gul, Murat; Sahin, Ali] Selcuk Univ, Sch Med, Dept Urol, Konya, Turkiye; [Gul, Murat] Selcuk Univ, Dept Androl, Sch Med, Konya, Turkiye; [Ozer, Cevahir] Baskent Univ, Sch Med, Adana Dr Turgut Noyan Med &amp; Res Ctr, Dept Urol, Adana, Turkiye; [Altan, Mesut] Hacettepe Univ, Fac Med, Dept Urol, Ankara, Turkiye; [Gudelci, Tansu] Acibadem Maslak Hosp, Dept Urol, Istanbul, Turkiye; [Sahin, Kadir Can] Bayrampasa Devlet Hastanesi, Dept Urol, Istanbul, Turkiye; [Gultekin, Mehmet Hamza] Istanbul Univ Cerrahpasa, Cerrahpasa Fac Med, Dept Urol, Istanbul, Turkiye; [Ibis, Muhammed Arif] Ankara Univ, Sch Med, Dept Urol, Ankara, Turkiye; [Duran, Mesut Berkan] Pamukkale Univ, Sch Med, Dept Urol, Denizli, Turkiye; [Sivaslioglu, Burak] Private Infertil Clin, Hatay, Turkiye; [Hasirci, Eray] Baskent Univ, Fac Med, Dept Urol, Ankara, Turkiye; [Kilic, Mert] Koc Univ, Sch Med, Dept Urol, Istanbul, Turkiye; [Albaz, Ali Can] Manisa Celal Bayar Univ, Fac Med, Dept Urol, Manisa, Turkiye; [Ceker, Gokhan] Basaksehir Cam &amp; Sakura City Hosp, Dept Urol, Istanbul, Turkiye; [Salvio, Gianmaria] Polytech Univ Marche, Endocrinol Unit, Ospedali Riuniti Ancona, Ancona, Italy</t>
  </si>
  <si>
    <t>Selcuk University; Selcuk University; Baskent University; Hacettepe University; Acibadem Hastaneleri; Acibadem Hospitals Group; Istanbul University - Cerrahpasa; Istanbul University; Ankara University; Pamukkale University; Baskent University; Koc University; Celal Bayar University; Marche Polytechnic University</t>
  </si>
  <si>
    <t>Machine Learning-Based Prediction of Sperm Retrieval Outcomes in Patients With Klinefelter Syndrome: A Multicenter Study With External Validation</t>
  </si>
  <si>
    <t>ANDROLOGY</t>
  </si>
  <si>
    <t>external validation; Klinefelter syndrome; machine learning; SHAP; sperm retrieval; testicular sperm extraction</t>
  </si>
  <si>
    <t>STIMULATING-HORMONE LEVELS; SERUM INHIBIN-B; PROGNOSTIC VALUE; MEN; AGE; TESTOSTERONE; EXTRACTION; TESE</t>
  </si>
  <si>
    <t>Salvio, Gianmaria/ACO-0596-2022; Duran, Mesut Berkan/HKW-6283-2023; GULTEKIN, MEHMET/AAN-2503-2020; Gül, Murat/HKE-1731-2023; Çeker, Gökhan/GPG-3775-2022; HASIRCI, ERAY/AAI-7997-2021; altan, mesut/ABE-9517-2020; Ozer, Cevahir/AAM-2222-2020; Sahin, Kadir Can/JVZ-1842-2024; Güdelci, Tansu/KBB-4338-2024; Şahin, Ali/JXX-4226-2024; Albaz, AliCan/NGQ-8577-2025; Ibis, Muhammed Arif/HJG-6126-2022</t>
  </si>
  <si>
    <t>Çeker, Gökhan/0000-0002-7891-9450</t>
  </si>
  <si>
    <t>2047-2919</t>
  </si>
  <si>
    <t>2047-2927</t>
  </si>
  <si>
    <t>ANDROLOGY-US</t>
  </si>
  <si>
    <t>Andrology</t>
  </si>
  <si>
    <t>10.1111/andr.70297</t>
  </si>
  <si>
    <t>http://dx.doi.org/10.1111/andr.70297</t>
  </si>
  <si>
    <t>KK3TX</t>
  </si>
  <si>
    <t>42384919</t>
  </si>
  <si>
    <t>WOS:001809026300001</t>
  </si>
  <si>
    <t>van Linschoten, RCA; van Leeuwen, N; van Klaveren, D; Pierik, MJ; Creemers, R; Hendrix, EMB; Hazelzet, JA; van der Woude, CJ; West, RL; van Noord, D</t>
  </si>
  <si>
    <t>Background and aims Large registries are promising tools to study the epidemiology of inflammatory bowel disease (IBD). We aimed to develop and validate machine learning models to identify IBD cases in administrative data, aiming to determine the prevalence, incidence, and mortality of IBD in the Netherlands.Methods We developed machine learning models for administrative data to identify IBD cases and classify them on subtype and incidence year. Models were developed in a population-based cohort and externally validated in a hospital cohort. Models were evaluated on Brier score, area under the receiver operating characteristic curve (AUC), calibration, and accuracy. The best models were used to determine the epidemiology of IBD in the Netherlands between 2013 and 2020.Results For identifying IBD cases the random forest model was best (AUC: 0.97, 95% CI [0.96; 0.97]). The gradient-boosted trees model for subtype was best (accuracy: 0.95, 95% CI [0.94; 0.95]) as was the random forest model for incidence year (0.88, 95% CI [0.86; 0.89]). The prevalence of IBD in the Netherlands was 577.6 (95% CI [566.7; 586.2]) per 100 000 on December 31, 2020, with varying prevalence across the Netherlands. Incidence of IBD was 20.1 (95% CI [18.0; 22.3]) per 100 000 in 2020 and stable over time. Mortality rates of IBD patients rose over time and were 11.6 (95% CI [10.5; 11.8]) per 1000 in 2020 as compared to 9.5 in the general population.Conclusion Inflammatory bowel disease cases can be accurately identified using administrative data. The prevalence of IBD in the Netherlands is increasing slower than expected, suggesting a trend towards the epidemiological stage of Prevalence Equilibrium.</t>
  </si>
  <si>
    <t>van Linschoten, Reinier C. A.; van Leeuwen, Nikki; van Klaveren, David; Pierik, Marieke J.; Creemers, Rob; Hendrix, Evelien M. B.; Hazelzet, Jan A.; van der Woude, C. Janneke; West, Rachel L.; van Noord, Desiree</t>
  </si>
  <si>
    <t>van Linschoten, RCA (corresponding author), Franciscus Gasthuis &amp; Vlietland, POB 10900, NL-3004 BA Rotterdam, Netherlands.</t>
  </si>
  <si>
    <t>r.vanlinschoten@erasmusmc.nl</t>
  </si>
  <si>
    <t>Research and Development Foundation; Dutch Hospital Data, PALGA: Dutch Pathology Registry, NIVEL, Statistics Netherlands</t>
  </si>
  <si>
    <t>Carlijn Haan, Janneke Kovoor, Laura Oudshoorn, Ezra Vogt, Elyke Visser, Nawid Raufi, and Warshan Katwaroe for their help in creating the validation cohort. Dutch Hospital Data, PALGA: Dutch Pathology Registry, NIVEL, Statistics Netherlands and the IBD South Limburg Cohort for allowing access to their data. During the preparation of this work, the author(s) used ChatGPT in order to rewrite the text for clarity and readability. After using this tool/service, the author(s) reviewed and edited the content as needed and take(s) full responsibility for the content of the publication.</t>
  </si>
  <si>
    <t>[van Linschoten, Reinier C. A.; West, Rachel L.; van Noord, Desiree] Franciscus Gasthuis &amp; Vlietland, Dept Gastroenterol &amp; Hepatol, POB 10900, NL-3004 BA Rotterdam, Netherlands; [van Linschoten, Reinier C. A.; van der Woude, C. Janneke] Erasmus MC, Dept Gastroenterol &amp; Hepatol, Rotterdam, Netherlands; [van Linschoten, Reinier C. A.; van Leeuwen, Nikki; van Klaveren, David; Hazelzet, Jan A.] Erasmus MC, Dept Publ Hlth, POB 2040, NL-3000 CA Rotterdam, Netherlands; [Pierik, Marieke J.; Hendrix, Evelien M. B.] MUMC, Dept Gastroenterol &amp; Hepatol, POB 5800, NL-6202 AZ Maastricht, Netherlands; [Pierik, Marieke J.; Creemers, Rob; Hendrix, Evelien M. B.] Maastricht Univ, NUTRIM Sch Nutr &amp; Translat Res Metab, Fac Hlth Med &amp; Life Sci, POB 616, NL-6200 MD Maastricht, Netherlands; [Creemers, Rob] Zuyderland Med Ctr, Sittard Geleen, Dept Gastroenterol Geriatr Internal &amp; Intens Care, POB 5, Heerlen Sittard Geleen, Netherlands</t>
  </si>
  <si>
    <t>Franciscus Gasthuis; Erasmus University Rotterdam; Erasmus MC; Erasmus University Rotterdam; Erasmus MC; Maastricht University; Maastricht University; Maastricht University Medical Centre (MUMC)</t>
  </si>
  <si>
    <t>Prevalence, incidence, and mortality of inflammatory bowel disease in the Netherlands: development and external validation of machine learning models</t>
  </si>
  <si>
    <t>JOURNAL OF CROHNS &amp; COLITIS</t>
  </si>
  <si>
    <t>inflammatory bowel disease; prevalence; incidence; mortality; machine learning</t>
  </si>
  <si>
    <t>ALGORITHMS; COLITIS; COHORT; CROHNS</t>
  </si>
  <si>
    <t>van Linschoten, Reinier CA/GXH-6966-2022; van Klaveren, David/ABF-3020-2021; van der Woude, Christien/H-6384-2011</t>
  </si>
  <si>
    <t>van Linschoten, Reinier CA/0000-0003-3052-596X; Hazelzet, Jan/0000-0002-9414-5539; Pierik, Marie/0000-0001-6981-6516; Leemreis-van Noord, Desirée/0000-0003-1578-9123; van Klaveren, David/0000-0002-2096-606X; Henix, Evelien/0000-0003-0482-4640</t>
  </si>
  <si>
    <t>1873-9946</t>
  </si>
  <si>
    <t>1876-4479</t>
  </si>
  <si>
    <t>J CROHNS COLITIS</t>
  </si>
  <si>
    <t>J. Crohns Colitis</t>
  </si>
  <si>
    <t>jjaf017</t>
  </si>
  <si>
    <t>10.1093/ecco-jcc/jjaf017</t>
  </si>
  <si>
    <t>http://dx.doi.org/10.1093/ecco-jcc/jjaf017</t>
  </si>
  <si>
    <t>Z0Y7G</t>
  </si>
  <si>
    <t>39945210</t>
  </si>
  <si>
    <t>WOS:001436273100001</t>
  </si>
  <si>
    <t>Yu, JY; Kim, D; Yoon, S; Kim, T; Heo, S; Chang, H; Han, GS; Jeong, KW; Park, RW; Gwon, JM; Xie, F; Ong, MEH; Ng, YY; Joo, HJ; Cha, WC</t>
  </si>
  <si>
    <t>Emergency departments (ED) are complex, triage is a main task in the ED to prioritize patient with limited medical resources who need them most. Machine learning (ML) based ED triage tool, Score for Emergency Risk Prediction (SERP), was previously developed using an interpretable ML framework with single center. We aimed to develop SERP with 3 Korean multicenter cohorts based on common data model (CDM) without data sharing and compare performance with inter-hospital validation design. This retrospective cohort study included all adult emergency visit patients of 3 hospitals in Korea from 2016 to 2017. We adopted CDM for the standardized multicenter research. The outcome of interest was 2-day mortality after the patients' ED visit. We developed each hospital SERP using interpretable ML framework and validated inter-hospital wisely. We accessed the performance of each hospital's score based on some metrics considering data imbalance strategy. The study population for each hospital included 87,670, 83,363 and 54,423 ED visits from 2016 to 2017. The 2-day mortality rate were 0.51%, 0.56% and 0.65%. Validation results showed accurate for inter hospital validation which has at least AUROC of 0.899 (0.858-0.940). We developed multicenter based Interpretable ML model using CDM for 2-day mortality prediction and executed Inter-hospital external validation which showed enough high accuracy.</t>
  </si>
  <si>
    <t>Yu, Jae Yong; Kim, Doyeop; Yoon, Sunyoung; Kim, Taerim; Heo, Sejin; Chang, Hansol; Han, Gab Soo; Jeong, Kyung Won; Park, Rae Woong; Gwon, Jun Myung; Xie, Feng; Ong, Marcus Eng Hock; Ng, Yih Yng; Joo, Hyung Joon; Cha, Won Chul</t>
  </si>
  <si>
    <t>Cha, WC (corresponding author), Sungkyunkwan Univ, Samsung Adv Inst Hlth Sci &amp; Technol, Dept Digital Hlth, Seoul, South Korea.; Cha, WC (corresponding author), Sungkyunkwan Univ, Samsung Med Ctr, Dept Emergency Med, Sch Med, 115 Irwon Ro, Seoul, South Korea.; Cha, WC (corresponding author), Samsung Med Ctr, Digital Innovat Ctr, Seoul, South Korea.</t>
  </si>
  <si>
    <t>docchaster@gmail.com</t>
  </si>
  <si>
    <t>Korea Health Technology R&amp;D Project through the Korea Health Industry Development Institute (KHIDI)</t>
  </si>
  <si>
    <t>Korea Health Technology R&amp;D Project through the Korea Health Industry Development Institute (KHIDI) (Korea Health Industry Development Institute (KHIDI))</t>
  </si>
  <si>
    <t>[Yu, Jae Yong] Yonsei Univ, Coll Med, Dept Biomed Syst Informat, Seoul, South Korea; [Kim, Doyeop; Jeong, Kyung Won; Park, Rae Woong] Ajou Univ, Sch Med, Dept Biomed Informat, Suwon, South Korea; [Yoon, Sunyoung; Heo, Sejin; Chang, Hansol; Cha, Won Chul] Sungkyunkwan Univ, Samsung Adv Inst Hlth Sci &amp; Technol, Dept Digital Hlth, Seoul, South Korea; [Kim, Taerim; Heo, Sejin; Chang, Hansol; Cha, Won Chul] Sungkyunkwan Univ, Samsung Med Ctr, Dept Emergency Med, Sch Med, 115 Irwon Ro, Seoul, South Korea; [Han, Gab Soo; Joo, Hyung Joon] Korea Univ, Coll Med, Dept Cardiol, Cardiovasc Ctr, Seoul, South Korea; [Gwon, Jun Myung] Mediplex Sejong Hosp, Dept Crit Care &amp; Emergency Med, Incheon, South Korea; [Ong, Marcus Eng Hock] Duke Natl Univ Singapore, Programme Hlth Serv &amp; Syst Res, Med Sch, Singapore, Singapore; [Xie, Feng] Stanford Univ, Dept Biomed Data Sci, Stanford, CA USA; [Xie, Feng] Stanford Univ, Dept Anesthesiol Perioperat &amp; Pain Med, Stanford, CA USA; [Ong, Marcus Eng Hock] Singapore Gen Hosp, Dept Emergency Med, Singapore, Singapore; [Ng, Yih Yng] Tan Tock Seng Hosp, Digital &amp; Smart Hlth Off, Singapore, Singapore; [Cha, Won Chul] Samsung Med Ctr, Digital Innovat Ctr, Seoul, South Korea; [Park, Rae Woong] Ajou Univ, Grad Sch Med, Dept Biomed Sci, Suwon, South Korea</t>
  </si>
  <si>
    <t>Yonsei University; Yonsei University Health System; Ajou University; Sungkyunkwan University (SKKU); Samsung Medical Center; Sungkyunkwan University (SKKU); Samsung Medical Center; Korea University; Korea University Medicine (KU Medicine); National University of Singapore; Stanford University; Stanford University; Stanford Medicine; Singapore General Hospital; Tan Tock Seng Hospital; Sungkyunkwan University (SKKU); Samsung Medical Center; Ajou University</t>
  </si>
  <si>
    <t>Inter hospital external validation of interpretable machine learning based triage score for the emergency department using common data model</t>
  </si>
  <si>
    <t>SYSTEM; HEALTH</t>
  </si>
  <si>
    <t>Ong, Marcus/LNP-4888-2024; /HPF-9653-2023; Park, Rae/K-8097-2013; Joo, Hyung/Q-4875-2016; Ng, Yih/AAE-9969-2020</t>
  </si>
  <si>
    <t>MAR 20 2024</t>
  </si>
  <si>
    <t>6666</t>
  </si>
  <si>
    <t>10.1038/s41598-024-54364-7</t>
  </si>
  <si>
    <t>http://dx.doi.org/10.1038/s41598-024-54364-7</t>
  </si>
  <si>
    <t>MG4I1</t>
  </si>
  <si>
    <t>38509133</t>
  </si>
  <si>
    <t>WOS:001192455600051</t>
  </si>
  <si>
    <t>Kocak, B; Yardimci, AH; Bektas, CT; Turkcanoglu, MH; Erdim, C; Yucetas, U; Koca, SB; Kilickesmez, O</t>
  </si>
  <si>
    <t>Objective: To develop externally validated, reproducible, and generalizable models for distinguishing three major subtypes of renal cell carcinomas (RCCs) using machine learning-based quantitative computed tomography (CT) texture analysis (qCT-TA).Materials and methods: Sixty-eight RCCs were included in this retrospective study for model development and internal validation. Another 26 RCCs were included from public databases (The Cancer Genome Atlas-TCGA) for independent external validation. Following image preparation steps (reconstruction, resampling, normalization, and discretization), 275 texture features were extracted from unenhanced and corticomedullary phase CT images. Feature selection was firstly done with reproducibility analysis by three radiologists, and; then, with a wrapper-based classifier-specific algorithm. A nested cross-validation was performed for feature selection and model optimization. Base classifiers were the artificial neural network (ANN) and support vector machine (SVM). Base classifiers were also combined with three additional algorithms to improve generalizability performance. Classifications were done with the following groups: (i), non-clear cell RCC (non-cc-RCC) versus clear cell RCC (cc-RCC) and (ii), cc-RCC versus papillary cell RCC (pc-RCC) versus chromophobe cell RCC (chc-RCC). Main performance metric for comparisons was the Matthews correlation coefficient (MCC).Results: Number of the reproducible features is smaller for the unenhanced images (93 out of 275) compared to the corticomedullary phase images (232 out of 275). Overall performance metrics of the machine learning-based qCT-TA derived from corticomedullary phase images were better than those of unenhanced images. Using corticomedullary phase images, ANN with adaptive boosting algorithm performed best for discrimination of non-cc-RCCs from cc-RCCs (MCC = 0.728) with an external validation accuracy, sensitivity, and specificity of 84.6%, 69.2%, and 100%, respectively. On the other hand, the performance of the machine learning-based qCT-TA is rather poor for distinguishing three major subtypes. The SVM with bagging algorithm performed best for discrimination of pc-RCC from other RCC subtypes (MCC = 0.804) with an external validation accuracy, sensitivity, and specificity of 69.2%, 71.4%, and 100%, respectively.Conclusions: Machine learning-based qCT-TA can distinguish non-cc-RCCs from cc-RCCs with a satisfying performance. On the other hand, the performance of the method for distinguishing three major subtypes is rather poor. Corticomedullary phase CT images provide much more valuable texture parameters than unenhanced images.</t>
  </si>
  <si>
    <t>Kocak, Burak; Yardimci, Aytul Hande; Bektas, Ceyda Turan; Turkcanoglu, Mehmet Hamza; Erdim, Cagri; Yucetas, Ugur; Koca, Sevim Baykal; Kilickesmez, Ozgur</t>
  </si>
  <si>
    <t>Kocak, B (corresponding author), Istanbul Training &amp; Res Hosp, Dept Radiol, Istanbul, Turkey.</t>
  </si>
  <si>
    <t>drburakkocak@gmail.com</t>
  </si>
  <si>
    <t>[Kocak, Burak; Yardimci, Aytul Hande; Bektas, Ceyda Turan; Erdim, Cagri; Kilickesmez, Ozgur] Istanbul Training &amp; Res Hosp, Dept Radiol, Istanbul, Turkey; [Turkcanoglu, Mehmet Hamza] Batman Women &amp; Childrens Hlth Training &amp; Res Hosp, Dept Radiol, Istanbul, Turkey; [Yucetas, Ugur] Istanbul Training &amp; Res Hosp, Dept Urol, Istanbul, Turkey; [Koca, Sevim Baykal] Istanbul Training &amp; Res Hosp, Dept Pathol, Istanbul, Turkey</t>
  </si>
  <si>
    <t>Istanbul Training &amp; Research Hospital; Istanbul Training &amp; Research Hospital; Istanbul Training &amp; Research Hospital</t>
  </si>
  <si>
    <t>Textural differences between renal cell carcinoma subtypes: Machine learning-based quantitative computed tomography texture analysis with independent external validation</t>
  </si>
  <si>
    <t>Machine learning; Neural networks; Support vector machine; Multidetector computed tomography; Renal cell carcinoma</t>
  </si>
  <si>
    <t>SELECTION; CT; CLASSIFICATION; FEATURES; MRI</t>
  </si>
  <si>
    <t>/S-9713-2018; KILICKESMEZ, Ozgur/AAX-7749-2021; Kocak, Burak/A-4749-2012; Erdim, Çağrı/JWP-2943-2024; Yardimci, Aytul Hande/AAA-5208-2022</t>
  </si>
  <si>
    <t>Kocak, Burak/0000-0002-7307-396X; Erdim, Çağrı/0000-0002-2869-6842; Yardimci, Aytul Hande/0000-0002-5163-9141</t>
  </si>
  <si>
    <t>OCT 2018</t>
  </si>
  <si>
    <t>149</t>
  </si>
  <si>
    <t>10.1016/j.ejrad.2018.08.014</t>
  </si>
  <si>
    <t>http://dx.doi.org/10.1016/j.ejrad.2018.08.014</t>
  </si>
  <si>
    <t>GV6II</t>
  </si>
  <si>
    <t>30292260</t>
  </si>
  <si>
    <t>WOS:000446211900022</t>
  </si>
  <si>
    <t>Huang, WJ; Tong, SJ; Gao, L</t>
  </si>
  <si>
    <t>Objective Delirium is a frequent complication in acute heart failure and is associated with poor outcomes in the intensive care unit. Machine learning methods can leverage high-dimensional clinical data to support early risk stratification; however, models specifically designed to predict delirium in acute heart failure are limited, underscoring the need for reliable and clinically applicable tools.Methods Patients with acute heart failure were identified using International Classification of Diseases codes, and delirium was assessed using the Confusion Assessment Method for the Intensive Care Unit. Baseline clinical data were subjected to feature selection using least absolute shrinkage and selection operator, Boruta and recursive feature elimination. Eight machine learning models were developed, and the optimal model was evaluated for discrimination, calibration and clinical utility, with SHapley Additive exPlanations used to interpret predictor contributions.Results Ten key predictors were identified using three feature selection methods. The gradient boosting machine model demonstrated favourable discrimination and calibration in both internal and external validation cohorts, although the areas under the receiver operating characteristic curve of the neural network and Light Gradient Boosting Machine models were not significantly different from those of the gradient boosting model in the DeLong comparisons. SHapley Additive exPlanations identified the Glasgow Coma Scale score, Sequential Organ Failure Assessment score and sedative use as major contributors to risk prediction. The final model was implemented as an online risk calculator to provide individualised risk estimates.Conclusions The model showed acceptable performance for estimating delirium risk in patients with acute heart failure and may support early intensive care unit risk stratification. The web-based calculator enables individualised assessment; however, prospective multi-centre validation is needed before broad clinical implementation.</t>
  </si>
  <si>
    <t>Huang, Weijie; Tong, Shijun; Gao, Lang</t>
  </si>
  <si>
    <t>Gao, L (corresponding author), Qinghai Univ, Dept Crit Care Med, Clin Med Coll, Xining 810000, Peoples R China.</t>
  </si>
  <si>
    <t>1738048108@qq.com</t>
  </si>
  <si>
    <t>[Huang, Weijie] Xiamen Univ, Affiliated Hosp 1, Sch Med, Dept Anesthesiol, Xiamen, Peoples R China; [Tong, Shijun; Gao, Lang] Qinghai Univ, Dept Crit Care Med, Clin Med Coll, Xining 810000, Peoples R China</t>
  </si>
  <si>
    <t>Xiamen University</t>
  </si>
  <si>
    <t>Development and external validation of an online interpretable machine-learning model for predicting delirium risk in acute heart failure</t>
  </si>
  <si>
    <t>JOURNAL OF INTERNATIONAL MEDICAL RESEARCH</t>
  </si>
  <si>
    <t>Acute heart failure; delirium; machine learning; SHapley Additive exPlanations; online calculator</t>
  </si>
  <si>
    <t>0300-0605</t>
  </si>
  <si>
    <t>1473-2300</t>
  </si>
  <si>
    <t>J INT MED RES</t>
  </si>
  <si>
    <t>J. Int. Med. Res.</t>
  </si>
  <si>
    <t>03000605261472037</t>
  </si>
  <si>
    <t>10.1177/03000605261472037</t>
  </si>
  <si>
    <t>http://dx.doi.org/10.1177/03000605261472037</t>
  </si>
  <si>
    <t>Medicine, Research &amp; Experimental; Pharmacology &amp; Pharmacy</t>
  </si>
  <si>
    <t>Research &amp; Experimental Medicine; Pharmacology &amp; Pharmacy</t>
  </si>
  <si>
    <t>MI7CI</t>
  </si>
  <si>
    <t>42570283</t>
  </si>
  <si>
    <t>WOS:001843182500001</t>
  </si>
  <si>
    <t>Liu, YQ; Wang, P; Wang, M; Chen, Y; Kasyanju, SM; Yang, YH; Yang, T; Peng, L; Sun, M</t>
  </si>
  <si>
    <t>Background: Heart failure (HF) is a severe and common complication of type 2 diabetes mellitus (T2DM), associated with increased morbidity and mortality. Although the biomarker NT-proBNP, at a cut-off value of 125 pg/mL, has demonstrated satisfactory discriminatory power for predicting HF risk in T2DM patients, its measurement remains inaccessible in most primary healthcare settings in China. This study aimed to develop and externally validate a machine learning-based nomogram for predicting the risk of elevated NT-proBNP (&gt;= 125 pg/mL) as a surrogate for HF risk in patients with T2DM. Methods: We retrospectively enrolled 564 T2DM patients as the development cohort and 302 from two external centers as the validation cohort. After feature selection via least absolute shrinkage and selection operator regression, five machine learning models were constructed and evaluated using 10-fold cross-validation. The optimal model was presented as a static nomogram and further deployed as an online web application for clinical use. Results: Six key predictors were identified: estimated glomerular filtration rate, age, serum albumin, hemoglobin, urine albumin-tocreatinine ratio, and the binary indicator of age &gt;= 65 years. Interpretability analysis using SHapley Additive exPlanations revealed estimated glomerular filtration rate as the most influential feature. The final machine learning-based nomogram achieved AUCs of 0.806 (95% CI: 0.767-0.845) in training and 0.861 (95% CI: 0.813-0.908) in external validation, with good calibration and clinical utility. Furthermore, the nomogram scores showed a significant positive correlation with established TRS-HFDM risk strata, supporting its clinical relevance. Conclusion: We developed and validated an interpretable machine learning-based nomogram that effectively predicts the risk of elevated NT-proBNP in T2DM patients using six routine clinical variables. This tool demonstrates robust performance and generalizability, offering a practical and accessible solution for HF risk stratification in resource-limited primary care settings in China.</t>
  </si>
  <si>
    <t>Liu, Yuqing; Wang, Ping; Wang, Min; Chen, Yan; Kasyanju, Sania Martin; Yang, Yuhong; Yang, Tao; Peng, Li; Sun, Min</t>
  </si>
  <si>
    <t>Sun, M (corresponding author), Nanjing Med Univ, Dept Endocrinol, First Affiliated Hosp, Nanjing, Peoples R China.; Peng, L (corresponding author), Nanjing Med Univ, Dept Endocrinol, Affiliated Hosp 4, Nanjing, Peoples R China.; Sun, M (corresponding author), Nanjing Med Univ, Dept Endocrinol, Affiliated Hosp 1, Guangzhou Rd 300, Nanjing 210029, Peoples R China.; Peng, L (corresponding author), Nanjing Med Univ, Affiliated Hosp 4, Dept Endocrinol, Nanpu Rd 298, Nanjing, Peoples R China.</t>
  </si>
  <si>
    <t>drsunm@njmu.edu.cn; penglee@njmu.edu.cn</t>
  </si>
  <si>
    <t>Key project of Health Department of Jiangsu Province [K2023046]; Medical Research Project of Jiangsu Province Health Commission [Z2022048]; Preventive Medicine Research Project of Jiangsu Province [Ym2023061]; General Project of Nanjing Health Commission [YKK22211]</t>
  </si>
  <si>
    <t>Key project of Health Department of Jiangsu Province; Medical Research Project of Jiangsu Province Health Commission; Preventive Medicine Research Project of Jiangsu Province; General Project of Nanjing Health Commission</t>
  </si>
  <si>
    <t>This work was supported by the Key project of Health Department of Jiangsu Province [grant number K2023046] ; the Medical Research Project of Jiangsu Province Health Commission [grant number Z2022048] ; the Preventive Medicine Research Project of Jiangsu Province [grant number Ym2023061] ; the General Project of Nanjing Health Commission [grant number YKK22211] .</t>
  </si>
  <si>
    <t>[Liu, Yuqing; Kasyanju, Sania Martin; Yang, Yuhong; Yang, Tao; Sun, Min] Nanjing Med Univ, Dept Endocrinol, First Affiliated Hosp, Nanjing, Peoples R China; [Wang, Ping; Chen, Yan] Nanjing Gaochun Peoples Hosp, Dept Endocrinol, Nanjing, Peoples R China; [Wang, Min; Peng, Li] Nanjing Med Univ, Dept Endocrinol, Affiliated Hosp 4, Nanjing, Peoples R China; [Sun, Min] Nanjing Med Univ, Dept Endocrinol, Affiliated Hosp 1, Guangzhou Rd 300, Nanjing 210029, Peoples R China; [Peng, Li] Nanjing Med Univ, Affiliated Hosp 4, Dept Endocrinol, Nanpu Rd 298, Nanjing, Peoples R China</t>
  </si>
  <si>
    <t>Nanjing Medical University; Nanjing Medical University; Nanjing Medical University; Nanjing Medical University</t>
  </si>
  <si>
    <t>Development and External Validation of a Machine Learning-Based Model for Predicting Heart Failure Risk in Type 2 Diabetes</t>
  </si>
  <si>
    <t>type 2 diabetes mellitus; N-terminal pro-B-type natriuretic peptide; heart failure; prediction model; machine learning</t>
  </si>
  <si>
    <t>ASSOCIATION; DIAGNOSIS; DISEASE; COHORT; ESC; HFA</t>
  </si>
  <si>
    <t>Yang, Tao/AGK-7398-2022</t>
  </si>
  <si>
    <t>Yang, Tao/0000-0001-6375-3622</t>
  </si>
  <si>
    <t>4177</t>
  </si>
  <si>
    <t>4191</t>
  </si>
  <si>
    <t>10.2147/DMSO.S558687</t>
  </si>
  <si>
    <t>http://dx.doi.org/10.2147/DMSO.S558687</t>
  </si>
  <si>
    <t>9UL7Q</t>
  </si>
  <si>
    <t>41256903</t>
  </si>
  <si>
    <t>WOS:001615306100001</t>
  </si>
  <si>
    <t>gold; Green Accepted</t>
  </si>
  <si>
    <t>Wartakusumah, R; Mukai, K; Noguchi, H; Oe, M</t>
  </si>
  <si>
    <t>This scoping review synthesized clinical validation evidence of artificial intelligence (AI) algorithms for diabetes-related foot ulcer (DRFU) detection and assessment and identified factors influencing AI performance in real-world settings. A systematic search was conducted in PubMed, MEDLINE, CINAHL, Scopus, and Google Scholar, following the Arksey and O'Malley framework and reported using PRISMA-ScR. Eligible studies involved adult patients with diabetes and foot ulcers, utilized learning-based AI models, and reported clinical validation outcomes. Eleven studies published between 2020 and 2026 were included from eight countries. Diagnostic performance varied across studies, with sensitivity of 91-100%, specificity of 20-96.8%, and intraclass correlation coefficients of 0.825-0.998 for wound measurement reliability. AI systems reduced manual area overestimation by 13.4-25.2%. Influencing factors were mapped across three NASSS framework domains: technological factors including image quality and algorithmic misclassification, adopter-level barriers including digital literacy limitations, and organisational system-level constraints including infrastructure instability and data privacy concerns. These findings suggest early-stage evidence of promising AI diagnostic performance. However, the evidence base remains limited by small sample sizes, heterogeneous designs, and the inability of current systems to assess deeper wound features. Prospective multi-centre studies with standardised protocols are needed before routine clinical adoption can be recommended.</t>
  </si>
  <si>
    <t>Wartakusumah, Riki; Mukai, Kanae; Noguchi, Hiroshi; Oe, Makoto</t>
  </si>
  <si>
    <t>Oe, M (corresponding author), Kanazawa Univ, Inst Med Pharmaceut &amp; Hlth Sci, Fac Hlth Sci, 5-11-80 Kodatsuno, Kanazawa, Ishikawa 9200942, Japan.</t>
  </si>
  <si>
    <t>moe-tky@umin.ac.jp; hnoguchi@omu.ac.jp; kanae_m@staff.kanazawa-u.ac.jp; rikiwartakusumah@stu.kanazawa-u.ac.jp</t>
  </si>
  <si>
    <t>[Wartakusumah, Riki] Kanazawa Univ, Grad Sch Med Sci, Div Hlth Sci, 5-11-80 Kodatsuno, Kanazawa, Ishikawa 9200942, Japan; [Mukai, Kanae; Oe, Makoto] Kanazawa Univ, Inst Med Pharmaceut &amp; Hlth Sci, Fac Hlth Sci, 5-11-80 Kodatsuno, Kanazawa, Ishikawa 9200942, Japan; [Noguchi, Hiroshi] Osaka Metropolitan Univ, Grad Sch Engn, Room W713 Bldg B7,1-1,Gakuencho,Naka Ku, Osaka, Japan</t>
  </si>
  <si>
    <t>Kanazawa University; Kanazawa University; Osaka Metropolitan University</t>
  </si>
  <si>
    <t>Performance of artificial intelligence in diabetes-related foot ulcer detection and assessment: a scoping review of clinical validation studies</t>
  </si>
  <si>
    <t>DIABETES RESEARCH AND CLINICAL PRACTICE</t>
  </si>
  <si>
    <t>Deep learning; Human-AI comparison; Influencing factors; Machine learning; Metrics performance; Real-world implementation</t>
  </si>
  <si>
    <t>TECHNOLOGY</t>
  </si>
  <si>
    <t>0168-8227</t>
  </si>
  <si>
    <t>1872-8227</t>
  </si>
  <si>
    <t>DIABETES RES CLIN PR</t>
  </si>
  <si>
    <t>Diabetes Res. Clin. Pract.</t>
  </si>
  <si>
    <t>239</t>
  </si>
  <si>
    <t>113485</t>
  </si>
  <si>
    <t>10.1016/j.diabres.2026.113485</t>
  </si>
  <si>
    <t>http://dx.doi.org/10.1016/j.diabres.2026.113485</t>
  </si>
  <si>
    <t>MN3FV</t>
  </si>
  <si>
    <t>42556576</t>
  </si>
  <si>
    <t>WOS:001846311700001</t>
  </si>
  <si>
    <t>Shan, RX; Pei, CH; Fan, QR; Liu, JC; Wang, DW; Yang, SF; Wang, XM</t>
  </si>
  <si>
    <t>BackgroundAccurate detection of hepatocellular carcinoma (HCC) in multiphasic contrast CT is essential for effective treatment and surgical planning. However, the variety of CT images, the misdiagnosis and missed diagnosis, and the inconsistent diagnosis among different radiologists pose challenges to accurate detection which demands sufficient clinical experience and can be time-consuming and labor-intensive.PurposeTo evaluate the detection performance of an artificial intelligence (AI)-assisted platform for HCC by the external validation dataset.MethodsCT images pathologically diagnosed with HCC from December 2021 to June 2023 were retrospectively analyzed to evaluate the detection ability of the AI-assisted platform. The AI-assisted platform is designed based on a two-phase segmentation approach, integrating coarse and fine segmentation techniques to accurately identify and delineate hepatic lesions. The CT images were annotated and confirmed by the experienced radiologists using InferScholar software as the "gold standard". The automatic HCC segmentation performed by the AI-assisted platform was used to compare with the annotation of radiologists. Furthermore, we also did subgroup analysis depending on the size and location of HCC to explore the impact factors of HCC detectability. The segmentation accuracies were evaluated by Dice coefficient (Dice), accuracy, recall, precision, and F1-score. Our study focused on evaluating the efficacy of the AI-assisted platform in clinical settings.ResultsOne Hundred Forty HCC patients were finally included in this study. The artificial intelligence (AI)-assisted platform's performance was rigorously assessed by comparing the segmentation outcomes with standard diagnostic criteria. The average dice score of the AI-assisted platform is 0.8819, which showed a high detection performance for HCC. Besides, for the subgroup analysis, the model also demonstrated high performance in diameter greater than 20 mm with all results exceeding 0.9, and all final evaluation index values for the location analysis were consistently exceeding 0.97. All the results showed comparable performance with radiologists. Our results demonstrate that the product not only accurately segments HCC lesions but also provides valuable insights into lesion characteristics that are essential for effective treatment planning.ConclusionThis study validates the effectiveness of the artificial intelligence-assisted platform in detecting HCC lesions and analyzing lesion size and location. It can serve as an auxiliary tool to help radiologists identify, locate, and assess lesions.</t>
  </si>
  <si>
    <t>Shan, Rongxue; Pei, Chenhao; Fan, Qianrui; Liu, Junchuan; Wang, Dawei; Yang, Shifeng; Wang, Ximing</t>
  </si>
  <si>
    <t>Yang, SF; Wang, XM (corresponding author), Shandong First Med Univ, Shandong Prov Hosp, Dept Radiol, Jinan 250021, Shandong, Peoples R China.</t>
  </si>
  <si>
    <t>ysfirst@126.com; wxming369@163.com</t>
  </si>
  <si>
    <t>National Natural Science Foundation of China [82271993]</t>
  </si>
  <si>
    <t>This study was supported by national Natural Science Foundation of China (Grant No. 82271993).</t>
  </si>
  <si>
    <t>[Shan, Rongxue; Yang, Shifeng; Wang, Ximing] Shandong First Med Univ, Shandong Prov Hosp, Dept Radiol, Jinan 250021, Shandong, Peoples R China; [Pei, Chenhao; Fan, Qianrui; Wang, Dawei] Infervision Med Technol Co Ltd, Inst Res, Yuanyang Int Ctr, 25F Bldg E, Beijing 100025, Peoples R China; [Shan, Rongxue] Shandong First Med Univ, Jinan 271099, Shandong, Peoples R China; [Shan, Rongxue] Shandong Acad Med Sci, Jinan 271099, Shandong, Peoples R China; [Liu, Junchuan] Qingdao Univ, Qingdao Hiser Hosp, Qingdao Tradit Chinese Med Hosp, Dept Intervent Med, Qingdao, Shandong, Peoples R China</t>
  </si>
  <si>
    <t>Shandong First Medical University &amp; Shandong Academy of Medical Sciences; Shandong First Medical University &amp; Shandong Academy of Medical Sciences; Shandong First Medical University &amp; Shandong Academy of Medical Sciences; University of Jinan; Qingdao University</t>
  </si>
  <si>
    <t>Artificial intelligence-assisted platform performs high detection ability of hepatocellular carcinoma in CT images: an external clinical validation study</t>
  </si>
  <si>
    <t>BMC CANCER</t>
  </si>
  <si>
    <t>hepatocellular carcinoma; Artificial intelligence; Deep learning; Segmentation; Detection; Multi-phase CT</t>
  </si>
  <si>
    <t>DIAGNOSIS; ABLATION; IMPACT</t>
  </si>
  <si>
    <t>Wang, Dawei/AGE-0719-2022</t>
  </si>
  <si>
    <t>1471-2407</t>
  </si>
  <si>
    <t>BMC Cancer</t>
  </si>
  <si>
    <t>JAN 27 2025</t>
  </si>
  <si>
    <t>154</t>
  </si>
  <si>
    <t>10.1186/s12885-025-13529-x</t>
  </si>
  <si>
    <t>http://dx.doi.org/10.1186/s12885-025-13529-x</t>
  </si>
  <si>
    <t>U0D4N</t>
  </si>
  <si>
    <t>39871149</t>
  </si>
  <si>
    <t>WOS:001408603000001</t>
  </si>
  <si>
    <t>Sun, P; Luan, JQ; Duan, GT; Sun, QQ; Liu, GL</t>
  </si>
  <si>
    <t>Background Malnutrition is a critical concern associated with increased mortality rates and adverse outcomes in stroke adults undergoing subacute rehabilitation. Despite its clinical significance, predictive tools for assessing malnutrition risk in this population remain limited. This study aimed to develop and validate an interpretable machine learning (ML) model to predict malnutrition risk among stroke patients during subacute rehabilitation.Methods This multicenter study comprised a development cohort of 802 patients from a single institution, which randomly split into training and testing sets at a 7:3 ratio. An external validation cohort of 345 patients was recruited from an independent hospital. Feature selection was conducted using the Least Absolute Shrinkage and Selection Operator (LASSO) regression combined with the Boruta algorithm. Eight ML models-Logistic Regression (LR), Random Forests (RF), Extreme Gradient Boosting (XGBoost), Light Gradient Boosting Machine (LGBM), Support Vector Machines (SVM), k-Nearest Neighbors (KNN), Neural Network (NNet), and CatBoost (CAT)-were trained utilizing five-fold cross-validation. These models were evaluated using metrics such as discrimination, calibration curve, and decision curve analysis (DCA). Model interpretability was assessed via Shapley Additive Explanations (SHAP) analysis.Results The CAT algorithm exhibited superior predictive model in the training and testing sets, achieving an area under the receiver operating characteristic curve (AUC) of 0.848 (95% CI: 0.817-0.879) and 0.806 (95% CI = 0.752-0.861), respectively. Calibration metrics underscored the model's robustness and DCA emphasized its clinical utility. External validation further corroborated the generalizability of the CAT model, demonstrating an AUC of 0.772; (95% CI: 0.723-0.820). SHAP analysis identified age, handgrip strength, and Barthel Index (BI) score as the most significant predictors of malnutrition.Conclusion This study successfully developed and validated an ML model for efficiently screening malnutrition risk in patients with subacute stroke. The interpretable CAT-based model serves as a clinically actionable tool, enabling early stratification of malnutrition risk in subacute stroke patients. This facilitates the implementation of targeted nutritional interventions and personalized rehabilitation strategies, potentially improving outcomes in this vulnerable population.</t>
  </si>
  <si>
    <t>Sun, Ping; Luan, Junqi; Duan, Guotao; Sun, Qingqing; Liu, Genli</t>
  </si>
  <si>
    <t>Liu, GL (corresponding author), Heilongjiang Univ Chinese Med, Clin Med Coll 2, Harbin, Heilongjiang, Peoples R China.; Liu, GL (corresponding author), Heilongjiang Univ Chinese Med, Affiliated Hosp 2, Dept Acupuncture &amp; Moxibust 4, Harbin, Heilongjiang Pr, Peoples R China.</t>
  </si>
  <si>
    <t>liugenli@hljucm.edu.cn</t>
  </si>
  <si>
    <t>[Sun, Ping; Duan, Guotao; Sun, Qingqing; Liu, Genli] Heilongjiang Univ Chinese Med, Clin Med Coll 2, Harbin, Heilongjiang, Peoples R China; [Sun, Ping] Heilongjiang Univ Chinese Med, Dept Rehabil 2, Affiliated Hosp 1, Harbin, Heilongjiang Pr, Peoples R China; [Luan, Junqi] Heilongjiang Univ Chinese Med, Dept Pediat 1, Affiliated Hosp 1, Harbin, Heilongjiang Pr, Peoples R China; [Liu, Genli] Heilongjiang Univ Chinese Med, Affiliated Hosp 2, Dept Acupuncture &amp; Moxibust 4, Harbin, Heilongjiang Pr, Peoples R China</t>
  </si>
  <si>
    <t>Heilongjiang University of Chinese Medicine; Heilongjiang University of Chinese Medicine; Heilongjiang University of Chinese Medicine; Heilongjiang University of Chinese Medicine</t>
  </si>
  <si>
    <t>Interpretable machine learning-based predictive model for malnutrition in subacute post-stroke patients: an internal and external validation study</t>
  </si>
  <si>
    <t>FRONTIERS IN NUTRITION</t>
  </si>
  <si>
    <t>CAT; machine learning; multicenter study; predictive model; risk factors; subacute stroke</t>
  </si>
  <si>
    <t>STROKE PATIENTS; DYSPHAGIA; PREVALENCE; SARCOPENIA; DIAGNOSIS; RISK</t>
  </si>
  <si>
    <t>2296-861X</t>
  </si>
  <si>
    <t>FRONT NUTR</t>
  </si>
  <si>
    <t>Front. Nutr.</t>
  </si>
  <si>
    <t>JAN 5 2026</t>
  </si>
  <si>
    <t>1692020</t>
  </si>
  <si>
    <t>10.3389/fnut.2025.1692020</t>
  </si>
  <si>
    <t>http://dx.doi.org/10.3389/fnut.2025.1692020</t>
  </si>
  <si>
    <t>Nutrition &amp; Dietetics</t>
  </si>
  <si>
    <t>CD1UN</t>
  </si>
  <si>
    <t>41586211</t>
  </si>
  <si>
    <t>WOS:001662967300001</t>
  </si>
  <si>
    <t>Shangguan, YW; Lin, Z; Sim, YJ; Wu, K; Chu, Y; Huang, KY; Chen, F; Ji, KK; Chen, F; Liu, SR</t>
  </si>
  <si>
    <t>Objective To investigate the association between physical inactivity and obesity-depression comorbidity (ODC), defined as the co-occurrence of obesity and depression, and to develop an effective screening tool for identifying high-risk individuals to facilitate early intervention.Methods Data were obtained from 3,357 physically inactive adults enrolled in the Korea National Health and Nutrition Examination Survey (KNHANES, 2007-2012). An XGBoost machine learning framework was applied to develop predictive models. Feature selection was conducted using random forest, and the prediction mechanism was interpreted with SHAP values. The model was validated internally using KNHANES 2011-2012 data and externally with the U.S. NHANES dataset.Results The XGBoost model demonstrated good discriminative performance in internal validation (AUC = 0.783 and 0.744) and achieved an external validation AUC of 0.886. Feature importance analysis revealed that insulin concentration, white blood cell count, and height were the primary predictors of ODC, with insulin exerting the strongest influence.Conclusion This study developed a high-performing and interpretable prediction model for ODC risk. SHAP-based interpretation identified insulin as the most influential predictor within the model, suggesting that metabolic factors may be important for ODC risk stratification.</t>
  </si>
  <si>
    <t>Shangguan, Yuwen; Lin, Zhenhao; Sim, Young-Je; Wu, Kunpeng; Chu, Yu; Huang, Kunyi; Chen, Fangxi; Ji, Kangkang; Chen, Fang; Liu, Shangrui</t>
  </si>
  <si>
    <t>Chen, F (corresponding author), Nanjing Univ, Peoples Hosp Yancheng 1, Yancheng Key Lab Mol Epigenet, Yancheng Med Res Ctr,Med Sch, Yancheng, Peoples R China.; Ji, KK (corresponding author), Yangzhou Univ, Binhai Cty Peoples Hosp, Binhai Clin Coll, Dept Clin Med Res,Med Coll, Yancheng, Jiangsu, Peoples R China.; Liu, SR (corresponding author), Kyungpook Natl Univ, Dept Phys Educ, Daegu, South Korea.</t>
  </si>
  <si>
    <t>jsdxchenfang@126.com; kyrie@mail.ustc.edu.cn; lsr980324@knu.ac.kr</t>
  </si>
  <si>
    <t>National Natural Science Foundation of China [82300780]; Natural Science Foundation of Jiangsu Province [BK20220306]; Yancheng Key Research and Development Plan (Social Development) Project [YCBE202214]</t>
  </si>
  <si>
    <t>National Natural Science Foundation of China (National Natural Science Foundation of China (NSFC)); Natural Science Foundation of Jiangsu Province (Natural Science Foundation of Jiangsu Province); Yancheng Key Research and Development Plan (Social Development) Project</t>
  </si>
  <si>
    <t>The author(s) declared that financial support was received for this work and/or its publication. This work was supported by the National Natural Science Foundation of China (No. 82300780), the Natural Science Foundation of Jiangsu Province (No. BK20220306), Yancheng Key Research and Development Plan (Social Development) Project (No. YCBE202214).</t>
  </si>
  <si>
    <t>[Shangguan, Yuwen; Lin, Zhenhao; Sim, Young-Je; Wu, Kunpeng; Chen, Fangxi] Kunsan Natl Univ, Dept Exercise Physiol, Gunsan, South Korea; [Chu, Yu; Chen, Fang] Nanjing Univ, Peoples Hosp Yancheng 1, Yancheng Key Lab Mol Epigenet, Yancheng Med Res Ctr,Med Sch, Yancheng, Peoples R China; [Huang, Kunyi] Educ Univ Hong Kong, Dept Hlth &amp; Phys Educ, Tai Po, Hong Kong, Peoples R China; [Ji, Kangkang] Yangzhou Univ, Binhai Cty Peoples Hosp, Binhai Clin Coll, Dept Clin Med Res,Med Coll, Yancheng, Jiangsu, Peoples R China; [Liu, Shangrui] Kyungpook Natl Univ, Dept Phys Educ, Daegu, South Korea</t>
  </si>
  <si>
    <t>Kunsan National University; Nanjing University; Education University of Hong Kong (EdUHK); Yangzhou University; Kyungpook National University (KNU)</t>
  </si>
  <si>
    <t>Development and external validation of an interpretable machine learning model for obesity-depression comorbidity in Korean and US adults</t>
  </si>
  <si>
    <t>INTERNATIONAL JOURNAL OF PUBLIC HEALTH</t>
  </si>
  <si>
    <t>KNHANES; machine learning prediction; obesity-depression comorbidity; physical inactivity; SHAP interpretability</t>
  </si>
  <si>
    <t>HEALTH; CARE</t>
  </si>
  <si>
    <t>yu, chu/OTH-5831-2025; ShangGuan, Yuwen/KIC-6494-2024; Lin, Zhenhao/PGL-9849-2026</t>
  </si>
  <si>
    <t>Lin, Zhenhao/0009-0003-1039-7494</t>
  </si>
  <si>
    <t>1661-8556</t>
  </si>
  <si>
    <t>1661-8564</t>
  </si>
  <si>
    <t>INT J PUBLIC HEALTH</t>
  </si>
  <si>
    <t>Int. J. Public Health</t>
  </si>
  <si>
    <t>MAY 28 2026</t>
  </si>
  <si>
    <t>1609153</t>
  </si>
  <si>
    <t>10.3389/ijph.2026.1609153</t>
  </si>
  <si>
    <t>http://dx.doi.org/10.3389/ijph.2026.1609153</t>
  </si>
  <si>
    <t>Public, Environmental &amp; Occupational Health</t>
  </si>
  <si>
    <t>JJ2PJ</t>
  </si>
  <si>
    <t>42292917</t>
  </si>
  <si>
    <t>WOS:001790641400001</t>
  </si>
  <si>
    <t>Swenne, A; Sigcha, L; Hebestreit, A; Bouchan, J; Cimler, R; Cardon, G; Elavsky, S; Fezeu, LK; Kühnová, J; Oppert, JM; Vetrovsky, T; Donnelly, A; Van de Ven, P; Buck, C</t>
  </si>
  <si>
    <t>Background: Accurate classification of physical behavior from accelerometer data is crucial for health and behavioral research. While machine learning models often perform well within the populations they are trained on, they are rarely validated on independent populations, and their generalizability remains poorly understood. Therefore, we aimed to externally validate a widely used random forest model for physical behavior classification, and to assess whether its performance varied by participants' age, sex, or body mass index. Methods: We validated the random forest classifier, trained by Ellis et al., which achieved a balanced accuracy of 79% for classifying sitting, standing, and walking/running from hip-worn accelerometer data in the original training population. For the external validation, we obtained ActiGraph recordings for 610 participants from four European countries from the WEALTH (WEarable sensor Assessment of physicaL and eaTing beHaviors) project, which were labeled with the corresponding free-living behavior using ecological momentary assessment. Classifier performance was assessed using confusion matrices, precision, recall, Fscore, and balanced accuracy. Results: Inthe WEALTH population, the random forest classifier achieved a balanced accuracy of 40% and an average F-score of 0.33. Precision and recall were highest for sitting, followed by walking/running and standing. Performance was consistent across subpopulations defined by age, sex, and body mass index. Conclusion: The substantial reduction in accuracy demonstrates the limited generalizability of the existing random forest classifier. Our findings underscore the need for external validation and more diverse training data to ensure robust application of machine learning models in physical behavior research.</t>
  </si>
  <si>
    <t>Swenne, Annika; Sigcha, Luis; Hebestreit, Antje; Bouchan, Jerome; Cimler, Richard; Cardon, Greet; Elavsky, Steriani; Fezeu, Leopold K.; Kuhnova, Jitka; Oppert, Jean-Michel; Vetrovsky, Tomas; Donnelly, Alan; Van de Ven, Pepijn; Buck, Christoph</t>
  </si>
  <si>
    <t>Swenne, A (corresponding author), Leibniz Inst Prevent Res &amp; Epidemiol BIPS, Bremen, Germany.; Swenne, A (corresponding author), Univ Bremen, Fac Math &amp; Comp Sci, Bremen, Germany.</t>
  </si>
  <si>
    <t>swenne@leibniz-bips.de</t>
  </si>
  <si>
    <t>Joint Programming Initiative a Healthy Diet for a Healthy Life, a research and innovation initiative of European Union member states and associated countries [727565]; Belgium: Research Foundation-Flanders; Czechia: Ministry of Education, Youth, and Sports; France: French National Research Agency; Germany: Federal Ministry of Research, Technology and Space; Ireland: Health Research Board</t>
  </si>
  <si>
    <t>Joint Programming Initiative a Healthy Diet for a Healthy Life, a research and innovation initiative of European Union member states and associated countries; Belgium: Research Foundation-Flanders; Czechia: Ministry of Education, Youth, and Sports; France: French National Research Agency (Agence Nationale de la Recherche (ANR)); Germany: Federal Ministry of Research, Technology and Space; Ireland: Health Research Board (Health Research Board - Ireland)</t>
  </si>
  <si>
    <t>The WEALTH project is funded by the Joint Programming Initiative a Healthy Diet for a Healthy Life, a research and innovation initiative of European Union member states and associated countries under Grant Agreement No 727565, under STAMIFY (Standardized measurement, monitoring and/or biomarkers to study food intake, physical activity, and health). The funding agencies supporting this work are (in alphabetical order of participating countries): Belgium: Research Foundation-Flanders; Czechia: Ministry of Education, Youth, and Sports; France: French National Research Agency; Germany: Federal Ministry of Research, Technology and Space; and Ireland: Health Research Board. We would like to express our sincere appreciation to the volunteers and field staff in Czechia, France, Germany, and Ireland for their invaluable participation. We are deeply grateful to the WEALTH Advisory Panel for their essential guidance and unwavering support throughout this study.</t>
  </si>
  <si>
    <t>[Swenne, Annika; Hebestreit, Antje; Buck, Christoph] Leibniz Inst Prevent Res &amp; Epidemiol BIPS, Bremen, Germany; [Swenne, Annika] Univ Bremen, Fac Math &amp; Comp Sci, Bremen, Germany; [Sigcha, Luis; Donnelly, Alan] Univ Limerick, Dept Phys Educ &amp; Sport Sci PESS, Limerick, Ireland; [Sigcha, Luis; Donnelly, Alan; Van de Ven, Pepijn] Univ Limerick, Hlth Res Inst HRI, Limerick, Ireland; [Sigcha, Luis; Van de Ven, Pepijn] Univ Limerick, Data Driven Comp Engn Res Ctr D2iCE, Dept Elect &amp; Comp Engn, Limerick, Ireland; [Bouchan, Jerome; Fezeu, Leopold K.; Oppert, Jean-Michel] Univ Sorbonne Paris Nord, Ctr Rech Epidemiol &amp; Stat CRESS, Equipe Rech Epidemiol Nutr EREN, INSERM ,U1153,INRAE,U1125,CNAM, Bobigny, France; [Bouchan, Jerome; Fezeu, Leopold K.; Oppert, Jean-Michel] Univ Paris Cite, Bobigny, France; [Cimler, Richard; Kuhnova, Jitka; Vetrovsky, Tomas] Univ Hradec Kralove, Fac Sci, Hradec Kralove, Czech Republic; [Cardon, Greet] Univ Ghent, Dept Movement &amp; Sports Sci, Ghent, Belgium; [Elavsky, Steriani] Univ Ostrava, Dept Human Movement Studies, Ostrava, Czech Republic; [Oppert, Jean-Michel] Sorbonne Univ, Pitie Salpetriere Hosp, AP HP, Dept Nutr, Paris, France</t>
  </si>
  <si>
    <t>Leibniz Association; Leibniz Institute for Prevention Research &amp; Epidemiology (BIPS); University of Bremen; University of Limerick; University of Limerick; University of Limerick; INRAE; Institut National de la Sante et de la Recherche Medicale (Inserm); Universite Paris Cite; Universite Paris Cite; University of Hradec Kralove; Ghent University; University of Ostrava; University Hospital Ostrava; Assistance Publique Hopitaux Paris (APHP); Hopital Universitaire Pitie-Salpetriere - APHP; Sorbonne Universite</t>
  </si>
  <si>
    <t>WEALTH Consortium</t>
  </si>
  <si>
    <t>External Validation of a Hip-Worn Accelerometry-Based Machine Learning Model for Physical Behavior Classification in Free-Living Conditions</t>
  </si>
  <si>
    <t>JOURNAL FOR THE MEASUREMENT OF PHYSICAL BEHAVIOUR</t>
  </si>
  <si>
    <t>ActiGraph; activity recognition; free-living assessment; model generalizability; random forest</t>
  </si>
  <si>
    <t>CLASSIFIERS; ALGORITHMS; WRIST</t>
  </si>
  <si>
    <t>Vetrovsky, Tomas/S-1476-2017; Kuhnova, Jitka/C-7564-2016; Oppert, Jean-Michel/F-2810-2017; Hebestreit, Antje/AAW-7161-2020; Van de Ven, Pepijn/J-4587-2012; Cardon, Greet/AEK-0110-2022; Elavsky, Steriani/E-5639-2017</t>
  </si>
  <si>
    <t>HUMAN KINETICS PUBL INC</t>
  </si>
  <si>
    <t>CHAMPAIGN</t>
  </si>
  <si>
    <t>1607 N MARKET ST, PO BOX 5076, CHAMPAIGN, IL 61820-2200 USA</t>
  </si>
  <si>
    <t>2575-6605</t>
  </si>
  <si>
    <t>2575-6613</t>
  </si>
  <si>
    <t>J MEAS PHYS BEHAV</t>
  </si>
  <si>
    <t>J. Meas. Phys. Behav.</t>
  </si>
  <si>
    <t>20250030</t>
  </si>
  <si>
    <t>10.1123/jmpb.2025-0030</t>
  </si>
  <si>
    <t>http://dx.doi.org/10.1123/jmpb.2025-0030</t>
  </si>
  <si>
    <t>Sport Sciences</t>
  </si>
  <si>
    <t>DA1OI</t>
  </si>
  <si>
    <t>WOS:001678562800007</t>
  </si>
  <si>
    <t>Smith, GH; Gupta, S; Kavolus, J; Pierrepont, J; Plaskos, C; Wakelin, EA</t>
  </si>
  <si>
    <t>Radiographic measurement of patient-specific spinopelvic mobility is standard-of-care in total hip arthroplasty (THA). Current manual methods are time-consuming, subjective, and error-prone. This study utilized deep learning (DL) to classify functional positions and measure pelvic tilt (PT), sacral slope (SS) and lumbar lordotic angle (LLA). A DL pipeline integrating image classification, vertebra detection, and landmark detection was developed using data from an international joint registry, comprising 52,772 images for classification, 9,875 for object detection, and 25,249 for landmark detection. Performance was evaluated using area under the curve (AUC), F1 score, and mean absolute error (MAE). Accuracy was compared to annotations by three expert engineers and validated by two senior engineers and a surgeon. Radiographs were processed in 1.96 +/- 0.04 s, achieving precision, recall, Receiver-operator-characteristic-AUC, and Precision-Recall-AUC metrics above 0.994. Anatomical landmark predictions resulted in errors of: PT: 1.6 degrees +/- 2.1 degrees, SS: 3.3 degrees +/- 2.6 degrees, LLA: 4.2 degrees +/- 3.2 degrees. There was no significant difference in PT and LLA between expert engineers and the DL pipeline, and 0.5 degrees difference in SS (p = 0.043). Clinical validation showed no difference in landmark rejection rates (p &gt; 0.05). We developed and clinically validated a DL pipeline that accurately measures patient-specific spinopelvic mobility from lateral functional radiographs, providing a scalable method for routine characterization in THA patients.</t>
  </si>
  <si>
    <t>Smith, Gerard H.; Gupta, Sanjeev; Kavolus, Joseph; Pierrepont, Jim; Plaskos, Christopher; Wakelin, Edgar A.</t>
  </si>
  <si>
    <t>Smith, GH (corresponding author), Corin Ltd, 17 Bridge St, Sydney, NSW 2073, Australia.</t>
  </si>
  <si>
    <t>gerardhaydensmith@gmail.com</t>
  </si>
  <si>
    <t>[Smith, Gerard H.; Pierrepont, Jim; Plaskos, Christopher; Wakelin, Edgar A.] Corin Ltd, 17 Bridge St, Sydney, NSW 2073, Australia; [Gupta, Sanjeev] Royal Prince Alfred Hosp, 50 Missenden Rd, Sydney, NSW 2050, Australia; [Kavolus, Joseph] Newton Wellesley Orthoped Associates, 2000 Washington St, Newton, MA 02462 USA</t>
  </si>
  <si>
    <t>University of Sydney; NSW Health; Royal Prince Alfred Hospital</t>
  </si>
  <si>
    <t>Clinical validation of a deep learning tool for characterizing spinopelvic mobility in total hip arthroplasty</t>
  </si>
  <si>
    <t>LUMBAR LORDOSIS; RELIABILITY; PARAMETERS; RADIOGRAPHS</t>
  </si>
  <si>
    <t>Gupta, Sanjeev/GQA-7372-2022; Plaskos, Christopher/KYP-5978-2024</t>
  </si>
  <si>
    <t>OCT 2 2025</t>
  </si>
  <si>
    <t>34343</t>
  </si>
  <si>
    <t>10.1038/s41598-025-16824-6</t>
  </si>
  <si>
    <t>http://dx.doi.org/10.1038/s41598-025-16824-6</t>
  </si>
  <si>
    <t>8EW5D</t>
  </si>
  <si>
    <t>41038863</t>
  </si>
  <si>
    <t>WOS:001587010000016</t>
  </si>
  <si>
    <t>Meng, N; Wong, KYK; Zhao, MX; Cheung, JPY; Zhang, T</t>
  </si>
  <si>
    <t>Background Adolescent idiopathic scoliosis (AIS) is the most common type of spinal disorder affecting children. Clinical screening and diagnosis require physical and radiographic examinations, which are either subjective or increase radiation exposure. We therefore developed and validated a radiation-free portable system and device utilising light-based depth sensing and deep learning technologies to analyse AIS by landmark detection and image synthesis.Methods Consecutive patients with AIS attending two local scoliosis clinics in Hong Kong between October 9, 2019, and May 21, 2022, were recruited. Patients were excluded if they had psychological and/or systematic neural disorders that could influence the compliance of the study and/or the mobility of the patients. For each participant, a Red Green Blue-Depth (RGBD) image of the nude back was collected using our in-house radiation-free device. Manually labelled landmarks and alignment parameters by our spine surgeons were considered as the ground truth (GT). Images from training and internal validation cohorts (n = 1936) were used to develop the deep learning models. The model was then prospectively validated on another cohort (n = 302) which was collected in Hong Kong and had the same demographic properties as the training cohort. We evaluated the prediction accuracy of the model on nude back landmark detection as well as the performance on radiograph-comparable image (RCI) synthesis. The obtained RCIs contain sufficient anatomical information that can quantify disease severities and curve types.Findings Our model had a consistently high accuracy in predicting the nude back anatomical landmarks with a less than 4-pixel error regarding the mean Euclidian and Manhattan distance. The synthesized RCI for AIS severity classification achieved a sensitivity and negative predictive value of over 0.909 and 0.933, and the performance for curve type classification was 0.974 and 0.908, with spine specialists' manual assessment results on real radiographs as GT. The estimated Cobb angle from synthesized RCIs had a strong correlation with the GT angles (R2 = 0.984, p &lt; 0.001).Interpretation The radiation-free medical device powered by depth sensing and deep learning techniques can provide instantaneous and harmless spine alignment analysis which has the potential for integration into routine screening for adolescents.Funding Innovation and Technology Fund (MRP/038/20X), Health Services Research Fund (HMRF) 08192266.Copyright (c) 2023 The Author(s). Published by Elsevier Ltd. This is an open access article under the CC BY-NC-ND license (http://creativecommons.org/licenses/by-nc-nd/4.0/).</t>
  </si>
  <si>
    <t>Meng, Nan; Wong, Kwan-Yee K.; Zhao, Moxin; Cheung, Jason P. Y.; Zhang, Teng</t>
  </si>
  <si>
    <t>Cheung, JPY; Zhang, T (corresponding author), Univ Hong Kong, Dept Orthopaed &amp; Traumatol, Pokfulam, Hong Kong, Peoples R China.; Cheung, JPY (corresponding author), Queen Mary Hosp, Pokfulam, 5-F Professorial Block, Hong Kong, Peoples R China.</t>
  </si>
  <si>
    <t>Innovation and Technology Fund [MRP/038/20X]; Health Services Research Fund (HMRF) [08192266]</t>
  </si>
  <si>
    <t>Innovation and Technology Fund; Health Services Research Fund (HMRF)</t>
  </si>
  <si>
    <t>We sincerely appreciated the support from the Innovation and Technology Fund (MRP/038/20X) , and Health Services Research Fund (HMRF) 08192266.</t>
  </si>
  <si>
    <t>[Meng, Nan; Zhao, Moxin; Cheung, Jason P. Y.; Zhang, Teng] Univ Hong Kong, Dept Orthopaed &amp; Traumatol, Pokfulam, Hong Kong, Peoples R China; [Wong, Kwan-Yee K.] Univ Hong Kong, Dept Comp Sci, Pokfulam, Hong Kong, Peoples R China; [Meng, Nan; Zhang, Teng] CoNova Med Technol Ltd, Hong Kong, Peoples R China; [Cheung, Jason P. Y.] Queen Mary Hosp, Pokfulam, 5-F Professorial Block, Hong Kong, Peoples R China</t>
  </si>
  <si>
    <t>University of Hong Kong; University of Hong Kong; University of Hong Kong</t>
  </si>
  <si>
    <t>Radiograph-comparable image synthesis for spine alignment analysis using deep learning with prospective clinical validation</t>
  </si>
  <si>
    <t>Adolescent idiopathic scoliosis; Radiation-free; Light-based; Radiograph-comparable image synthesis; Deep learning</t>
  </si>
  <si>
    <t>IDIOPATHIC SCOLIOSIS; CHILDREN</t>
  </si>
  <si>
    <t>Meng, Nan/AAZ-1622-2020; Wong, Kenneth Kwan Yee/C-1577-2009</t>
  </si>
  <si>
    <t>Meng, Nan/0000-0003-2821-7474; Wong, Kenneth Kwan Yee/0000-0001-8560-9007; Zhang, Teng/0000-0002-5310-8766</t>
  </si>
  <si>
    <t>102050</t>
  </si>
  <si>
    <t>10.1016/j.eclinm.2023.102050</t>
  </si>
  <si>
    <t>http://dx.doi.org/10.1016/j.eclinm.2023.102050</t>
  </si>
  <si>
    <t>Q5KM3</t>
  </si>
  <si>
    <t>37425371</t>
  </si>
  <si>
    <t>WOS:001057909000001</t>
  </si>
  <si>
    <t>Lin, XH; Wu, SB; Li, L; Ouyang, RS; Ma, J; Yi, CY; Tang, YX</t>
  </si>
  <si>
    <t>Background High breast density is a strong risk factor for breast cancer. As such, high consistency and accuracy in breast density assessment is necessary. Purpose To validate our proposed deep learning (DL) model and explore its impact on radiologists on density assessments. Material and Methods A total of 3732 mammographic cases were collected as a validated set: 1686 cases before the implementation of the DL model and 2046 cases after the DL model. Five radiologists were divided into two groups (junior and senior groups) to assess all mammograms using either two- or four-category evaluation. Linear-weighted kappa (K) and intraclass correlation coefficient (ICC) statistics were used to analyze the consistency between radiologists before and after implementation of the DL model. Results The accuracy and clinical acceptance of the DL model for the junior group were 96.3% and 96.8% for two-category evaluation, and 85.6% and 89.6% for four-category evaluation, respectively. For the senior group, the accuracy and clinical acceptance were 95.5% and 98.0% for two-category evaluation, and 84.3% and 95.3% for four-category evaluation, respectively. The consistency within the junior group, the senior group, and among all radiologists improved with the help of the DL model. For two-category, their K and ICC values improved to 0.81, 0.81, and 0.80 from 0.73, 0.75, and 0.76. And for four-category, their K and ICC values improved to 0.81, 0.82, and 0.82 from 0.73, 0.79, and 0.78, respectively. Conclusion The DL model showed high accuracy and clinical acceptance in breast density categories. It is helpful to improve radiologists' consistency.</t>
  </si>
  <si>
    <t>Lin, Xiaohui; Wu, Shibin; Li, Lin; Ouyang, Rushan; Ma, Jie; Yi, Chunyan; Tang, Yuxing</t>
  </si>
  <si>
    <t>Ma, J (corresponding author), Jinan Univ, Shenzhen Peoples Hosp, Clin Med Coll 2, Dept Radiol, Shenzhen 518020, Peoples R China.</t>
  </si>
  <si>
    <t>cjr.majie@vip.163.com</t>
  </si>
  <si>
    <t>Shenzhen Science and Technology Research Fund [GJHZ20210705142208024]</t>
  </si>
  <si>
    <t>Shenzhen Science and Technology Research Fund</t>
  </si>
  <si>
    <t>The author(s) disclosed receipt of the following financial support for the research, authorship and/or publication of this article:This research was supported by the Shenzhen Science and Technology Research Fund (No. GJHZ20210705142208024).</t>
  </si>
  <si>
    <t>[Lin, Xiaohui; Li, Lin; Ouyang, Rushan; Ma, Jie; Yi, Chunyan] Jinan Univ, Shenzhen Peoples Hosp, Clin Med Coll 2, Dept Radiol, Shenzhen 518020, Peoples R China; [Wu, Shibin; Tang, Yuxing] Ping An Technol, Shenzhen, Peoples R China</t>
  </si>
  <si>
    <t>Automatic mammographic breast density classification in Chinese women: clinical validation of a deep learning model</t>
  </si>
  <si>
    <t>Breast density; mammography; artificial intelligence; deep learning</t>
  </si>
  <si>
    <t>CANCER RISK; RADIOLOGISTS; SYSTEM</t>
  </si>
  <si>
    <t>tang, yuxing/NRA-7040-2025</t>
  </si>
  <si>
    <t>Lin, Xiaohui/0000-0003-1747-1485; Yi, Chunyan/0009-0005-2247-4957</t>
  </si>
  <si>
    <t>1823</t>
  </si>
  <si>
    <t>1830</t>
  </si>
  <si>
    <t>10.1177/02841851231152097</t>
  </si>
  <si>
    <t>http://dx.doi.org/10.1177/02841851231152097</t>
  </si>
  <si>
    <t>F3BC3</t>
  </si>
  <si>
    <t>36683330</t>
  </si>
  <si>
    <t>WOS:000922964400001</t>
  </si>
  <si>
    <t>Liu, HY; Gong, ZH; Wen, BC; Qiu, LSY; Meng, XF; Cai, GB; Zeng, PS; Chen, SJ; Shi, MR; Zhang, XC; Chen, ZF; Wang, RX; Chen, ZT</t>
  </si>
  <si>
    <t>Reliable risk assessment for implant-supported restorations in the esthetic zone is critical yet challenging due to complex anatomical variations and the inherent subjectivity of traditional clinical assessments. To address these limitations, we developed a multi-functional artificial intelligence (AI) system designed to automate the assessment of radiographic surrogate markers of implant esthetic risk, specifically periapical inflammation (INFLAM), adjacent tooth restorations (RESTOR), and the distance between the contact point and alveolar crest (DISTAN) from periapical radiographs. The system underwent rigorous validation through a four-pronged strategy: direct performance comparison against dentists of varying experience, a human-AI collaboration scenario, exploratory prospective clinical testing and multi-site validation. Results demonstrated that the AI matched junior dentists in INFLAM/RESTOR tasks while statistically outperforming experts in the DISTAN task. Crucially, human-AI integration revealed a task-specific synergistic effect, particularly in DISTAN assessments, where it significantly enhanced recall compared to isolated performance. Furthermore, an exploratory prospective clinical testing and multi-site validation demonstrated the system's consistent performance and acceptable generalization ability, achieving high specificity across diverse clinical settings. This versatile AI tool facilitates the precise, objective assessment of radiographic surrogate markers strongly associated with esthetic risk. Although direct clinical esthetic outcomes were not prospectively measured, the system's proven ability to enhance dentist performance highlights its promising potential for pre-implant evaluation and clinical decision support.</t>
  </si>
  <si>
    <t>Liu, Hengyi; Gong, Zhuohong; Wen, Beichen; Qiu, Longshiyu; Meng, Xiaofei; Cai, Gengbin; Zeng, Peisheng; Chen, Shijie; Shi, Mengru; Zhang, Xinchun; Chen, Zhuofan; Wang, Ruixuan; Chen, Zetao</t>
  </si>
  <si>
    <t>Chen, ZF; Chen, ZT (corresponding author), Sun Yat Sen Univ, Hosp Stomatol, Guanghua Sch Stomatol, Guangzhou, Peoples R China.; Chen, ZF; Chen, ZT (corresponding author), Guangdong Prov Key Lab Stomatol, Guangzhou, Peoples R China.; Chen, ZF; Chen, ZT (corresponding author), Guangdong Prov Clin Res Ctr Oral Dis, Guangzhou, Peoples R China.; Wang, RX (corresponding author), Sun Yat Sen Univ, Sch Comp Sci &amp; Engn, Guangzhou, Peoples R China.</t>
  </si>
  <si>
    <t>wangruix5@mail.sysu.edu.cn; chzhuof@mail.sysu.edu.cn; chenzet3@mail.sysu.edu.cn</t>
  </si>
  <si>
    <t>Undergraduate Training Program for Innovation of Sun Yat-sen University [20250584]; Young Science and Technology Talent Support Program of Guangdong Precision Medicine Application Association [YSTTGDPMAA202502]; National Natural Science Foundation of China [82402380]; Postgraduate Innovation Program of Sun Yat-Sen University and High Education Teaching Research Project of Guangdong Province [25GZD001]; Construction Project of the Degree and Postgraduate Education Reform of Sun Yat-Sen University; Clinical Research Project of Guangdong Provincial Clinical Research Center of Oral Diseases; Guangzhou Science and Technology Program key projects [2023B03J1232]</t>
  </si>
  <si>
    <t>Undergraduate Training Program for Innovation of Sun Yat-sen University; Young Science and Technology Talent Support Program of Guangdong Precision Medicine Application Association; National Natural Science Foundation of China (National Natural Science Foundation of China (NSFC)); Postgraduate Innovation Program of Sun Yat-Sen University and High Education Teaching Research Project of Guangdong Province; Construction Project of the Degree and Postgraduate Education Reform of Sun Yat-Sen University; Clinical Research Project of Guangdong Provincial Clinical Research Center of Oral Diseases; Guangzhou Science and Technology Program key projects</t>
  </si>
  <si>
    <t>This work was financially supported by National Natural Science Foundation of China (82402380), Young Science and Technology Talent Support Program of Guangdong Precision Medicine Application Association (YSTTGDPMAA202502), Guangzhou Science and Technology Program key projects (2023B03J1232), Clinical Research Project of Guangdong Provincial Clinical Research Center of Oral Diseases, Construction Project of the Degree and Postgraduate Education Reform of Sun Yat-Sen University, Postgraduate Innovation Program of Sun Yat-Sen University and High Education Teaching Research Project of Guangdong Province (25GZD001), Undergraduate Training Program for Innovation of Sun Yat-sen University (20250584). We would like to thank Deyi Liu for assistance with algorithm writing, as well as Yingying Liang and Shuanglin Nie for their help in data collection.</t>
  </si>
  <si>
    <t>[Liu, Hengyi; Gong, Zhuohong; Qiu, Longshiyu; Cai, Gengbin; Zeng, Peisheng; Chen, Shijie; Shi, Mengru; Zhang, Xinchun; Chen, Zhuofan; Chen, Zetao] Sun Yat Sen Univ, Hosp Stomatol, Guanghua Sch Stomatol, Guangzhou, Peoples R China; [Liu, Hengyi; Gong, Zhuohong; Qiu, Longshiyu; Cai, Gengbin; Zeng, Peisheng; Chen, Shijie; Shi, Mengru; Zhang, Xinchun; Chen, Zhuofan; Chen, Zetao] Guangdong Prov Key Lab Stomatol, Guangzhou, Peoples R China; [Liu, Hengyi; Gong, Zhuohong; Qiu, Longshiyu; Cai, Gengbin; Zeng, Peisheng; Chen, Shijie; Shi, Mengru; Zhang, Xinchun; Chen, Zhuofan; Chen, Zetao] Guangdong Prov Clin Res Ctr Oral Dis, Guangzhou, Peoples R China; [Wen, Beichen; Wang, Ruixuan] Sun Yat Sen Univ, Sch Comp Sci &amp; Engn, Guangzhou, Peoples R China; [Meng, Xiaofei] Harbin Med Univ, Sch Stomatol, Harbin, Peoples R China; [Meng, Xiaofei] Harbin Med Univ, Affiliated Hosp 1, Harbin, Peoples R China</t>
  </si>
  <si>
    <t>Sun Yat Sen University; Sun Yat Sen University; Harbin Medical University; Harbin Medical University</t>
  </si>
  <si>
    <t>Deep learning model development and clinical validation for radiographic surrogate markers of implant esthetic risk</t>
  </si>
  <si>
    <t>ARTIFICIAL-INTELLIGENCE; CLASSIFICATION; RESTORATIONS; SYSTEM</t>
  </si>
  <si>
    <t>Gong, Zhuohong/OGN-9020-2025</t>
  </si>
  <si>
    <t>Gong, Zhuohong/0009-0001-3169-7651</t>
  </si>
  <si>
    <t>MAY 5 2026</t>
  </si>
  <si>
    <t>529</t>
  </si>
  <si>
    <t>10.1038/s41746-026-02696-1</t>
  </si>
  <si>
    <t>http://dx.doi.org/10.1038/s41746-026-02696-1</t>
  </si>
  <si>
    <t>KU0IH</t>
  </si>
  <si>
    <t>42086729</t>
  </si>
  <si>
    <t>WOS:001815582900002</t>
  </si>
  <si>
    <t>Lerner, M; Medin, J; Gustafsson, CJ; Alkner, S; Siversson, C; Olsson, LE</t>
  </si>
  <si>
    <t>Background Most studies on synthetic computed tomography (sCT) generation for brain rely on in-house developed methods. They often focus on performance rather than clinical feasibility. Therefore, the aim of this work was to validate sCT images generated using a commercially available software, based on a convolutional neural network (CNN) algorithm, to enable MRI-only treatment planning for the brain in a clinical setting. Methods This prospective study included 20 patients with brain malignancies of which 14 had areas of resected skull bone due to surgery. A Dixon magnetic resonance (MR) acquisition sequence for sCT generation was added to the clinical brain MR-protocol. The corresponding sCT images were provided by the software MRI Planner (Spectronic Medical AB, Sweden). sCT images were rigidly registered and resampled to CT for each patient. Treatment plans were optimized on CT and recalculated on sCT images for evaluation of dosimetric and geometric endpoints. Further analysis was also performed for the post-surgical cases. Clinical robustness in patient setup verification was assessed by rigidly registering cone beam CT (CBCT) to sCT and CT images, respectively. Results All sCT images were successfully generated. Areas of bone resection due to surgery were accurately depicted. Mean absolute error of the sCT images within the body contour for all patients was 62.2 +/- 4.1 HU. Average absorbed dose differences were below 0.2% for parameters evaluated for both targets and organs at risk. Mean pass rate of global gamma (1%/1 mm) for all patients was 100.0 +/- 0.0% within PTV and 99.1 +/- 0.6% for the full dose distribution. No clinically relevant deviations were found in the CBCT-sCT vs CBCT-CT image registrations. In addition, mean values of voxel-wise patient specific geometric distortion in the Dixon images for sCT generation were below 0.1 mm for soft tissue, and below 0.2 mm for air and bone. Conclusions This work successfully validated a commercially available CNN-based software for sCT generation. Results were comparable for sCT and CT images in both dosimetric and geometric evaluation, for both patients with and without anatomical anomalies. Thus, MRI Planner is feasible to use for radiotherapy treatment planning of brain tumours.</t>
  </si>
  <si>
    <t>Lerner, Minna; Medin, Joakim; Jamtheim Gustafsson, Christian; Alkner, Sara; Siversson, Carl; Olsson, Lars E.</t>
  </si>
  <si>
    <t>Lerner, M (corresponding author), Skane Univ Hosp, Dept Hematol Oncol &amp; Radiat Phys, Radiat Phys, Lund, Sweden.</t>
  </si>
  <si>
    <t>Minna.Lerner@skane.se</t>
  </si>
  <si>
    <t>Lund University; Gentle Radiotherapy [2016-02529, 2016-03847]; Swedish Agency for Innovation systems (VINNOVA) [2016-02529, 2016-03847]; Eurostars programme of the European Commission [E! 12326 ILLUMINUS]; Allmanna sjukhusets I Malmo Stiftelse for bekampande av cancer; Fru Berta Kamprads stiftelse for utforskning och bekampning av cancersjukdomar, Lund, SUS foundations, Region Skane; Vinnova [2016-02529] Funding Source: Vinnova</t>
  </si>
  <si>
    <t>Lund University; Gentle Radiotherapy; Swedish Agency for Innovation systems (VINNOVA) (Vinnova); Eurostars programme of the European Commission; Allmanna sjukhusets I Malmo Stiftelse for bekampande av cancer; Fru Berta Kamprads stiftelse for utforskning och bekampning av cancersjukdomar, Lund, SUS foundations, Region Skane; Vinnova (Vinnova)</t>
  </si>
  <si>
    <t>Open access funding provided by Lund University. This work was supported by Gentle Radiotherapy and The Swedish Agency for Innovation systems (VINNOVA) under grant 2016-02529 and 2016-03847, the Eurostars programme of the European Commission (E! 12326 ILLUMINUS),"Allmanna sjukhusets I Malmo Stiftelse for bekampande av cancer"; Fru Berta Kamprads stiftelse for utforskning och bekampning av cancersjukdomar, Lund, SUS foundations, Region Skane.</t>
  </si>
  <si>
    <t>[Lerner, Minna; Medin, Joakim; Jamtheim Gustafsson, Christian; Olsson, Lars E.] Skane Univ Hosp, Dept Hematol Oncol &amp; Radiat Phys, Radiat Phys, Lund, Sweden; [Lerner, Minna; Jamtheim Gustafsson, Christian; Olsson, Lars E.] Lund Univ, Dept Translat Med, Med Radiat Phys, Malmo, Sweden; [Alkner, Sara] Lund Univ, Dept Clin Sci Lund, Oncol &amp; Pathol, Lund, Sweden; [Alkner, Sara] Skane Univ Hosp, Dept Hematol Oncol &amp; Radiat Phys, Clin Oncol, Lund, Sweden; [Siversson, Carl] Spectron Med AB, Helsingborg, Sweden</t>
  </si>
  <si>
    <t>Lund University; Skane University Hospital; Lund University; Lund University; Lund University; Skane University Hospital</t>
  </si>
  <si>
    <t>Clinical validation of a commercially available deep learning software for synthetic CT generation for brain</t>
  </si>
  <si>
    <t>RADIATION ONCOLOGY</t>
  </si>
  <si>
    <t>MRI-only; Brain; Synthetic CT; Radiotherapy; Glioma; Brain metastases</t>
  </si>
  <si>
    <t>DOSE CALCULATION ACCURACY; GUIDED RADIATION-THERAPY; GEOMETRIC DISTORTION; MRI SEQUENCES; PSEUDO-CT; RADIOTHERAPY; IMAGES; ONCOLOGY; WORKFLOW; TUMORS</t>
  </si>
  <si>
    <t>Olsson, Lars E/AED-2228-2022; Lerner, Minna/JPX-9703-2023; Alkner, Sara/HZH-9977-2023</t>
  </si>
  <si>
    <t>Olsson, Lars E/0000-0001-6090-6697; Lerner, Minna/0000-0002-1968-4874</t>
  </si>
  <si>
    <t>1748-717X</t>
  </si>
  <si>
    <t>RADIAT ONCOL</t>
  </si>
  <si>
    <t>Radiat. Oncol.</t>
  </si>
  <si>
    <t>APR 7 2021</t>
  </si>
  <si>
    <t>10.1186/s13014-021-01794-6</t>
  </si>
  <si>
    <t>http://dx.doi.org/10.1186/s13014-021-01794-6</t>
  </si>
  <si>
    <t>RK0MX</t>
  </si>
  <si>
    <t>33827619</t>
  </si>
  <si>
    <t>WOS:000638000700001</t>
  </si>
  <si>
    <t>Rech, MM; Corso, LL; Dal Bó, EF; Ferraza, AD; Tomé, F; Terres, AZ; Balbinot, RS; Balbinot, RA; Balbinot, SS; Soldera, J</t>
  </si>
  <si>
    <t>BACKGROUND Acute esophageal variceal bleeding (AEVB) is a critical complication in patients with cirrhosis, associated with high mortality despite advancements in management. Traditional prognostic scores often lack predictive accuracy in this context. AIM To develop, internally validate, and prospectively validate a machine learning (ML) model to predict 1-year mortality in patients with cirrhosis presenting with AEVB. METHODS A retrospective cohort of 94 patients treated between 2010 and 2016 was used to train ML models, incorporating 36 clinical, laboratory, and imaging variables. Four algorithms (generalized linear models, boosted generalized linear models, naive Bayes, random forests) were evaluated, and the best-performing model was prospectively validated in a cohort of 24 patients treated between 2017 and 2018. Performance metrics included the area under the curve (AUC), sensitivity, specificity, and calibration via Brier scores. Data preprocessing involved k-nearest neighbor imputation, one-hot encoding, and scaling. RESULTS The random forest model achieved the highest AUC (0.91, 95% confidence interval [CI]: 0.85-0.96) during internal validation and demonstrated robust performance in the prospective cohort (AUC 0.88, 95%CI: 0.80-0.94). Calibration was excellent, with a low Brier score (0.12). The model was deployed as an online prediction tool. CONCLUSION This ML model shows promise in improving mortality prediction for AEVB, potentially aiding timely clinical interventions and decision-making. Prospective validation underscores its generalizability and clinical utility. Future research should explore external validation in diverse settings.</t>
  </si>
  <si>
    <t>Rech, Matheus Machado; Corso, Leandro Luis; Dal Bo, Elisa Fioreze; Ferraza, Andressa Daiane; Tome, Fernanda; Terres, Alana Zulian; Balbinot, Rafael Sartori; Balbinot, Raul Angelo; Balbinot, Silvana Sartori; Soldera, Jonathan</t>
  </si>
  <si>
    <t>Soldera, J (corresponding author), Univ South Wales, Gastroenterol &amp; Acute Med, Assoc Learna Ltd, Llantwit Rd Pontypridd, Cardiff CF37 1DL, Wales.</t>
  </si>
  <si>
    <t>jonathansoldera@gmail.com</t>
  </si>
  <si>
    <t>[Rech, Matheus Machado; Dal Bo, Elisa Fioreze; Ferraza, Andressa Daiane; Balbinot, Rafael Sartori] Univ Caxias do Sul, Sch Med, BR-95070560 Caxias do Sul, RS, Brazil; [Corso, Leandro Luis; Tome, Fernanda] Univ Caxias do Sul, Dept Engn, BR-95070560 Caxias Do Sul, RS, Brazil; [Terres, Alana Zulian; Balbinot, Raul Angelo; Balbinot, Silvana Sartori; Soldera, Jonathan] Univ Caxias do Sul, Dept Clin Gastroenterol, BR-95070560 Caxias Do Sul, RS, Brazil; [Soldera, Jonathan] Univ South Wales, Gastroenterol &amp; Acute Med, Assoc Learna Ltd, Llantwit Rd Pontypridd, Cardiff CF37 1DL, Wales</t>
  </si>
  <si>
    <t>Universidade de Caxias do Sul; Universidade de Caxias do Sul; Universidade de Caxias do Sul; University of South Wales</t>
  </si>
  <si>
    <t>Development and prospective validation of a machine learning model to predict mortality in cirrhosis with esophageal variceal bleeding</t>
  </si>
  <si>
    <t>WORLD JOURNAL OF HEPATOLOGY</t>
  </si>
  <si>
    <t>Cirrhosis; Esophageal and gastric varices; Machine learning; Hemorrhage; Mortality; Artificial intelligence</t>
  </si>
  <si>
    <t>ASSOCIATION; PREVENTION</t>
  </si>
  <si>
    <t>Corso, Leandro/E-1776-2015; Soldera, Jonathan/R-3165-2017; Machado Rech, Matheus/IAR-7637-2023</t>
  </si>
  <si>
    <t>Machado Rech, Matheus/0000-0002-2961-9443</t>
  </si>
  <si>
    <t>BAISHIDENG PUBLISHING GROUP INC</t>
  </si>
  <si>
    <t>PLEASANTON</t>
  </si>
  <si>
    <t>7041 Koll Center Parkway, Suite 160, PLEASANTON, CA, UNITED STATES</t>
  </si>
  <si>
    <t>1948-5182</t>
  </si>
  <si>
    <t>WORLD J HEPATOL</t>
  </si>
  <si>
    <t>World J. Hepatol.</t>
  </si>
  <si>
    <t>FEB 27 2026</t>
  </si>
  <si>
    <t>111099</t>
  </si>
  <si>
    <t>10.4254/wjh.v18.i2.111099</t>
  </si>
  <si>
    <t>http://dx.doi.org/10.4254/wjh.v18.i2.111099</t>
  </si>
  <si>
    <t>ER2GD</t>
  </si>
  <si>
    <t>41809475</t>
  </si>
  <si>
    <t>WOS:001707809900017</t>
  </si>
  <si>
    <t>Eckert, C; Nieves-Robbins, N; Spieker, E; Louwers, T; Hazel, D; Marquardt, J; Solveson, K; Zahidl, A; Ahmadl, M; Barnhill, R; McKelvey, TG; Marsha, R; Shry, E; Teredesai, A</t>
  </si>
  <si>
    <t>Background Thirty-day hospital readmissions are a quality metric for health care systems. Predictive models aim to identify patients likely to readmit to more effectively target preventive strategies. Many risk of readmission models have been developed on retrospective data, but prospective validation of readmission models is rare. To the best of our knowledge, none of these developed models have been evaluated or prospectively validated in a military hospital.Objectives The objectives of this study are to demonstrate the development and prospective validation of machine learning (ML) risk of readmission models to be utilized by clinical staff at a military medical facility and demonstrate the collaboration between the U.S. Department of Defense's integrated health care system and a private company.Methods We evaluated multiple ML algorithms to develop a predictive model for 30-day readmissions using data from a retrospective cohort of all-cause inpatient readmissions at Madigan Army Medical Center (MAMC). This predictive model was then validated on prospective MAMC patient data. Precision, recall, accuracy, and the area under the receiver operating characteristic curve (AUC) were used to evaluate model performance. The model was revised, retrained, and rescored on additional retrospective MAMC data after the prospective model's initial performance was evaluated.Results Within the initial retrospective cohort, which included 32,659 patient encounters, the model achieved an AUC of 0.68. During prospective scoring, 1,574 patients were scored, of whom 152 were readmitted within 30 days of discharge, with an all-cause readmission rate of 9.7%. The AUC of the prospective predictive model was 0.64. The model achieved an AUC of 0.76 after revision and addition of further retrospective data.Conclusion This work reflects significant collaborative efforts required to operationalize ML models in a complex clinical environment such as that seen in an integrated health care system and the importance of prospective model validation.</t>
  </si>
  <si>
    <t>Eckert, Carly; Nieves-Robbins, Neris; Spieker, Elena; Louwers, Tom; Hazel, David; Marquardt, James; Solveson, Keith; Zahidl, Anam; Ahmadl, Muhammad; Barnhill, Richard; McKelvey, T. Greg; Marsha, Robert; Shry, Eric; Teredesai, Ankur</t>
  </si>
  <si>
    <t>Eckert, C (corresponding author), KenSci, 615 2nd Ave Suite 700, Seattle, WA 98104 USA.</t>
  </si>
  <si>
    <t>carly@kensci.com</t>
  </si>
  <si>
    <t>Army Medical Department (AMEDD) Advanced Medical Technology Initiative by Telemedicine and Advanced Technical Research Center (TATRC); Telemedicine and Advanced Technical Research Center (TATRC)</t>
  </si>
  <si>
    <t>This work was funded by a research grant from the Army Medical Department (AMEDD) Advanced Medical Technology Initiative (AAMTI) provided by the Telemedicine and Advanced Technical Research Center (TATRC).</t>
  </si>
  <si>
    <t>[Eckert, Carly; Louwers, Tom; Hazel, David; Marquardt, James; Zahidl, Anam; Ahmadl, Muhammad; McKelvey, T. Greg; Teredesai, Ankur] KenSci Inc, Seattle, WA USA; [Nieves-Robbins, Neris] Off Us Army Surg Gen, Def Hlth Headquarters, Hlth Informat Technol, CMIO Off, Falls Church, VA USA; [Spieker, Elena; Solveson, Keith; Barnhill, Richard; Marsha, Robert; Shry, Eric] Madigan Army Med Ctr, Clin Informat Div, Tacoma, WA 98431 USA</t>
  </si>
  <si>
    <t>Madigan Army Medical Center</t>
  </si>
  <si>
    <t>Development and Prospective Validation of a Machine Learning-Based Risk of Readmission Model in a Large Military Hospital</t>
  </si>
  <si>
    <t>APPLIED CLINICAL INFORMATICS</t>
  </si>
  <si>
    <t>machine learning; operationalization; patient readmission; ROC curve</t>
  </si>
  <si>
    <t>PREDICTION MODELS; REGRESSION; ACCESS; DRIFT</t>
  </si>
  <si>
    <t>Teredesai, Ankur/GZG-5040-2022</t>
  </si>
  <si>
    <t>Ahmad, Muhammad/0000-0001-7449-5956</t>
  </si>
  <si>
    <t>1869-0327</t>
  </si>
  <si>
    <t>APPL CLIN INFORM</t>
  </si>
  <si>
    <t>Appl. Clin. Inform.</t>
  </si>
  <si>
    <t>MAR 2019</t>
  </si>
  <si>
    <t>325</t>
  </si>
  <si>
    <t>10.1055/s-0039-1688553</t>
  </si>
  <si>
    <t>http://dx.doi.org/10.1055/s-0039-1688553</t>
  </si>
  <si>
    <t>HZ5BC</t>
  </si>
  <si>
    <t>31067577</t>
  </si>
  <si>
    <t>WOS:000468864600002</t>
  </si>
  <si>
    <t>Bronze; Green Published</t>
  </si>
  <si>
    <t>Porche, K; Maciel, CB; Lucke-Wold, B; Mehkri, Y; Murtaza, Y; Goutnik, M; Robicsek, SA; Busl, KM</t>
  </si>
  <si>
    <t>PurposePredicting urinary retention is difficult. The aim of this study is to prospectively validate a previously developed model using machine learning techniques.MethodsPatients were recruited from pre-operative clinic. Prediction of urinary retention was completed pre-operatively by 4 individuals and compared to ground truth POUR outcomes. Inter-rater reliability was calculated with intercorrelation coefficient (2,1).Results171 patients were included with age 63 +/- 14 years, 58.5% (100/171) male, BMI 30.4 +/- 5.9 kg/m2, American Society of Anesthesiologists class 2.6 +/- 0.5, 1.7 +/- 1.0 levels, 56% (96/171) fusions. The observed rate of POUR was 25.7%. The model's performance was found to be 0.663 (0.567-0.759). With a regression model probability cutoff of 0.24 and a neural network cutoff of 0.23, the following predictive power was achieved: specificity 90.6%, sensitivity 22.7%, negative predictive value 77.2%, positive predictive value 45.5%, and accuracy 73.1%. Intercorrelation coefficient for the regression aspect of the model was found to be 0.889 and intercorrelation coefficient for the neural network aspect of the model was found to be 0.874.ConclusionsThis prospective study confirms performance of the prediction model for POUR developed with retrospective data, showing great correlation. This supports the use of machine learning techniques in the prediction of postoperative complications such as urinary retention.</t>
  </si>
  <si>
    <t>Porche, Ken; Maciel, Carolina B.; Lucke-Wold, Brandon; Mehkri, Yusuf; Murtaza, Yasmeen; Goutnik, Michael; Robicsek, Steven A.; Busl, Katharina M.</t>
  </si>
  <si>
    <t>Porche, K (corresponding author), Univ Florida, Dept Neurosurg, POB 100265, Gainesville, FL 32610 USA.</t>
  </si>
  <si>
    <t>ken.porche@neurosurgery.ufl.edu</t>
  </si>
  <si>
    <t>None.; National Center for Advancing Translational Sciences [UL1TR001427] Funding Source: NIH RePORTER</t>
  </si>
  <si>
    <t>None.; National Center for Advancing Translational Sciences (United States Department of Health &amp; Human Services, National Institutes of Health (NIH) - USA, NIH National Center for Advancing Translational Sciences (NCATS))</t>
  </si>
  <si>
    <t>None.</t>
  </si>
  <si>
    <t>[Porche, Ken; Maciel, Carolina B.; Lucke-Wold, Brandon; Busl, Katharina M.] Univ Florida, Dept Neurosurg, POB 100265, Gainesville, FL 32610 USA; [Mehkri, Yusuf; Murtaza, Yasmeen; Goutnik, Michael] Univ Florida, Coll Med, Gainesville, FL USA; [Robicsek, Steven A.] Univ Florida, Dept Anesthesiol, Gainesville, FL USA</t>
  </si>
  <si>
    <t>State University System of Florida; University of Florida; State University System of Florida; University of Florida; State University System of Florida; University of Florida</t>
  </si>
  <si>
    <t>Pre-operative prediction of post-operative urinary retention in lumbar surgery: a prospective validation of machine learning model</t>
  </si>
  <si>
    <t>Lumbar spine surgery; Machine learning; Prediction tool; Urinary retention</t>
  </si>
  <si>
    <t>Maciel, Carolina/Y-5701-2019; Lucke-Wold, Brandon/AAW-1881-2021; Porche, Ken/ABE-4218-2020</t>
  </si>
  <si>
    <t>3868</t>
  </si>
  <si>
    <t>3874</t>
  </si>
  <si>
    <t>10.1007/s00586-023-07954-4</t>
  </si>
  <si>
    <t>http://dx.doi.org/10.1007/s00586-023-07954-4</t>
  </si>
  <si>
    <t>W5EW0</t>
  </si>
  <si>
    <t>37768336</t>
  </si>
  <si>
    <t>WOS:001077506500002</t>
  </si>
  <si>
    <t>Wissel, BD; Greiner, HM; Glauser, TA; Holland-Bouley, KD; Mangano, FT; Santel, D; Faist, R; Zhang, NH; Pestian, JP; Szczesniak, RD; Dexheimer, JW</t>
  </si>
  <si>
    <t>Objective Delay to resective epilepsy surgery results in avoidable disease burden and increased risk of mortality. The objective was to prospectively validate a natural language processing (NLP) application that uses provider notes to assign epilepsy surgery candidacy scores. Methods The application was trained on notes from (1) patients with a diagnosis of epilepsy and a history of resective epilepsy surgery and (2) patients who were seizure-free without surgery. The testing set included all patients with unknown surgical candidacy status and an upcoming neurology visit. Training and testing sets were updated weekly for 1 year. One- to three-word phrases contained in patients' notes were used as features. Patients prospectively identified by the application as candidates for surgery were manually reviewed by two epileptologists. Performance metrics were defined by comparing NLP-derived surgical candidacy scores with surgical candidacy status from expert chart review. Results The training set was updated weekly and included notes from a mean of 519 +/- 67 patients. The area under the receiver operating characteristic curve (AUC) from 10-fold cross-validation was 0.90 +/- 0.04 (range = 0.83-0.96) and improved by 0.002 per week (P &lt; .001) as new patients were added to the training set. Of the 6395 patients who visited the neurology clinic, 4211 (67%) were evaluated by the model. The prospective AUC on this test set was 0.79 (95% confidence interval [CI] = 0.62-0.96). Using the optimal surgical candidacy score threshold, sensitivity was 0.80 (95% CI = 0.29-0.99), specificity was 0.77 (95% CI = 0.64-0.88), positive predictive value was 0.25 (95% CI = 0.07-0.52), and negative predictive value was 0.98 (95% CI = 0.87-1.00). The number needed to screen was 5.6. Significance An electronic health record-integrated NLP application can accurately assign surgical candidacy scores to patients in a clinical setting.</t>
  </si>
  <si>
    <t>Wissel, Benjamin D.; Greiner, Hansel M.; Glauser, Tracy A.; Holland-Bouley, Katherine D.; Mangano, Francesco T.; Santel, Daniel; Faist, Robert; Zhang, Nanhua; Pestian, John P.; Szczesniak, Rhonda D.; Dexheimer, Judith W.</t>
  </si>
  <si>
    <t>Dexheimer, JW (corresponding author), Cincinnati Childrens Hosp Med Ctr, Div Emergency Med, MLC 2008,3333 Burnet Ave, Cincinnati, OH 45229 USA.</t>
  </si>
  <si>
    <t>Judith.Dexheimer@cchmc.org</t>
  </si>
  <si>
    <t>National Heart, Lung, and Blood Institute [K25 HL12595]; Agency for Healthcare Research and Quality [R21 HS024977]; National Heart Lung and Blood Institute [R01HL141286] Funding Source: NIH RePORTER; National Institute of General Medical Sciences [T32GM063483] Funding Source: NIH RePORTER</t>
  </si>
  <si>
    <t>National Heart, Lung, and Blood Institute; Agency for Healthcare Research and Quality (United States Department of Health &amp; Human Services, Agency for Healthcare Research &amp; Quality); National Heart Lung and Blood Institute (United States Department of Health &amp; Human Services, National Institutes of Health (NIH) - USA, NIH National Heart Lung &amp; Blood Institute (NHLBI)); National Institute of General Medical Sciences (United States Department of Health &amp; Human Services, National Institutes of Health (NIH) - USA, NIH National Institute of General Medical Sciences (NIGMS))</t>
  </si>
  <si>
    <t>National Heart, Lung, and Blood Institute, Grant/Award Number: K25 HL12595; Agency for Healthcare Research and Quality, Grant/Award Number: R21 HS024977</t>
  </si>
  <si>
    <t>[Wissel, Benjamin D.; Santel, Daniel; Faist, Robert; Pestian, John P.; Dexheimer, Judith W.] Cincinnati Childrens Hosp Med Ctr, Dept Biomed Informat, Cincinnati, OH 45229 USA; [Greiner, Hansel M.; Glauser, Tracy A.; Holland-Bouley, Katherine D.; Mangano, Francesco T.; Zhang, Nanhua; Pestian, John P.; Szczesniak, Rhonda D.; Dexheimer, Judith W.] Univ Cincinnati, Coll Med, Dept Pediat, Cincinnati, OH USA; [Greiner, Hansel M.; Glauser, Tracy A.; Holland-Bouley, Katherine D.] Cincinnati Childrens Hosp Med Ctr, Div Neurol, Cincinnati, OH 45229 USA; [Mangano, Francesco T.] Cincinnati Childrens Hosp Med Ctr, Div Neurosurg, Cincinnati, OH 45229 USA; [Zhang, Nanhua; Szczesniak, Rhonda D.] Cincinnati Childrens Hosp Med Ctr, Div Biostat &amp; Epidemiol, Cincinnati, OH 45229 USA; [Dexheimer, Judith W.] Cincinnati Childrens Hosp Med Ctr, Div Emergency Med, MLC 2008,3333 Burnet Ave, Cincinnati, OH 45229 USA</t>
  </si>
  <si>
    <t>Cincinnati Children's Hospital Medical Center; University System of Ohio; University of Cincinnati; Cincinnati Children's Hospital Medical Center; Cincinnati Children's Hospital Medical Center; Cincinnati Children's Hospital Medical Center; Cincinnati Children's Hospital Medical Center</t>
  </si>
  <si>
    <t>Prospective validation of a machine learning model that uses provider notes to identify candidates for resective epilepsy surgery</t>
  </si>
  <si>
    <t>clinical decision support; epilepsy surgery; machine learning; natural language processing</t>
  </si>
  <si>
    <t>DRUG-RESISTANT EPILEPSY; DECISION-SUPPORT-SYSTEMS; TEMPORAL-LOBE; ONLINE TOOL; ASSESS APPROPRIATENESS; CHILDREN; RECOMMENDATIONS; PREDICTION; REMISSION; OUTCOMES</t>
  </si>
  <si>
    <t>Zhang, Nanhua/L-7606-2015</t>
  </si>
  <si>
    <t>Zhang, Nanhua/0000-0001-5796-3404; Dexheimer, Judith/0000-0002-4196-7846; Wissel, Benjamin/0000-0002-8967-9296</t>
  </si>
  <si>
    <t>10.1111/epi.16398</t>
  </si>
  <si>
    <t>http://dx.doi.org/10.1111/epi.16398</t>
  </si>
  <si>
    <t>KE5PB</t>
  </si>
  <si>
    <t>31784992</t>
  </si>
  <si>
    <t>WOS:000499372100001</t>
  </si>
  <si>
    <t>Latt, PM; Ray, A; Lu, H; Soe, NN; Xu, XL; Bao, YN; Ong, JJ; Chow, EPF; Varma, R; Zhang, L; Fairley, CK</t>
  </si>
  <si>
    <t>Introduction HIV and sexually transmitted infections (STIs) continue to pose significant public health challenges globally. MySTIRisk, developed at Melbourne Sexual Health Centre (MSHC), is a machine learning-based tool that predicts individual risk for HIV, syphilis, gonorrhoea, and chlamydia using demographic and behavioural data. While initial validation showed promising results, external validation is crucial to assess its generalisability. This study externally validates MySTIRisk using data from the Sydney Sexual Health Centre (SSHC), Australia's second-largest sexual health centre. Methods Following TRIPOD guidelines, we analysed consultations from patients aged 18 years and older attending SSHC between January 2013 and December 2023. Pre-trained MySTIRisk models were applied directly without modification. Performance was evaluated using the area under the receiver operating characteristic curve (AUC), sensitivity, and specificity at multiple thresholds, with subgroup analyses across demographic characteristics. Results We analysed 159,043 to 207,582 consultations at SSHC, depending on the specific infections tested. The median age was 30 years, and 60.2% to 68.8% of the consultations involved men who have sex with men. The area under the receiver operating characteristic curve (AUC) values using data from SSHC were 0.67 (95% CI: 0.65-0.68) for HIV, 0.70 (95% CI: 0.69-0.71) for syphilis, 0.73 (95% CI: 0.73-0.74) for gonorrhoea, and 0.65 (95% CI: 0.65-0.66) for chlamydia, which were lower than the original MSHC validation metrics (0.74-0.87, all p &lt; 0.001). Notably, model performance varied across demographic subgroups, with stronger HIV prediction among men who have sex with men with an AUC of 0.78 and better gonorrhoea prediction among younger attendees &lt; 25 years with an AUC of 0.79. At balanced sensitivity-specificity thresholds, the models identified 58.6-64.1% of infections while requiring testing of only 25.8-39.4% of the population. Conclusions Despite performance decrements in external validation using SSHC data, MySTIRisk maintained moderate to good predictive ability across all infections, demonstrating reasonable generalisability across different clinical populations. The demographic variations in performance highlight the importance of context-specific implementation and potential recalibration to optimise clinical utility.</t>
  </si>
  <si>
    <t>Latt, Phyu Mon; Ray, Anik; Lu, Heng; Soe, Nyi N.; Xu, Xianglong; Bao, Yining; Ong, Jason J.; Chow, Eric P. F.; Varma, Rick; Zhang, Lei; Fairley, Christopher K.</t>
  </si>
  <si>
    <t>Latt, PM; Zhang, L (corresponding author), Alfred Hlth, Melbourne Sexual Hlth Ctr, Artificial Intelligence &amp; Modelling Epidemiol Prog, Melbourne, Australia.; Latt, PM; Zhang, L; Fairley, CK (corresponding author), Monash Univ, Fac Med Nursing &amp; Hlth Sci, Sch Translat Med, Melbourne, Australia.; Zhang, L (corresponding author), Xi An Jiao Tong Univ, China Australia Joint Res Ctr Infect Dis, Sch Publ Hlth, Hlth Sci Ctr, Xian, Shaanxi, Peoples R China.; Fairley, CK (corresponding author), Alfred Hlth, Melbourne Sexual Hlth Ctr, Melbourne, Australia.; Zhang, L (corresponding author), Xi An Jiao Tong Univ, Affiliated Hosp 2, Phase Clin Trial Res Ward 1, 157 Xi Wu Rd, Xian 710004, Shaanxi, Peoples R China.</t>
  </si>
  <si>
    <t>phyu.latt@monash.edu; cfairley@mshc.org.au; lei.zhang1@monash.edu</t>
  </si>
  <si>
    <t>National Health and Medical Research Council [GNT1193955, GNT2033299, GNT1172900]</t>
  </si>
  <si>
    <t>National Health and Medical Research Council (National Health &amp; Medical Research Council (NHMRC) of Australia)</t>
  </si>
  <si>
    <t>CKF is supported by a National Health and Medical Research Council (NHMRC) Leadership Investigator Grant (GNT1172900). JO is supported by the NHMRC Emerging Leadership Investigator Grant (GNT1193955). EPFC is supported by an NHMRC Leadership Investigator Grant (GNT2033299).</t>
  </si>
  <si>
    <t>[Latt, Phyu Mon; Soe, Nyi N.; Xu, Xianglong; Bao, Yining; Zhang, Lei] Alfred Hlth, Melbourne Sexual Hlth Ctr, Artificial Intelligence &amp; Modelling Epidemiol Prog, Melbourne, Australia; [Latt, Phyu Mon; Soe, Nyi N.; Ong, Jason J.; Chow, Eric P. F.; Zhang, Lei; Fairley, Christopher K.] Monash Univ, Fac Med Nursing &amp; Hlth Sci, Sch Translat Med, Melbourne, Australia; [Ray, Anik; Lu, Heng; Varma, Rick] South Eastern Sydney Local Hlth Dist, Sydney Sexual Hlth Ctr, Sydney, NSW 2000, Australia; [Xu, Xianglong] Shanghai Univ Tradit Chinese Med, Sch Publ Hlth, Shanghai, Peoples R China; [Bao, Yining; Zhang, Lei] Xi An Jiao Tong Univ, China Australia Joint Res Ctr Infect Dis, Sch Publ Hlth, Hlth Sci Ctr, Xian, Shaanxi, Peoples R China; [Ong, Jason J.; Chow, Eric P. F.; Fairley, Christopher K.] Alfred Hlth, Melbourne Sexual Hlth Ctr, Melbourne, Australia; [Ong, Jason J.] London Sch Hyg &amp; Trop Med, Dept Clin Res, London, England; [Chow, Eric P. F.] Univ Melbourne, Ctr Epidemiol &amp; Biostat, Melbourne Sch Populat &amp; Global Hlth, Melbourne, Australia; [Varma, Rick] Univ New South Wales, Kirby Inst, Sydney, Australia; [Zhang, Lei] Xi An Jiao Tong Univ, Affiliated Hosp 2, Phase Clin Trial Res Ward 1, 157 Xi Wu Rd, Xian 710004, Shaanxi, Peoples R China</t>
  </si>
  <si>
    <t>Alfred Health; Melbourne Sexual Health Centre; Monash University; Sydney Sexual Health Centre; South Eastern Sydney Local Health District; Shanghai University of Traditional Chinese Medicine; Xi'an Jiaotong University; Alfred Health; Melbourne Sexual Health Centre; University of London; London School of Hygiene &amp; Tropical Medicine; University of Melbourne; University of New South Wales Sydney; Kirby Institute; Xi'an Jiaotong University</t>
  </si>
  <si>
    <t>External validation of a web- and artificial intelligence-based HIV/STI risk assessment tool: performance evaluation using data from Sydney sexual health centre</t>
  </si>
  <si>
    <t>BMC INFECTIOUS DISEASES</t>
  </si>
  <si>
    <t>HIV; Sexually transmitted infections; Artificial intelligence; Risk assessment; Machine learning; External validation; Predictive modelling; Sexual health; Digital health</t>
  </si>
  <si>
    <t>TRANSMITTED INFECTIONS; HIV; MEN</t>
  </si>
  <si>
    <t>Ong, Jason/AAB-3086-2019; Zhang, Lei/D-4039-2011; Soe, Nyi Nyi/IWU-6009-2023; Chow, Eric/W-6684-2019; Latt, Phyu Mon/HZL-4671-2023; Bao, Yining/JJC-2161-2023</t>
  </si>
  <si>
    <t>Soe, Nyi Nyi/0009-0001-4554-3549; Latt, Phyu Mon/0000-0001-5880-5731</t>
  </si>
  <si>
    <t>1471-2334</t>
  </si>
  <si>
    <t>BMC INFECT DIS</t>
  </si>
  <si>
    <t>BMC Infect. Dis.</t>
  </si>
  <si>
    <t>NOV 25 2025</t>
  </si>
  <si>
    <t>1647</t>
  </si>
  <si>
    <t>10.1186/s12879-025-12087-8</t>
  </si>
  <si>
    <t>http://dx.doi.org/10.1186/s12879-025-12087-8</t>
  </si>
  <si>
    <t>Infectious Diseases</t>
  </si>
  <si>
    <t>H2703</t>
  </si>
  <si>
    <t>41291544</t>
  </si>
  <si>
    <t>WOS:001625377200005</t>
  </si>
  <si>
    <t>Birkenbihl, C; Emon, MA; Vrooman, H; Westwood, S; Lovestone, S; Hofmann-Apitius, M; Fröhlich, H</t>
  </si>
  <si>
    <t>Artificial intelligence (AI) approaches pose a great opportunity for individualized, pre-symptomatic disease diagnosis which plays a key role in the context of personalized, predictive, and finally preventive medicine (PPPM). However, to translate PPPM into clinical practice, it is of utmost importance that AI-based models are carefully validated. The validation process comprises several steps, one of which is testing the model on patient-level data from an independent clinical cohort study. However, recruitment criteria can bias statistical analysis of cohort study data and impede model application beyond the training data. To evaluate whether and how data from independent clinical cohort studies differ from each other, this study systematically compares the datasets collected from two major dementia cohorts, namely, the Alzheimer's Disease Neuroimaging Initiative (ADNI) and AddNeuroMed. The presented comparison was conducted on individual feature level and revealed significant differences among both cohorts. Such systematic deviations can potentially hamper the generalizability of results which were based on a single cohort dataset. Despite identified differences, validation of a previously published, ADNI trained model for prediction of personalized dementia risk scores on 244 AddNeuroMed subjects was successful: External validation resulted in a high prediction performance of above 80% area under receiver operator characteristic curve up to 6 years before dementia diagnosis. Propensity score matching identified a subset of patients from AddNeuroMed, which showed significantly smaller demographic differences to ADNI. For these patients, an even higher prediction performance was achieved, which demonstrates the influence systematic differences between cohorts can have on validation results. In conclusion, this study exposes challenges in external validation of AI models on cohort study data and is one of the rare cases in the neurology field in which such external validation was performed. The presented model represents a proof of concept that reliable models for personalized predictive diagnostics are feasible, which, in turn, could lead to adequate disease prevention and hereby enable the PPPM paradigm in the dementia field.</t>
  </si>
  <si>
    <t>Birkenbihl, Colin; Emon, Mohammad Asif; Vrooman, Henri; Westwood, Sarah; Lovestone, Simon; Hofmann-Apitius, Martin; Froehlich, Holger</t>
  </si>
  <si>
    <t>Birkenbihl, C (corresponding author), Fraunhofer Inst Algorithms &amp; Sci Comp SCAI, Dept Bioinformat, Schloss Birlinghoven, D-53757 St Augustin, Germany.; Birkenbihl, C (corresponding author), Rheinische Friedrich Wilhelms Univ Bonn, Bonn Aachen Int Ctr IT, D-53115 Bonn, Germany.</t>
  </si>
  <si>
    <t>colin.birkenbihl@scai.fraunhofer.de</t>
  </si>
  <si>
    <t>Projekt DEAL; European Union's Horizon 2020 research and innovation programme [826421]; Innovative Medicines Initiative Joint Undertaking from the European Union's Seventh Framework Programme (FP7/2007-2013) [115568]; EFPIA companies; Alzheimer's Disease Neuroimaging Initiative (ADNI) (National Institutes of Health) [U01 AG024904]; DOD ADNI (Department of Defense) [W81XWH-12-2-0012]; National Institute on Aging; National Institute of Biomedical Imaging and Bioengineering; AbbVie; Alzheimer's Association; Alzheimer's Drug Discovery Foundation; Araclon Biotech; BioClinica, Inc.; Biogen; Bristol-Myers Squibb Company; CereSpir, Inc.; Cogstate; Eisai Inc.; Elan Pharmaceuticals, Inc.; Eli Lilly and Company; EuroImmun; F. Hoffmann-La Roche Ltd and its affiliated company Genentech, Inc.; Fujirebio; GE Healthcare; IXICO Ltd.; Janssen Alzheimer Immunotherapy Research &amp; Development, LLC.; Johnson &amp; Johnson Pharmaceutical Research &amp; Development LLC.; Lumosity; Lundbeck; Merck Co., Inc.; Meso Scale Diagnostics, LLC.; NeuroRx Research; Neurotrack Technologies; Novartis Pharmaceuticals Corporation; Pfizer Inc.; Piramal Imaging; Servier; Takeda Pharmaceutical Company; Transition Therapeutics; Canadian Institutes of Health Research; H2020 Societal Challenges Programme [826421] Funding Source: H2020 Societal Challenges Programme</t>
  </si>
  <si>
    <t>Projekt DEAL (Projekt DEAL); European Union's Horizon 2020 research and innovation programme (Horizon 2020); Innovative Medicines Initiative Joint Undertaking from the European Union's Seventh Framework Programme (FP7/2007-2013); EFPIA companies; Alzheimer's Disease Neuroimaging Initiative (ADNI) (National Institutes of Health) (United States Department of Health &amp; Human Services, National Institutes of Health (NIH) - USA, NIH National Institute of Neurological Disorders &amp; Stroke (NINDS)); DOD ADNI (Department of Defense) (United States Department of Defense); National Institute on Aging (United States Department of Health &amp; Human Services, National Institutes of Health (NIH) - USA, NIH National Institute on Aging (NIA)); National Institute of Biomedical Imaging and Bioengineering (United States Department of Health &amp; Human Services, National Institutes of Health (NIH) - USA, NIH National Institute of Biomedical Imaging &amp; Bioengineering (NIBIB)); AbbVie (AbbVie); Alzheimer's Association (Alzheimer's Association); Alzheimer's Drug Discovery Foundation; Araclon Biotech; BioClinica, Inc.; Biogen (Biogen); Bristol-Myers Squibb Company (Bristol-Myers Squibb); CereSpir, Inc.; Cogstate (CogState Limited); Eisai Inc. (Eisai Co Ltd); Elan Pharmaceuticals, Inc.; Eli Lilly and Company (Eli Lilly); EuroImmun; F. Hoffmann-La Roche Ltd and its affiliated company Genentech, Inc.; Fujirebio; GE Healthcare (General Electric, GE Healthcare); IXICO Ltd.; Janssen Alzheimer Immunotherapy Research &amp; Development, LLC.; Johnson &amp; Johnson Pharmaceutical Research &amp; Development LLC. (Johnson &amp; Johnson, Johnson &amp; Johnson USA); Lumosity; Lundbeck (Lundbeck Corporation); Merck Co., Inc. (Merck &amp; Company); Meso Scale Diagnostics, LLC.; NeuroRx Research; Neurotrack Technologies; Novartis Pharmaceuticals Corporation (Novartis); Pfizer Inc. (Pfizer); Piramal Imaging; Servier (Servier); Takeda Pharmaceutical Company (Takeda Pharmaceutical Company Ltd); Transition Therapeutics; Canadian Institutes of Health Research (Canadian Institutes of Health Research (CIHR)); H2020 Societal Challenges Programme (Horizon 2020, European Union (EU), H2020 Societal Challenges Programme)</t>
  </si>
  <si>
    <t>Open Access funding provided by Projekt DEAL. This project has received funding from the European Union's Horizon 2020 research and innovation programme under grant agreement No. 826421. The research leading to these results has received partial support from the Innovative Medicines Initiative Joint Undertaking under grant agreement #115568, resources of which are composed of financial contribution from the European Union's Seventh Framework Programme (FP7/2007-2013) and EFPIA companies' in-kind contribution. Data collection and sharing for this project was funded by the Alzheimer's Disease Neuroimaging Initiative (ADNI) (National Institutes of Health Grant U01 AG024904) and DOD ADNI (Department of Defense award number W81XWH-12-2-0012). ADNI is funded by the National Institute on Aging, the National Institute of Biomedical Imaging and Bioengineering, and through generous contributions from the following: AbbVie, Alzheimer's Association; Alzheimer's Drug Discovery Foundation; Araclon Biotech; BioClinica, Inc.; Biogen; Bristol-Myers Squibb Company; CereSpir, Inc.; Cogstate; Eisai Inc.; Elan Pharmaceuticals, Inc.; Eli Lilly and Company; EuroImmun; F. Hoffmann-La Roche Ltd and its affiliated company Genentech, Inc.; Fujirebio; GE Healthcare; IXICO Ltd.; Janssen Alzheimer Immunotherapy Research &amp; Development, LLC.; Johnson &amp; Johnson Pharmaceutical Research &amp; Development LLC.; Lumosity; Lundbeck; Merck &amp; Co., Inc.; Meso Scale Diagnostics, LLC.; NeuroRx Research; Neurotrack Technologies; Novartis Pharmaceuticals Corporation; Pfizer Inc.; Piramal Imaging; Servier; Takeda Pharmaceutical Company; and Transition Therapeutics. The Canadian Institutes of Health Research is providing funds to support ADNI clinical sites in Canada. Private sector contributions are facilitated by the Foundation for the National Institutes of Health (www.fnih.org).The grantee organization is the Northern California Institute for Research and Education, and the study is coordinated by the Alzheimer's Therapeutic Research Institute at the University of Southern California.</t>
  </si>
  <si>
    <t>[Birkenbihl, Colin; Emon, Mohammad Asif; Hofmann-Apitius, Martin; Froehlich, Holger] Fraunhofer Inst Algorithms &amp; Sci Comp SCAI, Dept Bioinformat, Schloss Birlinghoven, D-53757 St Augustin, Germany; [Birkenbihl, Colin; Emon, Mohammad Asif; Hofmann-Apitius, Martin; Froehlich, Holger] Rheinische Friedrich Wilhelms Univ Bonn, Bonn Aachen Int Ctr IT, D-53115 Bonn, Germany; [Vrooman, Henri] Univ Med Ctr, Dept Radiol &amp; Nucl Med, Erasmus MC, Rotterdam, Netherlands; [Vrooman, Henri] Univ Med Ctr, Dept Med Informat, Erasmus MC, Rotterdam, Netherlands; [Westwood, Sarah; Lovestone, Simon] Univ Oxford, Warneford Hosp, Dept Psychiat, Oxford, England; [Froehlich, Holger] UCB Biosci GmbH, Alfred Nobel Str 10, D-40789 Monheim, Germany</t>
  </si>
  <si>
    <t>Fraunhofer Gesellschaft; University of Bonn; Erasmus University Rotterdam; Erasmus MC; Erasmus University Rotterdam; Erasmus MC; University of Oxford</t>
  </si>
  <si>
    <t>AddNeuroMed Consortium; Alzheimers Dis Neuroimaging Initia</t>
  </si>
  <si>
    <t>Differences in cohort study data affect external validation of artificial intelligence models for predictive diagnostics of dementia-lessons for translation into clinical practice</t>
  </si>
  <si>
    <t>EPMA JOURNAL</t>
  </si>
  <si>
    <t>Predictive preventive personalized medicine (3 PM; PPPM); Disease risk prediction; Cohort data; Model validation; Machine learning; Disease modeling; Artificial intelligence; Individualized patient profiling; Interdisciplinary; Multiprofessional; Risk modeling; Survival analysis; Bioinformatics; Alzheimer's disease; Neurodegeneration; Precision medicine; Cohort comparison; Health data; Medical data; Data science; Translational medicine; Digital clinic; Propensity score matching; Sampling bias; Model performance; Dementia</t>
  </si>
  <si>
    <t>ALZHEIMERS-DISEASE; PROPENSITY SCORE; BIOMARKERS; PREVENTION; TRIALS</t>
  </si>
  <si>
    <t>Fröhlich, Holger/H-1976-2017; Lovestone, Simon/QIT-3588-2026; Birkenbihl, Colin/ADR-7924-2022</t>
  </si>
  <si>
    <t>Fröhlich, Holger/0000-0002-5328-1243; Lovestone, Simon/0000-0003-0473-4565; Birkenbihl, Colin/0000-0002-7212-7700</t>
  </si>
  <si>
    <t>SPRINGER INT PUBL AG</t>
  </si>
  <si>
    <t>CHAM</t>
  </si>
  <si>
    <t>GEWERBESTRASSE 11, CHAM, CH-6330, SWITZERLAND</t>
  </si>
  <si>
    <t>1878-5077</t>
  </si>
  <si>
    <t>1878-5085</t>
  </si>
  <si>
    <t>EPMA J</t>
  </si>
  <si>
    <t>EPMA J.</t>
  </si>
  <si>
    <t>SEP 2020</t>
  </si>
  <si>
    <t>376</t>
  </si>
  <si>
    <t>10.1007/s13167-020-00216-z</t>
  </si>
  <si>
    <t>http://dx.doi.org/10.1007/s13167-020-00216-z</t>
  </si>
  <si>
    <t>JUN 2020</t>
  </si>
  <si>
    <t>ND7AK</t>
  </si>
  <si>
    <t>32843907</t>
  </si>
  <si>
    <t>WOS:000542081600001</t>
  </si>
  <si>
    <t>Ikenoue, T; Kataoka, Y; Matsuoka, Y; Matsumoto, J; Kumasawa, J; Tochitatni, K; Funakoshi, H; Hosoda, T; Kugimiya, A; Shirano, M; Hamabe, F; Iwata, S; Fukuma, S</t>
  </si>
  <si>
    <t>Ali-M3, an artificial intelligence program, analyzes chest computed tomography (CT) and detects the likelihood of coronavirus disease (COVID-19) based on scores ranging from 0 to 1. However, Ali-M3 has not been externally validated. Our aim was to evaluate the accuracy of Ali-M3 for detecting COVID-19 and discuss its clinical value. We evaluated the external validity of Ali-M3 using sequential Japanese sampling data. In this retrospective cohort study, COVID-19 infection probabilities for 617 symptomatic patients were determined using Ali-M3. In 11 Japanese tertiary care facilities, these patients underwent reverse transcription-polymerase chain reaction (RT-PCR) testing. They also underwent chest CT to confirm a diagnosis of COVID-19. Of the 617 patients, 289 (46.8%) were RT-PCR-positive. The area under the curve (AUC) of Ali-M3 for predicting a COVID-19 diagnosis was 0.797 (95% confidence interval: 0.7620.833) and the goodness-of-fit was P = 0.156. With a cut-off probability of a diagnosis of COVID-19 by Ali-M3 set at 0.5, the sensitivity and specificity were 80.6% and 68.3%, respectively. A cut-off of 0.2 yielded a sensitivity and specificity of 89.2% and 43.2%, respectively. Among the 223 patients who required oxygen, the AUC was 0.825. Sensitivity at a cut-off of 0.5% and 0.2% was 88.7% and 97.9%, respectively. Although the sensitivity was lower when the days from symptom onset were fewer, the sensitivity increased for both cut-off values after 5 days. We evaluated Ali-M3 using external validation with symptomatic patient data from Japanese tertiary care facilities. As Ali-M3 showed sufficient sensitivity performance, despite a lower specificity performance, Ali-M3 could be useful in excluding a diagnosis of COVID-19.</t>
  </si>
  <si>
    <t>Ikenoue, Tatsuyoshi; Kataoka, Yuki; Matsuoka, Yoshinori; Matsumoto, Junichi; Kumasawa, Junji; Tochitatni, Kentaro; Funakoshi, Hiraku; Hosoda, Tomohiro; Kugimiya, Aiko; Shirano, Michinori; Hamabe, Fumiko; Iwata, Sachiyo; Fukuma, Shingo</t>
  </si>
  <si>
    <t>Ikenoue, T (corresponding author), Kyoto Univ, Grad Sch Med, Human Hlth Sci, Kyoto, Japan.</t>
  </si>
  <si>
    <t>ikenoue.tatsuyoshi.4e@kyoto-u.ac.jp</t>
  </si>
  <si>
    <t>[Ikenoue, Tatsuyoshi; Fukuma, Shingo] Kyoto Univ, Grad Sch Med, Human Hlth Sci, Kyoto, Japan; [Kataoka, Yuki] Hyogo Prefectural Amagasaki Gen Med Ctr, Hosp Care Res Unit, Amagasaki, Hyogo, Japan; [Kataoka, Yuki] Hyogo Prefectural Amagasaki Gen Med Ctr, Dept Resp Med, Amagasaki, Hyogo, Japan; [Matsuoka, Yoshinori] Kobe City Med Ctr Gen Hosp, Dept Emergency Med, Kobe, Hyogo, Japan; [Matsumoto, Junichi] St Marianna Univ, Sch Med, Dept Emergency &amp; Crit Care Med, Kawasaki, Kanagawa, Japan; [Kumasawa, Junji] Sakai City Med Ctr, Dept Crit Care Med, Sakai, Osaka, Japan; [Tochitatni, Kentaro] Kyoto City Hosp, Dept Infect Dis, Kyoto, Japan; [Funakoshi, Hiraku] Tokyobay Urayasu Ichikawa Med Ctr, Dept Emergency &amp; Crit Care Med, Chiba, Japan; [Hosoda, Tomohiro] Kawasaki Municipal Kawasaki Hosp, Dept Infect Dis, Kawasaki Ku, Kawasaki, Kanagawa, Japan; [Kugimiya, Aiko] Yamanashi Prefectural Cent Hosp, Dept Emergency &amp; Crit Care Med, Kofu, Yamanashi, Japan; [Shirano, Michinori] Osaka City Gen Hosp, Dept Infect Dis, Osaka, Japan; [Hamabe, Fumiko] Natl Def Med Coll Hosp, Dept Radiol, Tokorozawa, Saitama, Japan; [Iwata, Sachiyo] Hyogo Prefectural Kakogawa Med Ctr, Div Cardiovasc Med, Kakogawa, Hyogo, Japan</t>
  </si>
  <si>
    <t>Kyoto University; Kobe City Medical Center General Hospital; St Marianna University; Kyoto City Hospital; Osaka City General Hospital; National Defense Medical College - Japan</t>
  </si>
  <si>
    <t>Japan COVID-19 AI team</t>
  </si>
  <si>
    <t>Accuracy of deep learning-based computed tomography diagnostic system for COVID-19: A consecutive sampling external validation cohort study</t>
  </si>
  <si>
    <t>Hosoda, Tomohiro/AAX-5356-2020; Matsuoka, Yoshinori/ABD-6691-2020; Kataoka, Yuki/I-6026-2019; Fukuma, Shingo/S-6584-2019; Ikenoue, Tatsuyoshi/GVS-4723-2022; /R-4400-2019</t>
  </si>
  <si>
    <t>Hosoda, Tomohiro/0000-0003-4976-2260; Kataoka, Yuki/0000-0001-7982-5213; Ikenoue, Tatsuyoshi/0000-0003-3717-8788; Kumasawa, Junji/0000-0003-4619-945X; Tochitani, Kentaro/0000-0003-1588-5158</t>
  </si>
  <si>
    <t>NOV 4 2021</t>
  </si>
  <si>
    <t>e0258760</t>
  </si>
  <si>
    <t>10.1371/journal.pone.0258760</t>
  </si>
  <si>
    <t>http://dx.doi.org/10.1371/journal.pone.0258760</t>
  </si>
  <si>
    <t>YY9AG</t>
  </si>
  <si>
    <t>34735458</t>
  </si>
  <si>
    <t>WOS:000755077100032</t>
  </si>
  <si>
    <t>van de Leur, RR; Bivona, DJ; Herur, R; van der Harst, P; Meine, M; van Es, R; Bilchick, KC; Wouters, PC</t>
  </si>
  <si>
    <t>Background Cardiac resynchronization therapy (CRT) can improve clinical outcomes in patients with dyssynchronous heart failure, but many patients selected according to the current guidelines do not respond. Objective This study aimed to externally validate an explainable deep learning algorithm (the FactorECG algorithm) for predicting response after biventricular pacing. Methods We previously trained a deep learning algorithm on &gt;1 million electrocardiogram (ECG) median beats to learn the underlying generative factors of the ECG and applied it to 1306 patients with CRT from the Netherlands. Using the extracted 21 explainable factors, a model predicting the risk of volumetric nonresponse and poor clinical outcomes was developed. In the present analysis, this model was externally validated in a cohort of 161 patients with CRT from the University of Virginia for volumetric nonresponse only. Subsequently, the added value of clinical and cardiac magnetic resonance imaging-derived predictors was investigated. Results The original model significantly outperformed American Heart Association criteria for left bundle branch block for the prediction of nonresponse {C-statistic 0.67 (95% confidence interval [CI] 0.59-0.76) vs 0.51 (95% CI 0.41-0.60), respectively}. A refitted FactorECG-based model performed similarly to a model also integrating indices of mechanical dyssynchrony (C-statistic 0.74 [95% CI 0.66-0.82] vs 0.70 [95% CI 0.62-0.77], respectively). A combination of both models improved response prediction (C-statistic 0.79 [95% CI 0.71-0.85]). Conclusion In this external validation study, an explainable ECG-only algorithm for the prediction of nonresponse after CRT device implantation generalized well to a lower-risk population from a different hospital. Adding indices of mechanical dyssynchrony and right ventricular function might be of additional value when evaluating volumetric response.</t>
  </si>
  <si>
    <t>van de Leur, Rutger R.; Bivona, Derek J.; Herur, Rohan; van der Harst, Pim; Meine, Mathias; van Es, Rene; Bilchick, Kenneth C.; Wouters, Philippe C.</t>
  </si>
  <si>
    <t>Wouters, PC (corresponding author), Univ Med Ctr Utrecht, Dept Cardiol, Heidelberglaan 100, NL-3584 CX Utrecht, Netherlands.</t>
  </si>
  <si>
    <t>p.wouters@umcutrecht.nl</t>
  </si>
  <si>
    <t>stimulate public-private partnerships</t>
  </si>
  <si>
    <t>Funding Sources: The collaboration project is cofunded by a public-private partnership subsidy awarded by Health similar to Holland (Top Sector Life Sciences &amp; Health) to stimulate public-private partnerships (the Artificial Intelligence for Device-based Cardiac Resynchronization Therapy project) .</t>
  </si>
  <si>
    <t>[van de Leur, Rutger R.; van der Harst, Pim; Meine, Mathias; van Es, Rene; Wouters, Philippe C.] Univ Med Ctr Utrecht, Dept Cardiol, Heidelberglaan 100, NL-3584 CX Utrecht, Netherlands; [Bivona, Derek J.; Herur, Rohan; Bilchick, Kenneth C.] Univ Virginia Hlth Syst, Dept Cardiovasc Med, Charlottesville, VA USA</t>
  </si>
  <si>
    <t>Utrecht University; Utrecht University Medical Center; University of Virginia; University of Virginia (UVA) Health System</t>
  </si>
  <si>
    <t>External validation of an explainable electrocardiogram-only deep learning algorithm for the prediction of response after cardiac resynchronization therapy</t>
  </si>
  <si>
    <t>HEART RHYTHM</t>
  </si>
  <si>
    <t>Electrocardiography; Biventricular pacing; Cardiac resynchronization therapy; Deep learning; Artificial intelligence</t>
  </si>
  <si>
    <t>CLINICAL EVENT REDUCTION; MECHANICAL DYSSYNCHRONY; PATIENT</t>
  </si>
  <si>
    <t>van de Leur, Rutger/AAY-9557-2021; Wouters, Philippe/GLS-5946-2022; van der Harst, Pim/HOH-5622-2023</t>
  </si>
  <si>
    <t>1547-5271</t>
  </si>
  <si>
    <t>1556-3871</t>
  </si>
  <si>
    <t>Heart Rhythm</t>
  </si>
  <si>
    <t>901</t>
  </si>
  <si>
    <t>10.1016/j.hrthm.2026.01.014</t>
  </si>
  <si>
    <t>http://dx.doi.org/10.1016/j.hrthm.2026.01.014</t>
  </si>
  <si>
    <t>GF4JN</t>
  </si>
  <si>
    <t>41525968</t>
  </si>
  <si>
    <t>WOS:001735118000001</t>
  </si>
  <si>
    <t>Kang, J; Lee, HJ; Oh, SB; Nam, JK; Kim, TU; Ryu, H; Ki, YK; Kang, J; Kim, YR; Lee, JH; Choi, J; Hong, YJ; Park, K</t>
  </si>
  <si>
    <t>Background/Aim: Chemotherapy with gemcitabine and cisplatin remains the cornerstone of treatment for advanced urothelial carcinoma (UC), yet response rates vary significantly among patients. Predicting treatment response is crucial to avoid unnecessary toxicity and optimize therapeutic strategies. This study aims to develop a deep learning model leveraging RNA sequencing data to predict chemotherapy response in UC patients. Materials and Methods: We developed a deep learning model using RNA sequencing gene expression data from The Cancer Genome Atlas (TCGA) and Gene Expression Omnibus to predict chemotherapy (gemcitabine and cisplatin) response in UC patients. The model was externally validated using an independent cohort from the Pusan National University Yangsan Hospital. Model interpretation was performed through gene ontology and survival analyses using predictions from TCGA samples not included in the training set. Results: The deep learning model demonstrated excellent predictive performance, achieving 94.7% accuracy in the training dataset and 90.0% accuracy in external validation. Gene ontology analysis revealed four key functional clusters associated with chemotherapy response: DNA damage response, cell cycle regulation, kinesins/microtubule dynamics, and mitotic cytokinesis. Notably, the model showed significant prognostic value in early-stage, with predicted responders displaying markedly better survival outcomes (p=0.019). Conclusion: Our transcriptome-based deep learning approach offers a promising computational strategy for predicting chemotherapy response in urothelial carcinoma. By integrating high-dimensional RNA-seq data and advanced machine learning techniques, we provide a potential decision-support tool for personalized treatment planning.</t>
  </si>
  <si>
    <t>Kang, Juwon; Lee, Hyun Jung; Oh, Sang-Bo; Nam, Jong Kil; Kim, Tae Un; Ryu, Hwaseong; Ki, Yong Kan; Kang, Jihoon; Kim, Yi Rang; Lee, Jeong Hoon; Choi, Junjeong; Hong, Yun Jeong; Park, Kwonoh</t>
  </si>
  <si>
    <t>Park, K (corresponding author), Dongguk Univ, Ilsan Hosp, Dept Internal Med, Div Hematol &amp; Med Oncol, 27 Dongguk-ro, Goyang Si, Gyeonggi Do, South Korea.</t>
  </si>
  <si>
    <t>parkkoh@daum.net</t>
  </si>
  <si>
    <t>National Research Foundation of Korea (NRF) - Korean government (MSIT) [202107620001]; Ministry of Food and Drug Safety [21153MFDS601]</t>
  </si>
  <si>
    <t>National Research Foundation of Korea (NRF) - Korean government (MSIT) (National Research Foundation of Korea); Ministry of Food and Drug Safety (Ministry of Food &amp; Drug Safety (MFDS), Republic of Korea)</t>
  </si>
  <si>
    <t>This work was supported by the National Research Foundation of Korea (NRF) grant funded by the Korean government (MSIT) (No. 202107620001) and by a grant (21153MFDS601) from the Ministry of Food and Drug Safety in 2023.</t>
  </si>
  <si>
    <t>[Kang, Juwon; Kang, Jihoon; Kim, Yi Rang] ONCOCROSS Co Ltd, Seoul, South Korea; [Kang, Juwon; Choi, Junjeong] Yonsei Univ, Yonsei Inst Pharmaceut Sci, Coll Pharm, Incheon, South Korea; [Lee, Hyun Jung; Park, Kwonoh] Pusan Natl Univ, Sch Med, Dept Pathol, Yangsan Hosp, Yangsan, South Korea; [Oh, Sang-Bo] Pusan Natl Univ, Sch Med, Dept Internal Med, Med Oncol &amp; Hematol,Yangsan Hosp, Yangsan, South Korea; [Nam, Jong Kil] Pusan Natl Univ, Sch Med, Dept Urol, Yangsan Hosp, Yangsan, South Korea; [Kim, Tae Un; Ryu, Hwaseong] Pusan Natl Univ, Yangsan Hosp, Sch Med, Dept Radiol, Yangsan, South Korea; [Ki, Yong Kan] Pusan Natl Univ, Yangsan Hosp, Sch Med, Dept Radiat Oncol, Yangsan, South Korea; [Lee, Jeong Hoon] Stanford Univ, Sch Med, Dept Radiol, Stanford, CA USA; [Hong, Yun Jeong] Catholic Univ Korea, Uijeongbu St Marys Hosp, Dept Neurol, Seoul, South Korea; [Park, Kwonoh] Dongguk Univ, Ilsan Hosp, Dept Internal Med, Div Hematol &amp; Med Oncol, 27 Dongguk-ro, Goyang Si, Gyeonggi Do, South Korea</t>
  </si>
  <si>
    <t>Yonsei University; Stanford University; Stanford Medicine</t>
  </si>
  <si>
    <t>Transcriptome-based Deep Learning Model for Predicting Gemcitabine and Cisplatin Chemotherapy Response in Urothelial Carcinoma: Development and External Validation</t>
  </si>
  <si>
    <t>CANCER GENOMICS &amp; PROTEOMICS</t>
  </si>
  <si>
    <t>Urothelial carcinoma; cisplatin; gemcitabine; chemotherapy response; deep learning; RNA sequencing; precision oncology</t>
  </si>
  <si>
    <t>ADVANCED BLADDER-CANCER; RNA-SEQ; NEOADJUVANT CHEMOTHERAPY; EXPRESSION; SENSITIVITY; NETWORKS; ERCC2</t>
  </si>
  <si>
    <t>Ki, Yongkan/ABF-3519-2021</t>
  </si>
  <si>
    <t>INT INST ANTICANCER RESEARCH</t>
  </si>
  <si>
    <t>ATHENS</t>
  </si>
  <si>
    <t>EDITORIAL OFFICE 1ST KM KAPANDRITIOU-KALAMOU RD KAPANDRITI, PO BOX 22, ATHENS 19014, GREECE</t>
  </si>
  <si>
    <t>1109-6535</t>
  </si>
  <si>
    <t>1790-6245</t>
  </si>
  <si>
    <t>CANCER GENOM PROTEOM</t>
  </si>
  <si>
    <t>Cancer Genomics Proteomics</t>
  </si>
  <si>
    <t>MAY-JUN 2026</t>
  </si>
  <si>
    <t>546</t>
  </si>
  <si>
    <t>557</t>
  </si>
  <si>
    <t>10.21873/cgp.20589</t>
  </si>
  <si>
    <t>http://dx.doi.org/10.21873/cgp.20589</t>
  </si>
  <si>
    <t>Oncology; Genetics &amp; Heredity</t>
  </si>
  <si>
    <t>HN9SZ</t>
  </si>
  <si>
    <t>42055629</t>
  </si>
  <si>
    <t>WOS:001758564800007</t>
  </si>
  <si>
    <t>Wu, Z; Wang, D; Xu, C; Peng, SX; Deng, LH; Liu, MJ; Wu, Y</t>
  </si>
  <si>
    <t>PurposeTo explore the accuracy and feasibility of a proposed deep learning (DL) algorithm for clinical target volume (CTV) delineation in cervical cancer radiotherapy and evaluate whether it can perform well in external cervical cancer and endometrial cancer cases for generalization validation.MethodsA total of 332 patients were enrolled in this study. A state-of-the-art network called ResCANet, which added the cascade multi-scale convolution in the skip connections to eliminate semantic differences between different feature layers based on ResNet-UNet. The atrous spatial pyramid pooling in the deepest feature layer combined the semantic information of different receptive fields without losing information. A total of 236 cervical cancer cases were randomly grouped into 5-fold cross-training (n = 189) and validation (n = 47) cohorts. External validations were performed in a separate cohort of 54 cervical cancer and 42 endometrial cancer cases. The performances of the proposed network were evaluated by dice similarity coefficient (DSC), sensitivity (SEN), positive predictive value (PPV), 95% Hausdorff distance (95HD), and oncologist clinical score when comparing them with manual delineation in validation cohorts.ResultsIn internal validation cohorts, the mean DSC, SEN, PPV, 95HD for ResCANet achieved 74.8%, 81.5%, 73.5%, and 10.5 mm. In external independent validation cohorts, ResCANet achieved 73.4%, 72.9%, 75.3%, 12.5 mm for cervical cancer cases and 77.1%, 81.1%, 75.5%, 10.3 mm for endometrial cancer cases, respectively. The clinical assessment score showed that minor and no revisions (delineation time was shortened to within 30 min) accounted for about 85% of all cases in DL-aided automatic delineation.ConclusionsWe demonstrated the problem of model generalizability for DL-based automatic delineation. The proposed network can improve the performance of automatic delineation for cervical cancer and shorten manual delineation time at no expense to quality. The network showed excellent clinical viability, which can also be even generalized for endometrial cancer with excellent performance.</t>
  </si>
  <si>
    <t>Wu, Zhe; Wang, Dong; Xu, Cheng; Peng, Shengxian; Deng, Lihua; Liu, Mujun; Wu, Yi</t>
  </si>
  <si>
    <t>Liu, MJ; Wu, Y (corresponding author), Army Med Univ, Mil Med Univ 3, Sch Biomed Engn &amp; Med Imaging, Dept Digital Med, Chongqing 400038, Peoples R China.</t>
  </si>
  <si>
    <t>wuy1979@tmmu.edu.cn; 2249717501@qq.com</t>
  </si>
  <si>
    <t>National Natural Science Foundation of China [31971113]; Chongqing Science and Technology Talent Project [CQYC201905037]; Chongqing Key Research and Development Program [CSTB2022TIAD-KPX0181]; Chongqing Natural Science Foundation [cstc2021jcyj-msxmX0965]</t>
  </si>
  <si>
    <t>National Natural Science Foundation of China (National Natural Science Foundation of China (NSFC)); Chongqing Science and Technology Talent Project; Chongqing Key Research and Development Program; Chongqing Natural Science Foundation (Natural Science Foundation of Chongqing)</t>
  </si>
  <si>
    <t>National Natural Science Foundation of China, Grant/Award Number: 31971113; Chongqing Science and Technology Talent Project, Grant/Award Number: CQYC201905037; Chongqing Key Research and Development Program, Grant/Award Number: CSTB2022TIAD-KPX0181; Chongqing Natural Science Foundation, Grant/Award Number: cstc2021jcyj-msxmX0965</t>
  </si>
  <si>
    <t>[Wu, Zhe; Deng, Lihua; Liu, Mujun; Wu, Yi] Army Med Univ, Mil Med Univ 3, Sch Biomed Engn &amp; Med Imaging, Dept Digital Med, Chongqing 400038, Peoples R China; [Wu, Zhe; Wu, Yi] Jinfeng Lab, Yu Yue Pathol Res Ctr, Chongqing, Peoples R China; [Wang, Dong; Peng, Shengxian] Zigong First Peoples Hosp, Dept Radiat Oncol, Zigong, Sichuan, Peoples R China; [Xu, Cheng] Beijing Luhe Hosp, Dept Radiotherapy, Beijing, Peoples R China</t>
  </si>
  <si>
    <t>Army Medical University; Jinfeng Laboratory; Capital Medical University</t>
  </si>
  <si>
    <t>Clinical target volume (CTV) automatic delineation using deep learning network for cervical cancer radiotherapy: A study with external validation</t>
  </si>
  <si>
    <t>JOURNAL OF APPLIED CLINICAL MEDICAL PHYSICS</t>
  </si>
  <si>
    <t>auto-delineation; cervical cancer radiotherapy; clinical target volume; deep learning; generalization</t>
  </si>
  <si>
    <t>Wu, Zhe/0000-0001-5191-0248</t>
  </si>
  <si>
    <t>1526-9914</t>
  </si>
  <si>
    <t>J APPL CLIN MED PHYS</t>
  </si>
  <si>
    <t>J. Appl. Clin. Med. Phys</t>
  </si>
  <si>
    <t>e14553</t>
  </si>
  <si>
    <t>10.1002/acm2.14553</t>
  </si>
  <si>
    <t>http://dx.doi.org/10.1002/acm2.14553</t>
  </si>
  <si>
    <t>R9T0X</t>
  </si>
  <si>
    <t>39401180</t>
  </si>
  <si>
    <t>WOS:001330712600001</t>
  </si>
  <si>
    <t>Liang, CH; Liu, YC; Wu, MT; Garcia-Castro, F; Alberich-Bayarri, A; Wu, FZ</t>
  </si>
  <si>
    <t>AIM: To test the diagnostic performance of a deep learning-based system for the detection of clinically significant pulmonary nodules/masses on chest radiographs.MATERIALS AND METHODS: Using a retrospective study of 100 patients (47 with clinically significant pulmonary nodules/masses and 53 control subjects without pulmonary nodules), two radiologists verified clinically significantly pulmonary nodules/masses according to chest computed tomography (CT) findings. A computer-aided diagnosis (CAD) software using a deep-learning approach was used to detect pulmonary nodules/masses to determine the diagnostic performance in four algorithms (heat map, abnormal probability, nodule probability, and mass probability).RESULTS: A total of 100 cases were included in the analysis. Among the four algorithms, mass algorithm could achieve a 76.6% sensitivity (36/47, 11 false negative) and 88.68% specificity (47/ 53, six false-positive) in the detection of pulmonary nodules/masses at the optimal probability score cut-off of 0.2884. Compared to the other three algorithms, mass probability algorithm had best predictive ability for pulmonary nodule/mass detection at the optimal probability score cut-off of 0.2884 (AUC(Mass): 0.916 versus AUC(Heat map). 0.682, p&lt;0.001; AUC(Mass): 0.916 versus AUC(Abnormal) : 0.810, p=0.002; AUC(Mass): 0.916 versus AUC(Nodule): 0.813, p=0.014).CONCLUSION: In conclusion, the deep-learning based computer-aided diagnosis system will likely play a vital role in the early detection and diagnosis of pulmonary nodules/masses on chest radiographs. In future applications, these algorithms could support triage workflow via double reading to improve sensitivity and specificity during the diagnostic process. (C) 2019 The Royal College of Radiologists. Published by Elsevier Ltd. All rights reserved.</t>
  </si>
  <si>
    <t>Liang, C-H; Liu, Y-C; Wu, M-T; Garcia-Castro, F.; Alberich-Bayarri, A.; Wu, F-Z</t>
  </si>
  <si>
    <t>Wu, FZ (corresponding author), Kaohsiung Vet Gen Hosp, Dept Radiol, Kaohsiung, Taiwan.</t>
  </si>
  <si>
    <t>cmvwu1029@gmail.com</t>
  </si>
  <si>
    <t>Kaohsiung Veterans General Hospital, Taiwan, R.O.C. [VGHKS103-015, VGHKS104-048, VGHKS105-064, VGHKS108-159, MOST108-2314-B-075B-008-]</t>
  </si>
  <si>
    <t>Kaohsiung Veterans General Hospital, Taiwan, R.O.C.</t>
  </si>
  <si>
    <t>This study was supported by grants from Kaohsiung Veterans General Hospital, Taiwan, R.O.C. (nos. VGHKS103-015, VGHKS104-048, VGHKS105-064, VGHKS108-159, MOST108-2314-B-075B-008-).</t>
  </si>
  <si>
    <t>[Liang, C-H] Natl Yang Ming Univ, Dept Biomed Imaging &amp; Radiol Sci, Taipei, Taiwan; [Liang, C-H; Wu, M-T; Wu, F-Z] Natl Yang Ming Univ, Fac Med, Sch Med, Taipei, Taiwan; [Liang, C-H; Wu, M-T; Wu, F-Z] Natl Yang Ming Univ, Inst Clin Med, Taipei, Taiwan; [Liu, Y-C] Xiamen Chang Gung Hosp, Dept Diagnost Radiol, Xiamen, Fujian, Peoples R China; [Wu, M-T; Wu, F-Z] Kaohsiung Vet Gen Hosp, Dept Radiol, Kaohsiung, Taiwan; [Garcia-Castro, F.; Alberich-Bayarri, A.] Hosp Univ Politecn La Fe, Radiol Dept, Valencia, Spain; [Garcia-Castro, F.; Alberich-Bayarri, A.] Biomed Imaging Res Grp GIBI230, Valencia, Spain; [Garcia-Castro, F.; Alberich-Bayarri, A.] QUIBIM SL, Valencia, Spain</t>
  </si>
  <si>
    <t>National Yang Ming Chiao Tung University; National Yang Ming Chiao Tung University; National Yang Ming Chiao Tung University; Kaohsiung Veterans General Hospital; Hospital Universitari i Politecnic La Fe</t>
  </si>
  <si>
    <t>Identifying pulmonary nodules or masses on chest radiography using deep learning: external validation and strategies to improve clinical practice</t>
  </si>
  <si>
    <t>CONVOLUTIONAL NEURAL-NETWORKS; CLASSIFICATION; RADIOLOGISTS; WORKLOAD; TRENDS</t>
  </si>
  <si>
    <t>Wu, Ming-Ting/C-5428-2009; Wu, Fu-Zong/J-8941-2019; Liang, Chia-Hao/GNP-1474-2022; Alberich-Bayarri, Angel/E-3822-2010</t>
  </si>
  <si>
    <t>Wu, Fu-Zong/0000-0003-2556-6118; Alberich-Bayarri, Angel/0000-0002-5932-2392</t>
  </si>
  <si>
    <t>10.1016/j.crad.2019.08.005</t>
  </si>
  <si>
    <t>http://dx.doi.org/10.1016/j.crad.2019.08.005</t>
  </si>
  <si>
    <t>JX0QT</t>
  </si>
  <si>
    <t>31521323</t>
  </si>
  <si>
    <t>WOS:000503449500007</t>
  </si>
  <si>
    <t>Lee, KH; Yoon, D; Lim, H; Lee, KB; Lee, YK</t>
  </si>
  <si>
    <t>Acute kidney injury (AKI) is a common hospital complication with substantial morbidity and mortality. Deep learning models for AKI prediction show strong development-cohort performance, but single-point evaluation fails to capture behaviour under continuous monitoring. We conducted a multi-centre retrospective study using electronic health records from three cohorts (n = 157,323 admissions): National Health Insurance Service Ilsan Hospital (development), Chuncheon Sacred Heart Hospital, and MIMIC-IV (external validation). Three deep learning architectures (LSTM-Attention, Masked CNN, ITE-Transformer) and two baselines (XGBoost, logistic regression) were developed across 0-, 48-, and 72-h horizons, with an online simulation framework generating predictions at 12-h intervals before onset. Deep learning substantially outperformed baselines externally (AUROC 0.956-0.963 vs. 0.630-0.686). Online simulation revealed that 0-h models exhibited "clinical faithfulness"-consistent AUROC improvement as onset approached (Mann-Kendall significant in 15/15 combinations)-whereas longer horizons showed unstable trajectories. Notably, the highest single-point AUROC model (Masked CNN, 0.961) had the worst deployment profile (NNE 17.6-564), while ITE-Transformer (AUROC 0.924) achieved the most favourable alert burden (NNE 1.5-2.4). Deployment-oriented evaluation should complement conventional metrics for continuous monitoring models.</t>
  </si>
  <si>
    <t>Lee, Kyung Hyun; Yoon, Donghwee; Lim, Hyunsun; Lee, Ki-Byung; Lee, Yong Kyu</t>
  </si>
  <si>
    <t>Lee, KB (corresponding author), AITRICS Co Ltd, Seoul 06221, South Korea.; Lee, KB (corresponding author), Hallym Univ, Chuncheon Sacred Heart Hosp, Dept Internal Med, Div Pulm Allergy &amp; Crit Care Med,Med Ctr, Chunchon, Gangwon Do, South Korea.; Lee, YK (corresponding author), Natl Hlth Insurance Serv Ilsan Hosp, Dept Internal Med, Nephrol Subdiv, Goyangshi, Gyeonggi Do, South Korea.</t>
  </si>
  <si>
    <t>medicorpio@naver.com; hasej@aitrics.com</t>
  </si>
  <si>
    <t>This study received no funding.</t>
  </si>
  <si>
    <t>[Lee, Kyung Hyun; Yoon, Donghwee; Lee, Ki-Byung] AITRICS Co Ltd, Seoul 06221, South Korea; [Lee, Kyung Hyun] Sungkyunkwan Univ, Dept Digital Hlth, SAIHST, Seoul 06355, South Korea; [Lim, Hyunsun] Natl Hlth Insurance Serv Ilsan Hosp, Dept Res &amp; Anal, Goyangshi, Gyeonggi Do, South Korea; [Lee, Ki-Byung] Hallym Univ, Chuncheon Sacred Heart Hosp, Dept Internal Med, Div Pulm Allergy &amp; Crit Care Med,Med Ctr, Chunchon, Gangwon Do, South Korea; [Lee, Yong Kyu] Natl Hlth Insurance Serv Ilsan Hosp, Dept Internal Med, Nephrol Subdiv, Goyangshi, Gyeonggi Do, South Korea</t>
  </si>
  <si>
    <t>Sungkyunkwan University (SKKU)</t>
  </si>
  <si>
    <t>Deep learning models for acute kidney injury prediction: multi-center external validation and evaluation under simulated continuous monitoring conditions</t>
  </si>
  <si>
    <t>544</t>
  </si>
  <si>
    <t>10.1038/s41746-026-02722-2</t>
  </si>
  <si>
    <t>http://dx.doi.org/10.1038/s41746-026-02722-2</t>
  </si>
  <si>
    <t>LB3AG</t>
  </si>
  <si>
    <t>42103942</t>
  </si>
  <si>
    <t>WOS:001820512000002</t>
  </si>
  <si>
    <t>Rezaee, K; Zadeh, HG; Khosravi, M</t>
  </si>
  <si>
    <t>As anti-amyloid therapies become integrated into routine care, neurology clinics increasingly need low-burden, MRI-first tools to identify amyloid positivity (A(3+), given that PET or cerebrospinal fluid (CSF) analysis remains costly or invasive. Deep learning offers a natural solution, but prior MRI-based studies often suffer from limited calibration, small single-site cohorts, ad-hoc tuning, and poor external generalization; few reports present decision-relevant operating points. We introduce a hybrid, multi-output deep learning framework that simultaneously predicts continuous amyloid burden and a calibrated A(3 positivity (A(3+) probability (using Binary Cross-Entropy and focal loss with post-hoc temperature scaling). The framework processes T1-weighted MRI and optionally fuses this data with low-cost covariates. Training employs site-aware nested cross-validation, ComBat harmonization, and multi-objective hyperparameter optimization (HPO) targeting both discrimination and calibration. We assess clinical utility using pre-specified, fixed thresholds (Youden-J and fixed-sensitivity), confusion matrices, and decision-analytic readouts. On the ADNI dataset, the classifier achieves AUROCti0.90 (AUPRCti0.92) with Accuracyti0.82 at frozen thresholds. The regressor yields MAEti8.6 CL, RMSEti13.6 CL, and R2ti0.54. On OASIS-3 (an unseen external test set), we maintain Accuracyti0.84 with Sensitivityti0.83 and Specificityti0.85 under the same thresholds; calibration improves markedly after temperature scaling (ECEti0.025). Our innovations-including the multi-output design, principled calibration, harmonization, and frozen-policy external evaluation-close key gaps in risk interpretability and transportability without increasing acquisition burden. To enable clinical translation, we report frozen thresholds and calibration/decision curves on external data, outlining multicenter validation. Clinically, this method supports risk-stratified referral for PET/ CSF with auditable behavior (global SHAP on covariates, cross-site parity checks) and stable operating points.</t>
  </si>
  <si>
    <t>Rezaee, Khosro; Zadeh, Hossein Ghayoumi; Khosravi, Mohamadreza</t>
  </si>
  <si>
    <t>Rezaee, K (corresponding author), Meybod Univ, Dept Biomed Engn, Meybod, Iran.</t>
  </si>
  <si>
    <t>rezaeekhosro.biomedeng@gmail.com</t>
  </si>
  <si>
    <t>[Rezaee, Khosro] Meybod Univ, Dept Biomed Engn, Meybod, Iran; [Zadeh, Hossein Ghayoumi] Vali E Asr Univ Rafsanjan, Dept Elect Engn, Rafsanjan, Iran; [Khosravi, Mohamadreza] Shiraz Univ Med Sci, Sch Med, Dept Med Phys &amp; Engn, Shiraz, Iran; [Khosravi, Mohamadreza] Weifang Univ Sci &amp; Technol, SPUL4PH Lab, Weifang 262700, Peoples R China</t>
  </si>
  <si>
    <t>Vali-e-Asr University of Rafsanjan; Shiraz University of Medical Science; Weifang University of Science &amp; Technology</t>
  </si>
  <si>
    <t>Hybrid MRI-tabular deep learning for predicting Alzheimer's amyloid positivity with external validation and an explainable clinical framework</t>
  </si>
  <si>
    <t>RESULTS IN ENGINEERING</t>
  </si>
  <si>
    <t>Alzheimer's disease; Amyloid positivity; Hyperparameter optimization; Deep learning; Explainability</t>
  </si>
  <si>
    <t>Ghayoumi Zadeh, Hossein/G-1504-2011; Rezaee, Khosro/AAA-9586-2021</t>
  </si>
  <si>
    <t>2590-1230</t>
  </si>
  <si>
    <t>RESULTS ENG</t>
  </si>
  <si>
    <t>Results Eng.</t>
  </si>
  <si>
    <t>110627</t>
  </si>
  <si>
    <t>10.1016/j.rineng.2026.110627</t>
  </si>
  <si>
    <t>http://dx.doi.org/10.1016/j.rineng.2026.110627</t>
  </si>
  <si>
    <t>Engineering, Multidisciplinary</t>
  </si>
  <si>
    <t>HP2QY</t>
  </si>
  <si>
    <t>WOS:001759442400001</t>
  </si>
  <si>
    <t>Yao, L; Liang, XL; Liu, J; Qian, BX; Xiao, ZL; Zhu, DT; Feng, JX; Zhou, SG; Cui, HQ; Li, SL; Li, W</t>
  </si>
  <si>
    <t>Background: Accurate evaluation of the cartilage anatomy of the knee is helpful for clinical evaluation of the source of knee pain and the classification and treatment of knee osteoarthritis (OA). This study proposes a deep learning model for segmentation of knee articular cartilage in conventional proton density fat-saturated MRI sequences to assess cartilage morphology for subsequent injury grading. Methods: This retrospective study was conducted at two radiology centers, involving 254 knees from 254 patients who had previously undergone MRI scans. The training-internal validation cohort included 219 knees from Center 1. The external validation cohort comprised 35 knees from Center 2. Two musculoskeletal radiology experts manually annotated the cartilage regions. A 3D Res U-net model was employed for segmentation, and its performance was compared with 3D U-net and 3D V-net models. Segmentation results were evaluated using the Dice coefficient and Jaccard index. Results: The 3D Res U-net model demonstrated superior segmentation performance compared to the other deep learning methods. For cartilage in the lateral femorotibial joint, medial femorotibial joint, and patellofemoral joint, the average Dice coefficients with 3D Res U-net were 0.871, 0.860, and 0.858 in internal validation and 0.846, 0.837, and 0.819 in external validation, respectively. The Jaccard index followed a similar trend. Conclusion: The 3D Res U-net model improves knee cartilage segmentation in conventional MR imaging, contributing to the understanding of cartilage morphology and the improvement of clinically relevant decisions. (c) 2025 Elsevier B.V. All rights are reserved, including those for text and data mining, AI training, and similar technologies.</t>
  </si>
  <si>
    <t>Yao, Lin; Liang, Xiaoling; Liu, Jin; Qian, Baoxin; Xiao, Zhongli; Zhu, Dantian; Feng, Jiaxin; Zhou, Shouguo; Cui, Huaqian; Li, Shaolin; Li, Wei</t>
  </si>
  <si>
    <t>Li, SL; Li, W (corresponding author), Sun Yat Sen Univ, Affiliated Hosp 5, Dept Radiol, 52 East Meihua Rd, Zhuhai, Guangdong, Peoples R China.; Cui, HQ (corresponding author), Sun Yat Sen Univ, Affiliated Hosp 5, Dept Qual Management, 52 East Meihua Rd, Zhuhai, Guangdong, Peoples R China.</t>
  </si>
  <si>
    <t>liwei293@mail.sysu.edu.cn; lishlin5@mail.sysu.edu.cn; cuihuaqian9@126.com</t>
  </si>
  <si>
    <t>National Natural Science Foundation of China [82502304, 82172053]; Guangdong Medical Science and Technology Research Fund Project [B2025313]</t>
  </si>
  <si>
    <t>National Natural Science Foundation of China (National Natural Science Foundation of China (NSFC)); Guangdong Medical Science and Technology Research Fund Project</t>
  </si>
  <si>
    <t>Funding This study received funding from the National Natural Science Foundation of China (Grant No. 82502304 and Grant No. 82172053) and the Guangdong Medical Science and Technology Research Fund Project (Grant No. B2025313) .</t>
  </si>
  <si>
    <t>[Yao, Lin; Zhu, Dantian; Feng, Jiaxin; Li, Shaolin; Li, Wei] Sun Yat Sen Univ, Affiliated Hosp 5, Dept Radiol, 52 East Meihua Rd, Zhuhai, Guangdong, Peoples R China; [Liang, Xiaoling] Sun Yat Sen Univ, Affiliated Hosp 5, Dept Spinal Surg, Zhuhai, Guangdong, Peoples R China; [Liu, Jin] Shanghai Jiao Tong Univ, Sch Med, Ruijin Hosp, Dept Radiol, Shanghai, Peoples R China; [Qian, Baoxin] Huiying Med Technol Co Ltd, Huiying Med Technol Beijing, Beijing, Peoples R China; [Xiao, Zhongli] Fourth Peoples Hosp Guiyang, Dept Radiol, Guiyang, Guizhou, Peoples R China; [Zhou, Shouguo] Foshan Hosp Tradit Chinese Med, Dept Med Imaging, Foshan, Guangdong, Peoples R China; [Cui, Huaqian] Sun Yat Sen Univ, Affiliated Hosp 5, Dept Qual Management, 52 East Meihua Rd, Zhuhai, Guangdong, Peoples R China</t>
  </si>
  <si>
    <t>Sun Yat Sen University; Sun Yat Sen University; Shanghai Jiao Tong University; Sun Yat Sen University</t>
  </si>
  <si>
    <t>Deep learning-enabled segmentation of knee cartilage in conventional magnetic resonance images: Internal and external validation of different models</t>
  </si>
  <si>
    <t>KNEE</t>
  </si>
  <si>
    <t>Knee cartilage; Segmentation; MR imaging; Deep learning; Convolutional neural network</t>
  </si>
  <si>
    <t>OSTEOARTHRITIS; DIAGNOSIS</t>
  </si>
  <si>
    <t>Liang, Xiao-Ling/ITT-0132-2023</t>
  </si>
  <si>
    <t>Liang, Xiaoling/0000-0001-7350-2819</t>
  </si>
  <si>
    <t>0968-0160</t>
  </si>
  <si>
    <t>1873-5800</t>
  </si>
  <si>
    <t>Knee</t>
  </si>
  <si>
    <t>104270</t>
  </si>
  <si>
    <t>10.1016/j.knee.2025.10.024</t>
  </si>
  <si>
    <t>http://dx.doi.org/10.1016/j.knee.2025.10.024</t>
  </si>
  <si>
    <t>Orthopedics; Sport Sciences; Surgery</t>
  </si>
  <si>
    <t>AD8OP</t>
  </si>
  <si>
    <t>41241647</t>
  </si>
  <si>
    <t>WOS:001645785100002</t>
  </si>
  <si>
    <t>Navarro, F; Dapper, H; Asadpour, R; Knebel, C; Spraker, MB; Schwarze, V; Schaub, SK; Mayr, NA; Specht, K; Woodruff, HC; Lambin, P; Gersing, AS; Nyflot, MJ; Menze, BH; Combs, SE; Peeken, JC</t>
  </si>
  <si>
    <t>Simple Summary In soft-tissue sarcoma (STS) patients, the decision for the optimal treatment modality largely depends on STS size, location, and a pathological measure that assesses tumor aggressiveness called "tumor grading". To determine tumor grading, invasive biopsies are needed before therapy. In previous research studies, quantitative imaging features ("radiomics") have been associated with tumor grading. In this work, we assessed the possibility of predicting tumor grading using an artificial intelligence technique called "deep learning" or "convolutional neural networks". By analyzing either T1-weighted or T2-weighted MRI sequences, non-invasive tumor grading prediction was possible in an independent test patient cohort. The results were comparable to previous research work obtained with radiomics; however, the reproducibility of the contrast-enhanced T1-weighted sequence was improved. The T2-based model was also able to significantly identify patients with a high risk for death after therapy. Background: In patients with soft-tissue sarcomas, tumor grading constitutes a decisive factor to determine the best treatment decision. Tumor grading is obtained by pathological work-up after focal biopsies. Deep learning (DL)-based imaging analysis may pose an alternative way to characterize STS tissue. In this work, we sought to non-invasively differentiate tumor grading into low-grade (G1) and high-grade (G2/G3) STS using DL techniques based on MR-imaging. Methods: Contrast-enhanced T1-weighted fat-saturated (T1FSGd) MRI sequences and fat-saturated T2-weighted (T2FS) sequences were collected from two independent retrospective cohorts (training: 148 patients, testing: 158 patients). Tumor grading was determined following the French Federation of Cancer Centers Sarcoma Group in pre-therapeutic biopsies. DL models were developed using transfer learning based on the DenseNet 161 architecture. Results: The T1FSGd and T2FS-based DL models achieved area under the receiver operator characteristic curve (AUC) values of 0.75 and 0.76 on the test cohort, respectively. T1FSGd achieved the best F1-score of all models (0.90). The T2FS-based DL model was able to significantly risk-stratify for overall survival. Attention maps revealed relevant features within the tumor volume and in border regions. Conclusions: MRI-based DL models are capable of predicting tumor grading with good reproducibility in external validation.</t>
  </si>
  <si>
    <t>Navarro, Fernando; Dapper, Hendrik; Asadpour, Rebecca; Knebel, Carolin; Spraker, Matthew B.; Schwarze, Vincent; Schaub, Stephanie K.; Mayr, Nina A.; Specht, Katja; Woodruff, Henry C.; Lambin, Philippe; Gersing, Alexandra S.; Nyflot, Matthew J.; Menze, Bjoern H.; Combs, Stephanie E.; Peeken, Jan C.</t>
  </si>
  <si>
    <t>Peeken, JC (corresponding author), Tech Univ Munich TUM, Klinikum Rechts Isar, Dept Radiat Oncol, Ismaninger Str 22, D-81675 Munich, Germany.; Peeken, JC (corresponding author), GROW Sch Oncol &amp; Dev Biol, Dept Radiol &amp; Nucl Imaging, P Debyelaan 25, NL-6229 HX Maastricht, Netherlands.; Peeken, JC (corresponding author), Inst Radiat Med IRM, Dept Radiat Sci DRS, Ingolstaedter Landstr 1, D-85764 Munich, Germany.; Peeken, JC (corresponding author), Deutsch Konsortium Translat Krebsforsch DKTK, Partner Site, D-85764 Munich, Germany.</t>
  </si>
  <si>
    <t>carolin.knebel@mri.tum.de; stephanie.combs@tum.de; rebecca.asadpour@tum.de; ninamayr@uw.edu; h.woodruff@maastrichtuniversity.nl; katja.specht@tum.de; fernando.navarro@tum.de; bjoern.menze@tum.de; vincent.schwarze@med.uni-muenchen.de; philippelambin@maastrichtuniversity.nl; hendrik.dapper@mri.tum.de; alexandra.gersing@tum.de; nyflot@uw.edu; mspraker@wustl.edu; skschaub@uw.edu; jan.peeken@tum.de</t>
  </si>
  <si>
    <t>physician-scientist program of the medical faculty of the Technical University of Munich; Helmholtz Zentrum Muenchen; Deutsche Forschungsgemeinschaft (DFG, German Research Foundation)-GRK; NVIDIA Corporation</t>
  </si>
  <si>
    <t>physician-scientist program of the medical faculty of the Technical University of Munich; Helmholtz Zentrum Muenchen; Deutsche Forschungsgemeinschaft (DFG, German Research Foundation)-GRK (German Research Foundation (DFG)); NVIDIA Corporation (Nvidia Corporation)</t>
  </si>
  <si>
    <t>This work was funded by physician-scientist program of the medical faculty of the Technical University of Munich and the Helmholtz Zentrum Muenchen (JCP). We also gratefully acknowledge the Deutsche Forschungsgemeinschaft (DFG, German Research Foundation)-GRK for the financial support (FN). The authors gratefully acknowledge the support of NVIDIA Corporation with the donation of the Titan Xp GPU used for this research.</t>
  </si>
  <si>
    <t>[Navarro, Fernando; Dapper, Hendrik; Asadpour, Rebecca; Combs, Stephanie E.; Peeken, Jan C.] Tech Univ Munich TUM, Klinikum Rechts Isar, Dept Radiat Oncol, Ismaninger Str 22, D-81675 Munich, Germany; [Navarro, Fernando; Menze, Bjoern H.] Tech Univ Munich TUM, Dept Informat, Boltzmannstr 3, D-85748 Garching, Germany; [Navarro, Fernando] TranslaTUM Cent Inst Translat Canc Res, Einsteinstr 25, D-81675 Munich, Germany; [Knebel, Carolin] Tech Univ Munich TUM, Klinikum Rechts Isar, Dept Orthoped &amp; Sports Orthoped, Ismaninger Str 22, D-81675 Munich, Germany; [Spraker, Matthew B.] Washington Univ, Dept Radiat Oncol, 4511 Forest Pk Ave, St Louis, MO 63108 USA; [Schwarze, Vincent; Gersing, Alexandra S.] Ludwig Maximilian Univ Munich, Dept Radiol, Grosshadern Campus,Marchioninistr 15, D-81377 Munich, Germany; [Schaub, Stephanie K.; Mayr, Nina A.; Nyflot, Matthew J.] Univ Washington, Dept Radiat Oncol, 1959 NE Pacific St,356043, Seattle, WA 98195 USA; [Specht, Katja] Tech Univ Munich TUM, Dept Pathol, Trogerstr 18, D-81675 Munich, Germany; [Woodruff, Henry C.; Lambin, Philippe] Maastricht Univ, GROW Sch Oncol &amp; Dev Biol, Dept Precis Med, Univ Singel 40, NL-6229 ER Maastricht, Netherlands; [Woodruff, Henry C.; Lambin, Philippe; Peeken, Jan C.] GROW Sch Oncol &amp; Dev Biol, Dept Radiol &amp; Nucl Imaging, P Debyelaan 25, NL-6229 HX Maastricht, Netherlands; [Gersing, Alexandra S.] Tech Univ Munich TUM, Klinikum Rechts Isar, Dept Radiol, Ismaninger Str 22, D-81675 Munich, Germany; [Nyflot, Matthew J.] Univ Washington, Dept Radiol, 4245 Roosevelt Way NE, Seattle, WA 98105 USA; [Menze, Bjoern H.; Combs, Stephanie E.] Univ Zurich, Dept Quantitat Biomed, Winterthurerstr 190, CH-8057 Zurich, Switzerland; [Combs, Stephanie E.; Peeken, Jan C.] Inst Radiat Med IRM, Dept Radiat Sci DRS, Ingolstaedter Landstr 1, D-85764 Munich, Germany; [Peeken, Jan C.] Deutsch Konsortium Translat Krebsforsch DKTK, Partner Site, D-85764 Munich, Germany</t>
  </si>
  <si>
    <t>Technical University of Munich; Technical University of Munich; Technical University of Munich; Washington University (WUSTL); University of Munich; University of Washington; University of Washington Seattle; Technical University of Munich; Maastricht University; Maastricht University Medical Centre (MUMC); Maastricht University; Maastricht University Medical Centre (MUMC); Technical University of Munich; University of Washington; University of Washington Seattle; University of Zurich</t>
  </si>
  <si>
    <t>Development and External Validation of Deep-Learning-Based Tumor Grading Models in Soft-Tissue Sarcoma Patients Using MR Imaging</t>
  </si>
  <si>
    <t>deep learning; convolutional neural networks; artificial intelligence; machine learning; soft-tissue sarcomas; tumor grading; MRI</t>
  </si>
  <si>
    <t>RADIATION-THERAPY; RADIOMICS; DEFINITION; SURVIVAL; FEATURES; IMAGES; ADULTS</t>
  </si>
  <si>
    <t>Lambin, Philippe/OYF-3183-2025; Menze, Bjoern/JOK-2720-2023; Woodruff, Henry/AAS-5573-2021; Dapper, Hendrik/PXC-4207-2026; Dapper, Hendrik/PXC-4207-2026; Peeken, Jan/ADP-6469-2022; Knebel, Carolin/ABI-6127-2020</t>
  </si>
  <si>
    <t>Lambin, Philippe/0000-0001-7961-0191; Navarro, Fernando/0000-0001-8906-9079; Menze, Bjoern/0000-0003-4136-5690; Woodruff, Henry/0000-0001-7911-5123; Gersing, Alexandra/0000-0003-1687-5541; Dapper, Hendrik/0009-0005-8041-3634; Peeken, Jan/0000-0003-2679-9853</t>
  </si>
  <si>
    <t>2866</t>
  </si>
  <si>
    <t>10.3390/cancers13122866</t>
  </si>
  <si>
    <t>http://dx.doi.org/10.3390/cancers13122866</t>
  </si>
  <si>
    <t>SZ8IC</t>
  </si>
  <si>
    <t>34201251</t>
  </si>
  <si>
    <t>WOS:000666800700001</t>
  </si>
  <si>
    <t>gold; Green Submitted; Green Accepted; Green Published</t>
  </si>
  <si>
    <t>Wu, XK; Song, QB; Zhou, JX; Zhou, ZY; Cao, GR; Jin, KB; Du, Q</t>
  </si>
  <si>
    <t>BackgroundMagnetic resonance imaging (MRI) is the reference standard for evaluating degenerative lumbar spine disorders, but interpretation is time-consuming and subject to inter-observer variability. SpineNetv2, a publicly available deep learning system, enables automated analysis of multiple spinal pathologies. This study conducted an independent external validation of SpineNetv2 against expert reference assessments.MethodsA total of 491 patients (2,455 lumbar discs, L1/2-L5/S1) were retrospectively included. Disc-level reference assessments were provided by an expert orthopedic surgeon, with a junior orthopedic surgeon serving as comparator. Six pathologies were assessed: disc degeneration (Pfirrmann grading), central canal stenosis (CCS), spondylolisthesis, herniation, and bilateral foraminal stenosis (FS). Performance metrics included sensitivity, specificity, positive predictive value, negative predictive value, F1-score, Matthews correlation coefficient, exact agreement, weighted kappa, and mean absolute error. McNemar's test and bootstrap resampling (1,000 iterations) were used for statistical analysis.ResultsOverall agreement ranged from 83.5% to 97.5% (mean 92.8%). SpineNetv2 significantly outperformed the junior orthopedic surgeon in CCS, spondylolisthesis, and bilateral FS (all p &lt;= 0.001), with comparable performance in herniation (p = 0.293). Pfirrmann grading showed lower MAE for SpineNetv2 compared with the junior surgeon (0.213 vs. 0.254, p = 0.001), though agreement declined in older patients and upper lumbar discs. Error analysis revealed a specificity-oriented profile, with false negatives exceeding false positives.ConclusionsSpineNetv2 demonstrated high agreement across five binary lumbar pathologies, while Pfirrmann grading remained the main limitation, particularly in elderly upper lumbar discs. Its specificity-oriented profile supports use as a confirmatory second reader, but reliance on negative findings is not recommended. Broader reliability will require multicenter, multi-reader validation and sensitivity-oriented calibration.</t>
  </si>
  <si>
    <t>Wu, Xingkai; Song, Qianbo; Zhou, Jiaxiang; Zhou, Zhiyu; Cao, Guangru; Jin, Kebing; Du, Qian</t>
  </si>
  <si>
    <t>Du, Q (corresponding author), Zunyi Med Univ, Affiliated Hosp 2, Zunyi, Peoples R China.; Jin, KB (corresponding author), Guizhou Univ, Guiyang, Peoples R China.</t>
  </si>
  <si>
    <t>zhoujx77@mail2.sysu.edu.cn; duqian@zmu.edu.cn; 2311631086@qq.com; wxk12160815@163.com; kbjin@gzu.edu.cn; zhouzhy23@mail.sysu.edu.cn; caoguangru2003@163.com</t>
  </si>
  <si>
    <t>Guizhou Provincial Department of Science and Technology [No. QKHRC-KJZY[2025]036, Qiankehe Foundation-ZK [2024] General-347]; Zunyi Science and Technology Bureau [Zunshi Kehe HZ (2024) No. 432 and 442]</t>
  </si>
  <si>
    <t>Guizhou Provincial Department of Science and Technology; Zunyi Science and Technology Bureau</t>
  </si>
  <si>
    <t>I express my sincere gratitude for the unwavering support from my family members.</t>
  </si>
  <si>
    <t>[Wu, Xingkai; Song, Qianbo; Cao, Guangru; Du, Qian] Zunyi Med Univ, Affiliated Hosp 2, Zunyi, Peoples R China; [Zhou, Jiaxiang; Zhou, Zhiyu] Sun Yat Sen Univ, Affiliated Hosp 7, Shenzhen, Peoples R China; [Zhou, Zhiyu] Sun Yat Sen Univ, Affiliated Hosp 1, Guangzhou, Peoples R China; [Jin, Kebing] Guizhou Univ, Guiyang, Peoples R China</t>
  </si>
  <si>
    <t>Zunyi Medical University; Sun Yat Sen University; Sun Yat Sen University; Guizhou University</t>
  </si>
  <si>
    <t>External validation of SpineNetv2 deep learning system for automated lumbar spine MRI analysis: A multi-pathology diagnostic agreement study</t>
  </si>
  <si>
    <t>Lumbar spine; Magnetic resonance imaging; Degenerative pathology; SpineNetv2; Artificial intelligence; Diagnostic performance; External validation; Pfirrmann grading</t>
  </si>
  <si>
    <t>FEATURES</t>
  </si>
  <si>
    <t>ZHOU, ZHIYU/AAU-5036-2021; Du, Qian/HCI-9515-2022; Zhou, Jiaxiang/ODJ-0648-2025</t>
  </si>
  <si>
    <t>Du, Qian/0000-0001-6922-6778</t>
  </si>
  <si>
    <t>1238</t>
  </si>
  <si>
    <t>1248</t>
  </si>
  <si>
    <t>10.1007/s00586-025-09543-z</t>
  </si>
  <si>
    <t>http://dx.doi.org/10.1007/s00586-025-09543-z</t>
  </si>
  <si>
    <t>FU4DL</t>
  </si>
  <si>
    <t>41204023</t>
  </si>
  <si>
    <t>WOS:001610136700001</t>
  </si>
  <si>
    <t>Kim, C; Lee, G; Oh, H; Jeong, G; Kim, SW; Chun, EJ; Kim, YH; Lee, JG; Yang, DH</t>
  </si>
  <si>
    <t>Objectives Cardiovascular border (CB) analysis is the primary method for detecting and quantifying the severity of cardiovascular disease using posterior-anterior chest radiographs (CXRs). This study aimed to develop and validate a deep learning-based automatic CXR CB analysis algorithm (CB_auto) for diagnosing and quantitatively evaluating valvular heart disease (VHD). Methods We developed CB_auto using 816 normal and 798 VHD CXRs. For validation, 640 normal and 542 VHD CXRs from three different hospitals and 132 CXRs from a public dataset were assigned. The reliability of the CB parameters determined by CB_auto was evaluated. To evaluate the differences between parameters determined by CB_auto and manual CB drawing (CB_hand), the absolute percentage measurement error (APE) was calculated. Pearson correlation coefficients were calculated between CB_hand and echocardiographic measurements. Results CB parameters determined by CB_auto yielded excellent reliability (intraclass correlation coefficient &gt; 0.98). The 95% limits of agreement for the cardiothoracic ratio were 0.00 +/- 0.04% without systemic bias. The differences between parameters determined by CB_auto and CB_hand as defined by the APE were &lt; 10% for all parameters except for carinal angle and left atrial appendage. In the public dataset, all CB parameters were successfully drawn in 124 of 132 CXRs (93.9%). All CB parameters were significantly greater in VHD than in normal controls (all p &lt; 0.05). All CB parameters showed significant correlations (p &lt; 0.05) with echocardiographic measurements. Conclusions The CB_auto system empowered by deep learning algorithm provided highly reliable CB measurements that could be useful not only in daily clinical practice but also for research purposes.</t>
  </si>
  <si>
    <t>Kim, Cherry; Lee, Gaeun; Oh, Hongmin; Jeong, Gyujun; Kim, Sun Won; Chun, Eun Ju; Kim, Young-Hak; Lee, June-Goo; Yang, Dong Hyun</t>
  </si>
  <si>
    <t>Yang, DH (corresponding author), Univ Ulsan, Cardiac Imaging Ctr, Asan Med Ctr, Dept Radiol,Coll Med, Seoul, South Korea.; Yang, DH (corresponding author), Univ Ulsan, Cardiac Imaging Ctr, Asan Med Ctr, Res Inst Radiol,Coll Med, Seoul, South Korea.</t>
  </si>
  <si>
    <t>donghyun.yang@gmail.com</t>
  </si>
  <si>
    <t>Korea Health Technology R&amp;D Project through the Korea Health Industry Development Institute (KHIDI) - Ministry of Health and Welfare, Republic of Korea [HI18C2383, HI18C0022]</t>
  </si>
  <si>
    <t>Korea Health Technology R&amp;D Project through the Korea Health Industry Development Institute (KHIDI) - Ministry of Health and Welfare, Republic of Korea</t>
  </si>
  <si>
    <t>This work was supported by a grant from the Korea Health Technology R&amp;D Project through the Korea Health Industry Development Institute (KHIDI), funded by the Ministry of Health and Welfare, Republic of Korea (HI18C2383 &amp; HI18C0022).</t>
  </si>
  <si>
    <t>[Kim, Cherry] Korea Univ, Dept Radiol, Ansan Hosp, Ansan, South Korea; [Lee, Gaeun; Jeong, Gyujun; Lee, June-Goo] Univ Ulsan, Biomed Engn Res Ctr, Asan Inst Life Sci, Coll Med, Seoul, South Korea; [Oh, Hongmin; Yang, Dong Hyun] Univ Ulsan, Cardiac Imaging Ctr, Asan Med Ctr, Dept Radiol,Coll Med, Seoul, South Korea; [Oh, Hongmin; Yang, Dong Hyun] Univ Ulsan, Cardiac Imaging Ctr, Asan Med Ctr, Res Inst Radiol,Coll Med, Seoul, South Korea; [Kim, Sun Won] Korea Univ, Dept Cardiol, Ansan Hosp, Ansan, South Korea; [Chun, Eun Ju] Seoul Univ, Dept Radiol, Bundang Hosp, Seongnam, South Korea; [Kim, Young-Hak] Univ Ulsan, Asan Med Ctr, Dept Cardiol, Coll Med, Seoul, South Korea</t>
  </si>
  <si>
    <t>University of Ulsan; Asan Medical Center</t>
  </si>
  <si>
    <t>A deep learning-based automatic analysis of cardiovascular borders on chest radiographs of valvular heart disease: development/external validation</t>
  </si>
  <si>
    <t>Heart valve diseases; Radiography; Cardiovascular system; Artificial intelligence; Deep learning</t>
  </si>
  <si>
    <t>HYBRID ITERATIVE RECONSTRUCTION; FILTERED BACK-PROJECTION; CARDIOTHORACIC RATIO; DOSE SETTINGS</t>
  </si>
  <si>
    <t>Kim, Sunwon/AAY-8551-2020</t>
  </si>
  <si>
    <t>Kim, Cherry/0000-0002-3361-5496; Kim, Sunwon/0000-0001-7735-1763</t>
  </si>
  <si>
    <t>1558</t>
  </si>
  <si>
    <t>1569</t>
  </si>
  <si>
    <t>10.1007/s00330-021-08296-9</t>
  </si>
  <si>
    <t>http://dx.doi.org/10.1007/s00330-021-08296-9</t>
  </si>
  <si>
    <t>YX3AE</t>
  </si>
  <si>
    <t>34647180</t>
  </si>
  <si>
    <t>WOS:000706927400008</t>
  </si>
  <si>
    <t>Sun, K; Wang, JW; Wang, BY; Wang, Y; Lu, SY; Jiang, ZH; Fu, W; Zhou, X</t>
  </si>
  <si>
    <t>ObjectivesBenign lymph node enlargement can mislead surgeons into overstaging colorectal cancer (CRC), causing unnecessarily extended lymphadenectomy. This study aimed to develop and validate a machine learning (ML) classifier utilizing multi-phase CT (MPCT) radiomics for accurate evaluation of the pre-treatment status of enlarged tumor-draining lymph nodes (TDLNs; defined as long-axis diameter &gt;= 10 mm).Materials and methodsThis study included 430 pathologically confirmed CRC patients who underwent radical resection, stratified into a development cohort (n = 319; January 2015-December 2019, retrospectively enrolled) and test cohort (n = 111; January 2020-May 2023, prospectively enrolled). Radiomics features were extracted from multi-regional lesions (tumor and enlarged TDLNs) on MPCT. Following rigorous feature selection, optimal features were employed to train multiple ML classifiers. The top-performing classifier based on area under receiver operating characteristic curves (AUROCs) was validated.ResultsUltimately, 15 classifiers based on features from multi-regional lesions were constructed (TumorN, A, V; LnN, A, V; Ln, lymph node; N, non-contrast phase; A, arterial phase; V, venous phase). Among all classifiers, the enlarged TDLNs fusion MPCT classifier (LnNAV) demonstrated the highest predictive efficacy, with AUROCs and AUPRCs of 0.820 and 0.883, respectively. When pre-treatment clinical variables were integrated (Clinical_LnNAV), the model's efficacy improved, with AUROCs of 0.839, AUPRCs of 0.903, accuracy of 76.6%, sensitivity of 67.7%, and specificity of 89.1%.ConclusionThe classifier Clinical_LnNAV demonstrated well performance in evaluating pre-treatment status of enlarged TDLNs. This tool may support clinicians in developing individualized treatment plans for CRC patients, helping to avoid inappropriate treatment.Key PointsQuestionThere are currently no effective non-invasive tools to assess the status of enlarged tumor-draining lymph nodes in colorectal cancer prior to treatment.FindingsPre-treatment multi-phase CT radiomics, combined with clinical variables, effectively assessed the status of enlarged tumor-draining lymph nodes, achieving a specificity of 89.1%.Clinical relevance statementThe multi-phase CT-based classifier may assist clinicians in developing individualized treatment plans for colorectal cancer patients, potentially helping to avoid inappropriate preoperative adjuvant therapy and unnecessary extended lymphadenectomy.Key PointsQuestionThere are currently no effective non-invasive tools to assess the status of enlarged tumor-draining lymph nodes in colorectal cancer prior to treatment.FindingsPre-treatment multi-phase CT radiomics, combined with clinical variables, effectively assessed the status of enlarged tumor-draining lymph nodes, achieving a specificity of 89.1%.Clinical relevance statementThe multi-phase CT-based classifier may assist clinicians in developing individualized treatment plans for colorectal cancer patients, potentially helping to avoid inappropriate preoperative adjuvant therapy and unnecessary extended lymphadenectomy.Key PointsQuestionThere are currently no effective non-invasive tools to assess the status of enlarged tumor-draining lymph nodes in colorectal cancer prior to treatment.FindingsPre-treatment multi-phase CT radiomics, combined with clinical variables, effectively assessed the status of enlarged tumor-draining lymph nodes, achieving a specificity of 89.1%.Clinical relevance statementThe multi-phase CT-based classifier may assist clinicians in developing individualized treatment plans for colorectal cancer patients, potentially helping to avoid inappropriate preoperative adjuvant therapy and unnecessary extended lymphadenectomy.</t>
  </si>
  <si>
    <t>Sun, Kui; Wang, Junwei; Wang, Bingyan; Wang, Ying; Lu, Siyi; Jiang, Zhihan; Fu, Wei; Zhou, Xin</t>
  </si>
  <si>
    <t>Fu, W; Zhou, X (corresponding author), Peking Univ Third Hosp, Dept Gen Surg, Beijing, Peoples R China.; Fu, W; Zhou, X (corresponding author), Peking Univ Third Hosp, Canc Ctr, Beijing, Peoples R China.; Fu, W; Zhou, X (corresponding author), Beijing Key Lab Interdisciplinary Res Gastrointest, Beijing, Peoples R China.</t>
  </si>
  <si>
    <t>zhouxinasd@sina.cn; fuwei@bjmu.edu.cn</t>
  </si>
  <si>
    <t>National Natural Science Foundation of China [62473005, 82402385]</t>
  </si>
  <si>
    <t>This study has received funding from the National Natural Science Foundation of China (62473005, 82402385).</t>
  </si>
  <si>
    <t>[Sun, Kui; Wang, Junwei; Wang, Bingyan; Lu, Siyi; Jiang, Zhihan; Fu, Wei; Zhou, Xin] Peking Univ Third Hosp, Dept Gen Surg, Beijing, Peoples R China; [Sun, Kui; Wang, Junwei; Wang, Bingyan; Lu, Siyi; Jiang, Zhihan; Fu, Wei; Zhou, Xin] Peking Univ Third Hosp, Canc Ctr, Beijing, Peoples R China; [Sun, Kui; Wang, Junwei; Wang, Bingyan; Lu, Siyi; Jiang, Zhihan; Fu, Wei; Zhou, Xin] Beijing Key Lab Interdisciplinary Res Gastrointest, Beijing, Peoples R China; [Wang, Ying] Shandong First Med Univ, Shandong Prov Hosp, Jinan, Peoples R China</t>
  </si>
  <si>
    <t>Peking University; Peking University; Shandong First Medical University &amp; Shandong Academy of Medical Sciences</t>
  </si>
  <si>
    <t>Non-invasive multi-phase CT artificial intelligence for predicting pre-treatment enlarged lymph node status in colorectal cancer: a prospective validation study</t>
  </si>
  <si>
    <t>Colorectal cancer; Machine learning; Enlarged tumor-draining lymph nodes; Computed Tomography</t>
  </si>
  <si>
    <t>TOMOGRAPHY; STANDARD; IMAGES</t>
  </si>
  <si>
    <t>Jiang, Zhihan/HHM-8744-2022</t>
  </si>
  <si>
    <t>Zhou, Xin/0000-0002-4048-4017</t>
  </si>
  <si>
    <t>7845</t>
  </si>
  <si>
    <t>7855</t>
  </si>
  <si>
    <t>10.1007/s00330-025-11723-w</t>
  </si>
  <si>
    <t>http://dx.doi.org/10.1007/s00330-025-11723-w</t>
  </si>
  <si>
    <t>A5024</t>
  </si>
  <si>
    <t>40506635</t>
  </si>
  <si>
    <t>WOS:001506953800001</t>
  </si>
  <si>
    <t>Betancur, J; Rubeaux, M; Fuchs, TA; Otaki, Y; Arnson, Y; Slipczuk, L; Benz, DC; Germano, G; Dey, D; Lin, CJ; Berman, DS; Kaufmann, PA; Slomka, PJ</t>
  </si>
  <si>
    <t>Precise definition of the mitral valve plane (VP) during segmentation of the left ventricle for SPECT myocardial perfusion imaging (MPI) quantification often requires manual adjustment, which affects the quantification of perfusion. We developed a machine learning approach using support vector machines (SVM) for automatic VP placement. Methods: A total of 392 consecutive patients undergoing (99)mTc-tetrofosmin stress (5 min; mean +/- SD, 350 +/- 54 MBq) and rest (5 min; 1,024 +/- 153 MBq) fast SPECT MPI attenuation corrected (AC) by CT and same-day coronary CT angiography were studied; included in the 392 patients were 48 patients who underwent invasive coronary angiography and had no known coronary artery disease. The left ventricle was segmented with standard clinical software (quantitative perfusion SPECT) by 2 experts, adjusting the VP if needed. Two-class SVM models were computed from the expert placements with 10-fold cross validation to separate the patients used for training and those used for validation. SVM probability estimates were used to compute the best VP position. Automatic VP localizations on AC and non-AC images were compared with expert placement on coronary CT angiography. Stress and rest total perfusion deficits and detection of per-vessel obstructive stenosis by invasive coronary angiography were also compared. Results: Bland-Altman 95% confidence intervals (CIs) for VP localization by SVM and experts for AC stress images (bias, 1; 95% CI, 25 to 7 mm) and AC rest images (bias, 1; 95% CI, -7 to 10 mm) were narrower than interexpert 95% CIs for AC stress images (bias, 0; 95% CI, -8 to 8 mm) and AC rest images (bias, 0; 95% CI, -10 to 10 mm) (P &lt; 0.01). Bland-Altman 95% CIs for VP localization by SVM and experts for non-AC stress images (bias, 1; 95% CI, -4 to 6 mm) and non-AC rest images (bias, 2; 95% CI, -7 to 10 mm) were similar to interexpert 95% CIs for non-AC stress images (bias, 0; 95% CI, -6 to 5 mm) and non-AC rest images (bias, 21; 95% CI, 29 to 7 mm) (P was not significant [NS]). For regional detection of obstructive stenosis, ischemic total perfusion deficit areas under the receiver operating characteristic curve for the 2 experts (AUC, 0.79 [95% CI, 0.7-0.87]; AUC, 0.81 [95% CI, 0.73-0.89]) and the SVM (0.82 [0.74-0.9]) for AC data were the same (P 5 NS) and were higher than those for the unadjusted VP (0.63 [0.53-0.73]) (P &lt; 0.01). Similarly, for non-AC data, areas under the receiver operating characteristic curve for the experts (AUC, 0.77 [95% CI, 0.69-0.89]; AUC, 0.8 [95% CI, 0.72-0.88]) and the SVM (0.79 [0.71-0.87]) were the same (P = NS) and were higher than those for the unadjusted VP (0.65 [0.56-0.75]) (P &lt; 0.01). Conclusion: Machine learning with SVM allows automatic and accurate VP localization, decreasing user dependence in SPECT MPI quantification.</t>
  </si>
  <si>
    <t>Betancur, Julian; Rubeaux, Mathieu; Fuchs, Tobias A.; Otaki, Yuka; Arnson, Yoav; Slipczuk, Leandro; Benz, Dominik C.; Germano, Guido; Dey, Damini; Lin, Chih-Jen; Berman, Daniel S.; Kaufmann, Philipp A.; Slomka, Piotr J.</t>
  </si>
  <si>
    <t>Slomka, PJ (corresponding author), Cedars Sinai Med Ctr, 8700 Beverly Blvd,Ste A047N, Los Angeles, CA 90048 USA.</t>
  </si>
  <si>
    <t>Piotr.Slomka@cshs.org</t>
  </si>
  <si>
    <t>National Heart, Lung, and Blood Institute, National Institutes of Health [R01HL089765]</t>
  </si>
  <si>
    <t>National Heart, Lung, and Blood Institute, National Institutes of Health (United States Department of Health &amp; Human Services, National Institutes of Health (NIH) - USA, NIH National Heart Lung &amp; Blood Institute (NHLBI))</t>
  </si>
  <si>
    <t>This research was supported in part by grant R01HL089765 from the National Heart, Lung, and Blood Institute, National Institutes of Health (to Dr. Piotr Slomka [principal investigator]). The content is solely the responsibility of the authors and does not necessarily represent the official views of the National Institutes of Health.</t>
  </si>
  <si>
    <t>[Betancur, Julian; Rubeaux, Mathieu; Otaki, Yuka; Arnson, Yoav; Slipczuk, Leandro; Germano, Guido; Dey, Damini; Berman, Daniel S.; Slomka, Piotr J.] Cedars Sinai Med Ctr, Dept Imaging Med &amp; Biomed Sci, Los Angeles, CA 90048 USA; [Fuchs, Tobias A.; Benz, Dominik C.; Kaufmann, Philipp A.] Univ Hosp Zurich, Dept Nucl Med, Cardiac Imaging, Zurich, Switzerland; [Lin, Chih-Jen] Natl Taiwan Univ, Dept Comp Sci, Taipei, Taiwan</t>
  </si>
  <si>
    <t>Cedars Sinai Medical Center; University of Zurich; University Zurich Hospital; National Taiwan University</t>
  </si>
  <si>
    <t>Automatic Valve Plane Localization in Myocardial Perfusion SPECT/CT by Machine Learning: Anatomic and Clinical Validation</t>
  </si>
  <si>
    <t>JOURNAL OF NUCLEAR MEDICINE</t>
  </si>
  <si>
    <t>myocardial perfusion imaging; SPECT quantification; machine learning; support vector classification; coronary CT angiography</t>
  </si>
  <si>
    <t>1ST EXPERIENCE; QUANTIFICATION; QUANTITATION; ANGIOGRAPHY; PREDICTION</t>
  </si>
  <si>
    <t>berman, daniel/ABF-0670-2022; Fuchs, Tobias/N-4435-2013; Kaufmann, Philipp/A-1522-2010; Slomka, Piotr/GRX-0855-2022</t>
  </si>
  <si>
    <t>Dey, Damini/0000-0003-2236-6970; Betancur, Julian/0000-0002-9856-7923; Slomka, Piotr/0000-0002-6110-938X; Benz, Dominik C/0000-0001-8627-726X; Slipczuk, Leandro/0000-0003-3091-3735</t>
  </si>
  <si>
    <t>SOC NUCLEAR MEDICINE INC</t>
  </si>
  <si>
    <t>RESTON</t>
  </si>
  <si>
    <t>1850 SAMUEL MORSE DR, RESTON, VA 20190-5316 USA</t>
  </si>
  <si>
    <t>0161-5505</t>
  </si>
  <si>
    <t>1535-5667</t>
  </si>
  <si>
    <t>J NUCL MED</t>
  </si>
  <si>
    <t>J. Nucl. Med.</t>
  </si>
  <si>
    <t>JUN 1 2017</t>
  </si>
  <si>
    <t>2017</t>
  </si>
  <si>
    <t>961</t>
  </si>
  <si>
    <t>967</t>
  </si>
  <si>
    <t>10.2967/jnumed.116.179911</t>
  </si>
  <si>
    <t>http://dx.doi.org/10.2967/jnumed.116.179911</t>
  </si>
  <si>
    <t>EW5UR</t>
  </si>
  <si>
    <t>27811121</t>
  </si>
  <si>
    <t>WOS:000402572500023</t>
  </si>
  <si>
    <t>Bronze; Green Accepted; Green Submitted</t>
  </si>
  <si>
    <t>Zaribafzadeh, H; Webster, WL; Vail, CJ; Daigle, T; Kirk, AD; Allen, PJ; Henao, R; Buckland, DM</t>
  </si>
  <si>
    <t>Objective: To implement a machine learning model using only the restricted data available at case creation time to predict surgical case length for multiple services at different locations.Background: The operating room is one of the most expensive resources in a health system, estimated to cost $22 to $133 per minute and generate about 40% of hospital revenue. Accurate prediction of surgical case length is necessary for efficient scheduling and cost-effective utilization of the operating room and other resources.Methods: We introduced a similarity cascade to capture the complexity of cases and surgeon influence on the case length and incorporated that into a gradient-boosting machine learning model. The model loss function was customized to improve the balance between over- and under-prediction of the case length. A production pipeline was created to seamlessly deploy and implement the model across our institution.Results: The prospective analysis showed that the model output was gradually adopted by the schedulers and outperformed the scheduler-predicted case length from August to December 2022. In 33,815 surgical cases across outpatient and inpatient platforms, the operational implementation predicted 11.2% fewer underpredicted cases and 5.9% more cases within 20% of the actual case length compared with the schedulers and only overpredicted 5.3% more. The model assisted schedulers to predict 3.4% more cases within 20% of the actual case length and 4.3% fewer underpredicted cases.Conclusions: We created a unique framework that is being leveraged every day to predict surgical case length more accurately at case posting time and could be potentially utilized to deploy future machine learning models.</t>
  </si>
  <si>
    <t>Zaribafzadeh, Hamed; Webster, Wendy L.; Vail, Christopher J.; Daigle, Thomas; Kirk, Allan D.; Allen, Peter J.; Henao, Ricardo; Buckland, Daniel M.</t>
  </si>
  <si>
    <t>Buckland, DM (corresponding author), Duke Univ, Dept Surg, Durham, NC 27710 USA.; Buckland, DM (corresponding author), Duke Univ, Dept Emergency Med, Durham, NC 27706 USA.</t>
  </si>
  <si>
    <t>dan.buckland@duke.edu</t>
  </si>
  <si>
    <t>Department of Surgery, Duke University Medical Center</t>
  </si>
  <si>
    <t>Department of Surgery, Duke University Medical Center (Duke University)</t>
  </si>
  <si>
    <t>This study was supported by Operational funding from the Department of Surgery, Duke University Medical Center.</t>
  </si>
  <si>
    <t>[Zaribafzadeh, Hamed; Henao, Ricardo] Duke Univ, Dept Biostat &amp; Bioinformat, Durham, NC USA; [Zaribafzadeh, Hamed; Webster, Wendy L.; Vail, Christopher J.; Kirk, Allan D.; Allen, Peter J.; Buckland, Daniel M.] Duke Univ, Dept Surg, Durham, NC 27710 USA; [Daigle, Thomas] Duke Univ Hlth Syst, Duke Hlth Technol Solut, Durham, NC USA; [Buckland, Daniel M.] Duke Univ, Dept Emergency Med, Durham, NC 27706 USA; [Buckland, Daniel M.] Duke Univ, Dept Mech Engn &amp; Mat Sci, Durham, NC 27706 USA</t>
  </si>
  <si>
    <t>Duke University; Duke University; Duke University; Duke University; Duke University</t>
  </si>
  <si>
    <t>Development, Deployment, and Implementation of a Machine Learning Surgical Case Length Prediction Model and Prospective Evaluation</t>
  </si>
  <si>
    <t>ANNALS OF SURGERY</t>
  </si>
  <si>
    <t>implementation; machine learning; prospective analysis; surgical case duration; surgical case length</t>
  </si>
  <si>
    <t>Buckland, Daniel/MEK-8035-2025; Kirk, Allan/B-6905-2012; Henao, Ricardo/Q-1381-2016</t>
  </si>
  <si>
    <t>Buckland, Daniel/0000-0001-5274-3840; Kirk, Allan/0000-0003-2004-5962; Zaribafzadeh, Hamed/0000-0002-0363-395X</t>
  </si>
  <si>
    <t>0003-4932</t>
  </si>
  <si>
    <t>1528-1140</t>
  </si>
  <si>
    <t>ANN SURG</t>
  </si>
  <si>
    <t>Ann. Surg.</t>
  </si>
  <si>
    <t>890</t>
  </si>
  <si>
    <t>895</t>
  </si>
  <si>
    <t>10.1097/SLA.0000000000005936</t>
  </si>
  <si>
    <t>http://dx.doi.org/10.1097/SLA.0000000000005936</t>
  </si>
  <si>
    <t>HW5G6</t>
  </si>
  <si>
    <t>37264901</t>
  </si>
  <si>
    <t>WOS:001162552600009</t>
  </si>
  <si>
    <t>Chen, K; Yu, GR; Li, H</t>
  </si>
  <si>
    <t>Background: Cognitive impairment in older adults poses a growing public health challenge, yet accessible screening tools remain limited. We aimed to develop and validate an interpretable machine learning model for cognitive impairment prediction by routinely collecting clinical data. Methods: We analyzed 1061 participants from the U.S. National Health and Nutrition Examination Survey (NHANES 2011-2014). Feature selection combined multivariable regression, restricted cubic splines, and the Boruta algorithm to identify 40 clinical, demographic, and socioeconomic variables. Twelve machine learning models (including Support Vector Machine (SVM), Extreme Gradient Boosting (XGBoost), and Random Forest (RF)) were trained and externally validated on NHANES 2001-2002 (n = 531). Model performance was evaluated by area under the receiver operating characteristic curve (AUC-ROC), calibration (Brier score), accuracy, and sensitivity. Additionally, an assessment of fairness was conducted across racial subgroups. Interpretability was enhanced via SHapley Additive exPlanations (SHAP). Results: The SVM model demonstrated optimal generalizability, achieving an external validation AUC of 0.8265 (95 %CI: 0.7867-0.8582) with sustained calibration (Brier score = 0.1703). Subgroup analyses showed no statistically significant AUC differences (all P &gt; 0.05). SHAP analysis identified socioeconomic factors, systemic inflammation indices, and metabolic markers as key predictors. Limitations. Generalizability may be limited to U.S. populations, and unmeasured biomarkers (e.g., amyloid-beta) could affect prediction accuracy. Subgroup analyses for minorities were constrained by sample size. Conclusion: Our interpretable prediction strategy enables rapid cognitive risk assessment using routine clinical data, providing a cost-effective decision support tool adaptable to electronic health record systems.</t>
  </si>
  <si>
    <t>Chen, Kang; Yu, Guran; Li, Hao</t>
  </si>
  <si>
    <t>Yu, GR (corresponding author), Nanjing Univ Chinese Med, Jiangsu Prov Hosp Chinese Med, Dept Neurol, Affiliated Hosp, Nanjing, Jiangsu, Peoples R China.; Li, H (corresponding author), China Acad Chinese Med Sci, Wangjing Hosp, Beijing, Peoples R China.</t>
  </si>
  <si>
    <t>xyhplihao1965@126.com; yushengzh@126.com</t>
  </si>
  <si>
    <t>National key research and development program [2022YFC3501403]</t>
  </si>
  <si>
    <t>National key research and development program (National Key Research &amp; Development Program of China)</t>
  </si>
  <si>
    <t>This research was financially supported by National key research and development program (2022YFC3501403) .</t>
  </si>
  <si>
    <t>[Chen, Kang; Yu, Guran] Nanjing Univ Chinese Med, Jiangsu Prov Hosp Chinese Med, Dept Neurol, Affiliated Hosp, Nanjing, Jiangsu, Peoples R China; [Li, Hao] China Acad Chinese Med Sci, Wangjing Hosp, Beijing, Peoples R China</t>
  </si>
  <si>
    <t>Nanjing University of Chinese Medicine; China Academy of Chinese Medical Sciences; Wang Jing Hospital, CACMS</t>
  </si>
  <si>
    <t>Interpretable machine learning for cognitive impairment screening: Development and external validation of a clinical prediction model based on NHANES data</t>
  </si>
  <si>
    <t>EXPERIMENTAL GERONTOLOGY</t>
  </si>
  <si>
    <t>Cognitive impairment; NHANES; Machine learning; Prediction model; SHAP</t>
  </si>
  <si>
    <t>UNITED-STATES; POPULATION; DEPRESSION; HEALTH</t>
  </si>
  <si>
    <t>chen, kang/0000-0002-8764-9384</t>
  </si>
  <si>
    <t>0531-5565</t>
  </si>
  <si>
    <t>1873-6815</t>
  </si>
  <si>
    <t>EXP GERONTOL</t>
  </si>
  <si>
    <t>Exp. Gerontol.</t>
  </si>
  <si>
    <t>214</t>
  </si>
  <si>
    <t>113019</t>
  </si>
  <si>
    <t>10.1016/j.exger.2025.113019</t>
  </si>
  <si>
    <t>http://dx.doi.org/10.1016/j.exger.2025.113019</t>
  </si>
  <si>
    <t>CI0TC</t>
  </si>
  <si>
    <t>41482239</t>
  </si>
  <si>
    <t>WOS:001666293800001</t>
  </si>
  <si>
    <t>Jauk, S; Kramer, D; Grossauer, B; Rienmüller, S; Avian, A; Berghold, A; Leodolter, W; Schulz, S</t>
  </si>
  <si>
    <t>Objective: Machine learning models trained on electronic health records have achieved high prognostic accuracy in test datasets, but little is known about their embedding into clinical workflows. We implemented a random forest-based algorithm to identify hospitalized patients at high risk for delirium, and evaluated its performance in a clinical setting.Materials and Methods: Delirium was predicted at admission and recalculated on the evening of admission. The defined prediction outcome was a delirium coded for the recent hospital stay. During 7 months of prospective evaluation, 5530 predictions were analyzed. In addition, 119 predictions for internal medicine patients were compared with ratings of clinical experts in a blinded and nonblinded setting.Results: During clinical application, the algorithm achieved a sensitivity of 74.1% and a specificity of 82.2%. Discrimination on prospective data (area under the receiver-operating characteristic curve = 0.86) was as good as in the test dataset, but calibration was poor. The predictions correlated strongly with delirium risk perceived by experts in the blinded (r = 0.81) and nonblinded ( r = 0.62) settings. A major advantage of our setting was the timely prediction without additional data entry.Discussion: The implemented machine learning algorithm achieved a stable performance predicting delirium in high agreement with expert ratings, but improvement of calibration is needed. Future research should evaluate the acceptance of implemented machine learning algorithms by health professionals.Conclusions: Our study provides new insights into the implementation process of a machine learning algorithm into a clinical workflow and demonstrates its predictive power for delirium.</t>
  </si>
  <si>
    <t>Jauk, Stefanie; Kramer, Diether; Grossauer, Birgit; Rienmueller, Susanne; Avian, Alexander; Berghold, Andrea; Leodolter, Werner; Schulz, Stefan</t>
  </si>
  <si>
    <t>Jauk, S (corresponding author), Med Univ Graz, Inst Med Informat Stat &amp; Documentat, Auenbruggerpl 2, A-8036 Graz, Austria.</t>
  </si>
  <si>
    <t>stefanie.jauk@kages.at</t>
  </si>
  <si>
    <t>PhD project of the K1 COMET Competence Centre CBmed; Federal Ministry of Transport, Innovation and Technology; Federal Ministry of Science, Research and Economy; Land Steiermark (Department 12, Business and Innovation); Styrian Business Promotion Agency; Vienna Business Agency</t>
  </si>
  <si>
    <t>SJ was partly financed by a PhD project of the K1 COMET Competence Centre CBmed. CBmed is funded by the Federal Ministry of Transport, Innovation and Technology; the Federal Ministry of Science, Research and Economy; Land Steiermark (Department 12, Business and Innovation); the Styrian Business Promotion Agency; and the Vienna Business Agency. The COMET program is executed by the Austrian Research Promotion Agency (FFG). KAGes and SAP SE provided significant resources, manpower, and data as basis for research and innovation for this project.</t>
  </si>
  <si>
    <t>[Jauk, Stefanie; Kramer, Diether; Leodolter, Werner] Steiermark Krankenanstaltengesell mbH KAGes, Dept Informat &amp; Proc Management, Graz, Austria; [Jauk, Stefanie; Avian, Alexander; Berghold, Andrea; Schulz, Stefan] Med Univ Graz, Inst Med Informat Stat &amp; Documentat, Auenbruggerpl 2, A-8036 Graz, Austria; [Grossauer, Birgit; Rienmueller, Susanne] Steiermark Krankenanstaltengesell mbH KAGes LKH G, Dept Internal Med, Graz, Austria</t>
  </si>
  <si>
    <t>Risk prediction of delirium in hospitalized patients using machine learning: An implementation and prospective evaluation study</t>
  </si>
  <si>
    <t>Machine learning; prospective studies; delirium; electronic health records; clinical decision support</t>
  </si>
  <si>
    <t>BIG DATA; MODELS; ANALYTICS</t>
  </si>
  <si>
    <t>Avian, Alexander/0000-0003-1084-5763; Jauk, Stefanie/0000-0003-1287-594X</t>
  </si>
  <si>
    <t>1383</t>
  </si>
  <si>
    <t>1392</t>
  </si>
  <si>
    <t>10.1093/jamia/ocaa113</t>
  </si>
  <si>
    <t>http://dx.doi.org/10.1093/jamia/ocaa113</t>
  </si>
  <si>
    <t>OW8ER</t>
  </si>
  <si>
    <t>32968811</t>
  </si>
  <si>
    <t>WOS:000593113300007</t>
  </si>
  <si>
    <t>Zhao, MY; Zhou, QY; Zhang, Q; Wang, LK; Wang, PP; Qin, Y; Chen, JJ; Liu, MT; Wanyan, T; Sun, CQ</t>
  </si>
  <si>
    <t>Objective: To develop and externally validate an interpretable machine learning model for predicting 7-day stroke-associated pneumonia (SAP) using routine clinical data collected within 24 h of admission. Methods: This multicenter study utilized a development cohort from the Henan Stroke Cohort and an independent external validation cohort from three Zhengzhou hospitals. Adult patients with imaging-confirmed ischemic or hemorrhagic stroke were eligible. Patients with infection at admission or who developed SAP within 24 h of admission were excluded. We evaluated 26 candidate predictors obtained within 24 h of admission. Nine machine learning algorithms were trained following recursive feature elimination. Model performance was evaluated based on discrimination, calibration, and clinical utility. The optimal model was interpreted using SHapley Additive exPlanations (SHAP) and deployed as an online calculator. Results: The development and external validation cohorts comprised 1201 and 645 patients, with 7-day SAP incidences of 20.6 % (n = 247) and 24.8 % (n = 160), respectively. Among the nine algorithms, stochastic gradient boosting (SGBT) demonstrated the most balanced overall performance. In internal validation, SGBT achieved an area under the receiver operating characteristic curve (AUC) of 0.947 in the training set and 0.905 in the test set. In external validation, the model yielded an AUC of 0.906, alongside an accuracy of 0.864, sensitivity of 0.712, specificity of 0.918, positive predictive value (PPV) of 0.756, negative predictive value (NPV) of 0.899, and F1-score of 0.733. The final model retained 10 predictors: stroke subtype, fibrinogen, D-dimer, C-reactive protein, uric acid, triglycerides, homocysteine, and clinical scores (ADL, GCS, NIHSS). SHAP analysis identified early neurological impairment and inflammatory burden as the primary contributors to SAP prediction. Conclusion: An interpretable SGBT model utilizing routine admission data accurately predicted 7-day SAP and remained robust during external validation. The accompanying online calculator facilitates individualized risk estimation to support early preventive decision-making in hospitalized patients with stroke.</t>
  </si>
  <si>
    <t>Zhao, Mingyang; Zhou, Qianyu; Zhang, Qiang; Wang, Lianke; Wang, Panpan; Qin, Ying; Chen, Jiajun; Liu, Mengting; Wanyan, Tong; Sun, Changqing</t>
  </si>
  <si>
    <t>Sun, CQ (corresponding author), Zhengzhou Univ, Coll Publ Hlth, Zhengzhou 450001, Henan, Peoples R China.</t>
  </si>
  <si>
    <t>zzugwsy@163.com</t>
  </si>
  <si>
    <t>National Social Science Fund of China [25BRK002]; Henan Provincial Science and Technology Research Project [242102311135]; Henan Provincial Key Research and Development and Promotion Program [252102311151]; The 2023 Zhongyuan Talent Program [33220063]</t>
  </si>
  <si>
    <t>National Social Science Fund of China (National Social Science Fund of China (NSSFC)); Henan Provincial Science and Technology Research Project; Henan Provincial Key Research and Development and Promotion Program; The 2023 Zhongyuan Talent Program</t>
  </si>
  <si>
    <t>This work was supported by the National Social Science Fund of China [Grant No. 25BRK002], the Henan Provincial Science and Technology Research Project [Grant No. 242102311135], the Henan Provincial Key Research and Development and Promotion Program [Grant No. 252102311151], and the 2023 Zhongyuan Talent Program [Grant No. 33220063]. The funders had no role in study design; in the collection, analysis, or interpretation of data; in the writing of the report; or in the decision to submit the article for publication.</t>
  </si>
  <si>
    <t>[Zhao, Mingyang; Zhou, Qianyu; Wanyan, Tong; Sun, Changqing] Zhengzhou Univ, Coll Publ Hlth, Zhengzhou 450001, Henan, Peoples R China; [Zhang, Qiang; Wang, Lianke; Wang, Panpan; Qin, Ying; Liu, Mengting; Sun, Changqing] Zhengzhou Univ, Sch Nursing &amp; Hlth, Zhengzhou 450001, Henan, Peoples R China; [Chen, Jiajun] Zhengzhou Univ, Affiliated Hosp 1, Zhengzhou 450000, Henan, Peoples R China</t>
  </si>
  <si>
    <t>Zhengzhou University; Zhengzhou University; Zhengzhou University</t>
  </si>
  <si>
    <t>Development and external validation of an interpretable machine learning model for early prediction of stroke-associated pneumonia: a multicenter study</t>
  </si>
  <si>
    <t>Stroke-associated pneumonia; Stroke; Machine learning; Prediction model; External validation; Clinical decision support</t>
  </si>
  <si>
    <t>106543</t>
  </si>
  <si>
    <t>10.1016/j.ijmedinf.2026.106543</t>
  </si>
  <si>
    <t>http://dx.doi.org/10.1016/j.ijmedinf.2026.106543</t>
  </si>
  <si>
    <t>KG0CK</t>
  </si>
  <si>
    <t>42320081</t>
  </si>
  <si>
    <t>WOS:001806065800001</t>
  </si>
  <si>
    <t>Ueda, D; Yamamoto, A; Shimazaki, A; Walston, SL; Matsumoto, T; Izumi, N; Tsukioka, T; Komatsu, H; Inoue, H; Kabata, D; Nishiyama, N; Miki, Y</t>
  </si>
  <si>
    <t>Background We investigated the performance improvement of physicians with varying levels of chest radiology experience when using a commercially available artificial intelligence (AI)-based computer-assisted detection (CAD) software to detect lung cancer nodules on chest radiographs from multiple vendors. Methods Chest radiographs and their corresponding chest CT were retrospectively collected from one institution between July 2017 and June 2018. Two author radiologists annotated pathologically proven lung cancer nodules on the chest radiographs while referencing CT. Eighteen readers (nine general physicians and nine radiologists) from nine institutions interpreted the chest radiographs. The readers interpreted the radiographs alone and then reinterpreted them referencing the CAD output. Suspected nodules were enclosed with a bounding box. These bounding boxes were judged correct if there was significant overlap with the ground truth, specifically, if the intersection over union was 0.3 or higher. The sensitivity, specificity, accuracy, PPV, and NPV of the readers' assessments were calculated. Results In total, 312 chest radiographs were collected as a test dataset, including 59 malignant images (59 nodules of lung cancer) and 253 normal images. The model provided a modest boost to the reader's sensitivity, particularly helping general physicians. The performance of general physicians was improved from 0.47 to 0.60 for sensitivity, from 0.96 to 0.97 for specificity, from 0.87 to 0.90 for accuracy, from 0.75 to 0.82 for PPV, and from 0.89 to 0.91 for NPV while the performance of radiologists was improved from 0.51 to 0.60 for sensitivity, from 0.96 to 0.96 for specificity, from 0.87 to 0.90 for accuracy, from 0.76 to 0.80 for PPV, and from 0.89 to 0.91 for NPV. The overall increase in the ratios of sensitivity, specificity, accuracy, PPV, and NPV were 1.22 (1.14-1.30), 1.00 (1.00-1.01), 1.03 (1.02-1.04), 1.07 (1.03-1.11), and 1.02 (1.01-1.03) by using the CAD, respectively. Conclusion The AI-based CAD was able to improve the ability of physicians to detect nodules of lung cancer in chest radiographs. The use of a CAD model can indicate regions physicians may have overlooked during their initial assessment.</t>
  </si>
  <si>
    <t>Ueda, Daiju; Yamamoto, Akira; Shimazaki, Akitoshi; Walston, Shannon Leigh; Matsumoto, Toshimasa; Izumi, Nobuhiro; Tsukioka, Takuma; Komatsu, Hiroaki; Inoue, Hidetoshi; Kabata, Daijiro; Nishiyama, Noritoshi; Miki, Yukio</t>
  </si>
  <si>
    <t>Ueda, D (corresponding author), Osaka City Univ, Grad Sch Med, Dept Diagnost &amp; Intervent Radiol, Osaka, Japan.</t>
  </si>
  <si>
    <t>ai.labo.ocu@gmail.com</t>
  </si>
  <si>
    <t>[Ueda, Daiju; Yamamoto, Akira; Shimazaki, Akitoshi; Walston, Shannon Leigh; Matsumoto, Toshimasa; Miki, Yukio] Osaka City Univ, Grad Sch Med, Dept Diagnost &amp; Intervent Radiol, Osaka, Japan; [Izumi, Nobuhiro; Tsukioka, Takuma; Komatsu, Hiroaki; Inoue, Hidetoshi; Nishiyama, Noritoshi] Osaka City Univ, Grad Sch Med, Dept Surg, Osaka, Japan; [Kabata, Daijiro] Osaka City Univ, Grad Sch Med, Dept Med Stat, Osaka, Japan</t>
  </si>
  <si>
    <t>Osaka Metropolitan University; Osaka Metropolitan University; Osaka Metropolitan University</t>
  </si>
  <si>
    <t>Artificial intelligence-supported lung cancer detection by multi-institutional readers with multi-vendor chest radiographs: a retrospective clinical validation study</t>
  </si>
  <si>
    <t>Model validation; Chest radiography; Lung Cancer; Artificial intelligence; Deep learning; Computer-assisted detection</t>
  </si>
  <si>
    <t>COMPUTER-AIDED DIAGNOSIS; LONGITUDINAL DATA-ANALYSIS; NODULE ANALYSIS SYSTEM; DIGITAL RADIOGRAPHY; PULMONARY NODULES; SENSITIVITY</t>
  </si>
  <si>
    <t>Miki, Yukio/AAY-2146-2020; Yamamoto, Akira/AAI-6963-2021; 太郎, 呼外/HJA-0282-2022; Kabata, Daijiro/JIU-0585-2023; Walston, Shannon/GQP-8928-2022; Ueda, Daiju/AAG-2167-2021</t>
  </si>
  <si>
    <t>Miki, Yukio/0000-0003-0621-0044; Walston, Shannon/0000-0002-7268-8313; Matsumoto, Toshimasa/0000-0002-8527-1795; Ueda, Daiju/0000-0002-3878-3616</t>
  </si>
  <si>
    <t>OCT 18 2021</t>
  </si>
  <si>
    <t>1120</t>
  </si>
  <si>
    <t>10.1186/s12885-021-08847-9</t>
  </si>
  <si>
    <t>http://dx.doi.org/10.1186/s12885-021-08847-9</t>
  </si>
  <si>
    <t>WI6TK</t>
  </si>
  <si>
    <t>34663260</t>
  </si>
  <si>
    <t>WOS:000708490200009</t>
  </si>
  <si>
    <t>Zhu, GF; Yi, Q; Xu, R; Xie, Y; Song, YP; Wang, XC; Huang, L; Xiang, Y</t>
  </si>
  <si>
    <t>Background: Significant liver fibrosis is often clinically silent but predicts adverse outcomes. We developed and externally validated an interpretable machine-learning (ML) framework using readily obtainable demographic, anthropometric, and clinical variables for population-level pre-screening of significant liver fibrosis. Methods: We included 9424 European participants from the UK Biobank, of whom 1678 were classified as high risk using the Fibrosis-4 Index (FIB-4) &gt;= 1.45 or NAFLD Fibrosis Score (NFS) &gt;= -1.455. Ten ML algorithms were trained and internally evaluated using a stratified training, validation, and test design. XGBoost was further validated in the 2017-2023 National Health and Nutrition Examination Survey (NHANES; n = 15,270) and an independent real-world cohort (n = 694), in which significant fibrosis was defined as liver stiffness measurement &gt;= 8.0 kPa. Discrimination was assessed by the area under the receiver operating characteristic curve (AUC), interpretability by Shapley additive explanations and local interpretable model-agnostic explanations, and prognostic relevance by all-cause mortality. Results: XGBoost achieved AUCs of 0.818 (95% CI, 0.796-0.841) and 0.816 (95% CI, 0.786-0.846) in the internal validation and test cohorts, respectively. In external validation, AUCs were 0.746 (95% CI, 0.735-0.757) in NHANES and 0.793 (95% CI, 0.750-0.836) in the real-world cohort. Interpretation analyses highlighted weight, age, height, hypertension, and waist circumference, with consistent support for anthropometric predictors. Model-defined high-risk status was associated with higher all-cause mortality (log-rank P &lt; 0.001) and remained independently associated with mortality in the internal validation and test cohorts. Conclusion: This XGBoost model, based on readily accessible demographic and clinical variables, shows good potential for accurately identifying individuals at high risk of significant liver fibrosis in primary care settings. This approach serves as a valuable tool for improving early detection strategies and facilitating timely interventions for significant liver fibrosis.</t>
  </si>
  <si>
    <t>Zhu, Gangfeng; Yi, Qiang; Xu, Rui; Xie, Yi; Song, Yipeng; Wang, Xiangcai; Huang, Li; Xiang, Yi</t>
  </si>
  <si>
    <t>Xiang, Y (corresponding author), Gannan Med Univ, Affiliated Hosp 1, Jiangxi Clin Res Ctr Canc, Dept Oncol, Ganzhou 341000, Jiangxi, Peoples R China.</t>
  </si>
  <si>
    <t>xiangyi_xiangyi@126.com</t>
  </si>
  <si>
    <t>Basic Research Fund [QD095]; First Affiliated Hospital of Gannan Medical University [QD095]; Jinhua Science and Technology Projects [2024-[4]- 097]</t>
  </si>
  <si>
    <t>Basic Research Fund; First Affiliated Hospital of Gannan Medical University; Jinhua Science and Technology Projects</t>
  </si>
  <si>
    <t>The Basic Research Fund, First Affiliated Hospital of Gannan Medical University (QD095); Jinhua Science and Technology Projects (2024-[4]- 097).</t>
  </si>
  <si>
    <t>[Zhu, Gangfeng; Yi, Qiang; Xie, Yi; Song, Yipeng] Gannan Med Univ, Clin Med Coll 1, Ganzhou 341000, Jiangxi, Peoples R China; [Xu, Rui] Zhejiang Univ, Affiliated Jinhua Hosp, Dept Rehabil Med, Sch Med, Jinhua 321000, Zhejiang, Peoples R China; [Wang, Xiangcai; Huang, Li; Xiang, Yi] Gannan Med Univ, Affiliated Hosp 1, Jiangxi Clin Res Ctr Canc, Dept Oncol, Ganzhou 341000, Jiangxi, Peoples R China</t>
  </si>
  <si>
    <t>Gannan Medical University; Zhejiang University; Gannan Medical University</t>
  </si>
  <si>
    <t>Explainable machine learning models predict liver fibrosis risk and outcome in the general population: Development and multi-cohort external validation</t>
  </si>
  <si>
    <t>Significant liver fibrosis; Machine learning; Risk stratification; Demographic and clinical characteristics; Non-invasive screening</t>
  </si>
  <si>
    <t>STRATIFICATION; MANAGEMENT; DISEASE</t>
  </si>
  <si>
    <t>285</t>
  </si>
  <si>
    <t>109533</t>
  </si>
  <si>
    <t>10.1016/j.cmpb.2026.109533</t>
  </si>
  <si>
    <t>http://dx.doi.org/10.1016/j.cmpb.2026.109533</t>
  </si>
  <si>
    <t>KQ9MT</t>
  </si>
  <si>
    <t>42365707</t>
  </si>
  <si>
    <t>WOS:001813490600001</t>
  </si>
  <si>
    <t>Cheun, H; Ahn, JH; Park, JW; Ko, SH; Shim, JK; Lee, H; Cho, YJ; Nam, K; Ju, JW; Chung, J; Kim, IJ; Lee, HC; Jeon, Y</t>
  </si>
  <si>
    <t>Background Patients undergoing cardiac surgery are at high risk of severe immediate postoperative complications. Predicting immediate postoperative adverse events remains challenging owing to the complex and nonlinear interplay of numerous risk factors. This study aimed to develop and externally validate a machine-learning (ML) model to predict critical outcomes during the immediate postoperative period after cardiac surgery. Methods Adult patients who underwent cardiac surgery at Seoul National University Hospital (SNUH) between October 2004 and October 2021 were included for model development and internal validation. Thirty-seven preoperative and intraoperative variables were used as model inputs. The primary outcome was a composite of reoperation for bleeding, death, cardiac arrest, and initiation of mechanical circulatory support with extracorporeal membrane oxygenation (ECMO) or intra-aortic balloon pump (IABP) within 24 h after surgery. An extreme gradient boosting (XGBoost) model was developed as the primary model and compared with a least absolute shrinkage and selection operator (LASSO) regularized logistic regression model. An equal-weighted ensemble of the two models was additionally constructed. Model performance was assessed using the area under the receiver operating characteristic curve (AUROC) with 95% confidence intervals (CIs), and pairwise comparisons were performed using DeLong's test. For external validation, we analyzed data from Seoul National University Bundang Hospital (SNUBH) and Severance Hospital. Results A total of 7,946 patients from SNUH were used for model development, with external validation performed in 2,270 patients from SNUBH and 1,966 patients from Severance Hospital. The incidence of the composite outcome was 5.93%, 1.37%, and 2.49% at SNUH, SNUBH, and Severance Hospital, respectively. The XGBoost model achieved an AUROC of 0.804 (95% CI, 0.707-0.891) in internal validation, and 0.735 (95% CI, 0.636-0.829) and 0.712 (95% CI, 0.630-0.795) in external validations at SNUBH and Severance Hospital, respectively. The XGBoost model demonstrated the highest discrimination in internal validation among the XGBoost, LASSO and ensemble models; however, no statistically significant differences were observed among the three models in external validation. Conclusions The proposed ML model demonstrated acceptable discrimination in internal validation and maintained baseline discriminative capacity across two independent external cohorts in predicting severe immediate postoperative complications after cardiac surgery. However, precision-oriented metrics declined substantially in external settings, largely attributable to lower event rates, underscoring the need for institution-specific recalibration prior to clinical implementation.</t>
  </si>
  <si>
    <t>Cheun, Hyeon; Ahn, Jang Ho; Park, Jin-Woo; Ko, Seo Hee; Shim, Jae-Kwang; Lee, Hyeonhoon; Cho, Youn Joung; Nam, Karam; Ju, Jae-Woo; Chung, Jaeyeon; Kim, In Jung; Lee, Hyung-Chul; Jeon, Yunseok</t>
  </si>
  <si>
    <t>Lee, HC; Jeon, Y (corresponding author), Seoul Natl Univ Hosp, Dept Anesthesiol &amp; Pain Med, Seoul, South Korea.; Lee, HC; Jeon, Y (corresponding author), Seoul Natl Univ, Coll Med, Dept Anesthesiol &amp; Pain Med, Seoul Natl Univ Hosp, Daehak Ro 101, Seoul 03080, South Korea.; Lee, HC (corresponding author), Seoul Natl Univ Hosp, Healthcare AI Res Inst, Seoul, South Korea.</t>
  </si>
  <si>
    <t>jeonyunseok@gmail.com; vital@snu.ac.kr</t>
  </si>
  <si>
    <t>Boston-Korea Innovative Research Project through the Korea Health Industry Development Institute (KHIDI) - Ministry of Health &amp; Welfare, Republic of Korea [RS-2024-00403047]; NTIS [2460003034]</t>
  </si>
  <si>
    <t>Boston-Korea Innovative Research Project through the Korea Health Industry Development Institute (KHIDI) - Ministry of Health &amp; Welfare, Republic of Korea; NTIS</t>
  </si>
  <si>
    <t>This research was supported by a grant of the Boston-Korea Innovative Research Project through the Korea Health Industry Development Institute (KHIDI), funded by the Ministry of Health &amp; Welfare, Republic of Korea (grant no. : RS-2024-00403047, NTIS No. : 2460003034). The funding sources and sponsors had no role in the current study design; in the collection, analysis, and interpretation of data; in the writing of this paper; and in the decision to submit the paper for publication.</t>
  </si>
  <si>
    <t>[Cheun, Hyeon; Cho, Youn Joung; Nam, Karam; Ju, Jae-Woo; Chung, Jaeyeon; Kim, In Jung; Lee, Hyung-Chul; Jeon, Yunseok] Seoul Natl Univ Hosp, Dept Anesthesiol &amp; Pain Med, Seoul, South Korea; [Cho, Youn Joung; Nam, Karam; Ju, Jae-Woo; Lee, Hyung-Chul; Jeon, Yunseok] Seoul Natl Univ, Coll Med, Dept Anesthesiol &amp; Pain Med, Seoul Natl Univ Hosp, Daehak Ro 101, Seoul 03080, South Korea; [Ahn, Jang Ho] Seoul Natl Univ Hosp, Dept Rehabil Med, Seoul, South Korea; [Lee, Hyeonhoon; Lee, Hyung-Chul] Seoul Natl Univ Hosp, Healthcare AI Res Inst, Seoul, South Korea; [Park, Jin-Woo] Seoul Natl Univ, Dept Anesthesiol &amp; Pain Med, Bundang Hosp, Seongnam, South Korea; [Ko, Seo Hee; Shim, Jae-Kwang] Yonsei Univ, Coll Med, Dept Anesthesiol &amp; Pain Med, Seoul, South Korea; [Ko, Seo Hee; Shim, Jae-Kwang] Yonsei Univ, Anesthesia &amp; Pain Res Inst, Coll Med, Seoul, South Korea; [Lee, Hyeonhoon] Seoul Natl Univ Hosp, Dept Transdisciplinary Med, Seoul, South Korea; [Lee, Hyeonhoon] Seoul Natl Univ, Dept Med, Coll Med, Seoul, South Korea</t>
  </si>
  <si>
    <t>Seoul National University (SNU); Seoul National University Hospital; Seoul National University (SNU); Seoul National University Hospital; Seoul National University (SNU); Seoul National University Hospital; Seoul National University (SNU); Seoul National University Hospital; Seoul National University (SNU); Seoul National University Hospital; Yonsei University; Yonsei University Health System; Yonsei University; Yonsei University Health System; Seoul National University (SNU); Seoul National University Hospital; Seoul National University (SNU)</t>
  </si>
  <si>
    <t>Development and external validation of a machine learning model for predicting severe immediate postoperative complications in adults undergoing cardiac surgery</t>
  </si>
  <si>
    <t>BMC ANESTHESIOLOGY</t>
  </si>
  <si>
    <t>Cardiac surgery; Machine learning; Postoperative complications; Predictive model; External validation</t>
  </si>
  <si>
    <t>CARDIOPULMONARY BYPASS; RISK MODELS; MORTALITY; ASSOCIATION; DATABASE; SOCIETY; CURVE</t>
  </si>
  <si>
    <t>이, 현훈/AFY-5192-2022</t>
  </si>
  <si>
    <t>Ko, Seo Hee/0000-0001-8402-5624</t>
  </si>
  <si>
    <t>1471-2253</t>
  </si>
  <si>
    <t>BMC ANESTHESIOL</t>
  </si>
  <si>
    <t>BMC Anesthesiol.</t>
  </si>
  <si>
    <t>APR 17 2026</t>
  </si>
  <si>
    <t>334</t>
  </si>
  <si>
    <t>10.1186/s12871-026-03841-9</t>
  </si>
  <si>
    <t>http://dx.doi.org/10.1186/s12871-026-03841-9</t>
  </si>
  <si>
    <t>IS5MC</t>
  </si>
  <si>
    <t>41998495</t>
  </si>
  <si>
    <t>WOS:001779299200001</t>
  </si>
  <si>
    <t>Olaisen, S; Smistad, E; Espeland, T; Hu, JY; Pasdeloup, D; Ostvik, A; Aakhus, S; Rösner, A; Malm, S; Stylidis, M; Holte, E; Grenne, B; Lovstakken, L; Dalen, H</t>
  </si>
  <si>
    <t>Aims Echocardiography is a cornerstone in cardiac imaging, and left ventricular (LV) ejection fraction (EF) is a key parameter for patient management. Recent advances in artificial intelligence (AI) have enabled fully automatic measurements of LV volumes and EF both during scanning and in stored recordings. The aim of this study was to evaluate the impact of implementing AI measurements on acquisition and processing time and test-retest reproducibility compared with standard clinical workflow, as well as to study the agreement with reference in large internal and external databases.Methods and results Fully automatic measurements of LV volumes and EF by a novel AI software were compared with manual measurements in the following clinical scenarios: (i) in real time use during scanning of 50 consecutive patients, (ii) in 40 subjects with repeated echocardiographic examinations and manual measurements by 4 readers, and (iii) in large internal and external research databases of 1881 and 849 subjects, respectively. Real-time AI measurements significantly reduced the total acquisition and processing time by 77% (median 5.3 min, P &lt; 0.001) compared with standard clinical workflow. Test-retest reproducibility of AI measurements was superior in inter-observer scenarios and non-inferior in intra-observer scenarios. AI measurements showed good agreement with reference measurements both in real time and in large research databases.Conclusion The software reduced the time taken to perform and volumetrically analyse routine echocardiograms without a decrease in accuracy compared with experts.</t>
  </si>
  <si>
    <t>Olaisen, Sindre; Smistad, Erik; Espeland, Torvald; Hu, Jieyu; Pasdeloup, David; Ostvik, Andreas; Aakhus, Svend; Roesner, Assami; Malm, Siri; Stylidis, Michael; Holte, Espen; Grenne, Bjornar; Lovstakken, Lasse; Dalen, Havard</t>
  </si>
  <si>
    <t>Dalen, H (corresponding author), Norwegian Univ Sci &amp; Technol, Ctr Innovat Ultrasound Solut, Dept Circulat &amp; Med Imaging, Prinsesse Kristinas Gate 3, N-7030 Trondheim, Norway.; Dalen, H (corresponding author), Trondheim Reg &amp; Univ Hosp, St Olavs Hosp, Clin Cardiol, Prinsesse Kristinas Gate 3, N-7030 Trondheim, Norway.; Dalen, H (corresponding author), Levanger Hosp, Nord Trondelag Hosp Trust, Dept Med, Kirkegata 2, N-7600 Levanger, Norway.</t>
  </si>
  <si>
    <t>havard.dalen@ntnu.no</t>
  </si>
  <si>
    <t>The HUNT Study is a collaboration between the HUNT Research Centre, Nord-Trndelag County Council, Central Norway Health Authority, and the Norwegian Institute of Public Health.; Central Norway Health Authority; Norwegian Institute of Public Health</t>
  </si>
  <si>
    <t>The HUNT Study is a collaboration between the HUNT Research Centre, Nord-Tr &amp; oslash;ndelag County Council, Central Norway Health Authority, and the Norwegian Institute of Public Health.</t>
  </si>
  <si>
    <t>[Olaisen, Sindre; Smistad, Erik; Espeland, Torvald; Hu, Jieyu; Pasdeloup, David; Ostvik, Andreas; Aakhus, Svend; Holte, Espen; Grenne, Bjornar; Lovstakken, Lasse; Dalen, Havard] Norwegian Univ Sci &amp; Technol, Ctr Innovat Ultrasound Solut, Dept Circulat &amp; Med Imaging, Prinsesse Kristinas Gate 3, N-7030 Trondheim, Norway; [Smistad, Erik; Ostvik, Andreas] SINTEF Digital, Med Image Anal, Hlth Res, Trondheim, Norway; [Espeland, Torvald; Aakhus, Svend; Holte, Espen; Grenne, Bjornar; Dalen, Havard] Trondheim Reg &amp; Univ Hosp, St Olavs Hosp, Clin Cardiol, Prinsesse Kristinas Gate 3, N-7030 Trondheim, Norway; [Roesner, Assami; Stylidis, Michael] Univ Hosp North Norway, Dept Cardiol, Tromso, Norway; [Roesner, Assami; Malm, Siri] Arctic Univ Norway, UiT, Inst Clin Med, Tromso, Norway; [Malm, Siri] Univ Hosp North Norway, UNN Harstad, Dept Cardiol, Tromso, Norway; [Stylidis, Michael] Arctic Univ Norway, Dept Community Med, UiT, Tromso, Norway; [Dalen, Havard] Levanger Hosp, Nord Trondelag Hosp Trust, Dept Med, Kirkegata 2, N-7600 Levanger, Norway</t>
  </si>
  <si>
    <t>Norwegian University of Science &amp; Technology (NTNU); SINTEF; Norwegian University of Science &amp; Technology (NTNU); UiT The Arctic University of Tromso; University Hospital of North Norway; UiT The Arctic University of Tromso; UiT The Arctic University of Tromso; University Hospital of North Norway; UiT The Arctic University of Tromso</t>
  </si>
  <si>
    <t>Automatic measurements of left ventricular volumes and ejection fraction by artificial intelligence: clinical validation in real time and large databases</t>
  </si>
  <si>
    <t>EUROPEAN HEART JOURNAL-CARDIOVASCULAR IMAGING</t>
  </si>
  <si>
    <t>echocardiography; systolic function; deep learning; machine learning; reproducibility; observer variability</t>
  </si>
  <si>
    <t>ECHOCARDIOGRAPHY; REPRODUCIBILITY; QUANTIFICATION; ADULTS</t>
  </si>
  <si>
    <t>Dalen, Havard/A-8087-2018; Holte, Espen/AAE-5586-2021; Østvik, Andreas/AAM-6523-2020; Grenne, Bjornar/N-7182-2015</t>
  </si>
  <si>
    <t>Espeland, Torvald/0000-0002-9243-0176; Dalen, Havard/0000-0003-1192-3663; Olaisen, Sine Hellum/0009-0005-7931-4145; Holte, Espen/0000-0002-8891-1372; Smistad, Erik/0000-0002-7258-4709; Pasdeloup, David/0000-0002-0160-1268; Lovstakken, Lasse/0000-0003-2474-9588</t>
  </si>
  <si>
    <t>2047-2404</t>
  </si>
  <si>
    <t>2047-2412</t>
  </si>
  <si>
    <t>EUR HEART J-CARD IMG</t>
  </si>
  <si>
    <t>Eur. Heart J.-Cardiovasc. Imaging</t>
  </si>
  <si>
    <t>FEB 22 2024</t>
  </si>
  <si>
    <t>383</t>
  </si>
  <si>
    <t>395</t>
  </si>
  <si>
    <t>10.1093/ehjci/jead280</t>
  </si>
  <si>
    <t>http://dx.doi.org/10.1093/ehjci/jead280</t>
  </si>
  <si>
    <t>IQ5L9</t>
  </si>
  <si>
    <t>37883712</t>
  </si>
  <si>
    <t>WOS:001105148400001</t>
  </si>
  <si>
    <t>Lee, KC; Choi, IC; Kang, CH; Ahn, KS; Yoon, H; Lee, JJ; Kim, BH; Shim, E</t>
  </si>
  <si>
    <t>This study aimed to assess the feasibility and performance of an artificial intelligence (AI) model for detecting three common wrist fractures: distal radius, ulnar styloid process, and scaphoid. The AI model was trained with a dataset of 4432 images containing both fractured and non-fractured wrist images. In total, 593 subjects were included in the clinical test. Two human experts independently diagnosed and labeled the fracture sites using bounding boxes to build the ground truth. Two novice radiologists also performed the same task, both with and without model assistance. The sensitivity, specificity, accuracy, and area under the curve (AUC) were calculated for each wrist location. The AUC for detecting distal radius, ulnar styloid, and scaphoid fractures per wrist were 0.903 (95% C.I. 0.887-0.918), 0.925 (95% C.I. 0.911-0.939), and 0.808 (95% C.I. 0.748-0.967), respectively. When assisted by the AI model, the scaphoid fracture AUC of the two novice radiologists significantly increased from 0.75 (95% C.I. 0.66-0.83) to 0.85 (95% C.I. 0.77-0.93) and from 0.71 (95% C.I. 0.62-0.80) to 0.80 (95% C.I. 0.71-0.88), respectively. Overall, the developed AI model was found to be reliable for detecting wrist fractures, particularly for scaphoid fractures, which are commonly missed.</t>
  </si>
  <si>
    <t>Lee, Kyu-Chong; Choi, In Cheul; Kang, Chang Ho; Ahn, Kyung-Sik; Yoon, Heewon; Lee, Jae-Joon; Kim, Baek Hyun; Shim, Euddeum</t>
  </si>
  <si>
    <t>Kang, CH (corresponding author), Korea Univ Ansan Hosp, Dept Radiol, Seoul 02841, South Korea.</t>
  </si>
  <si>
    <t>mallecot@gmail.com</t>
  </si>
  <si>
    <t>[Lee, Kyu-Chong; Kang, Chang Ho; Ahn, Kyung-Sik; Yoon, Heewon] Korea Univ Ansan Hosp, Dept Radiol, Seoul 02841, South Korea; [Choi, In Cheul] Korea Univ Ansan Hosp, Dept Orthoped Surg, Seoul 02841, South Korea; [Lee, Jae-Joon] Crescom Inc, Seongnam 13493, South Korea; [Kim, Baek Hyun; Shim, Euddeum] Korea Univ Ansan Hosp, Dept Radiol, Ansan 15355, South Korea</t>
  </si>
  <si>
    <t>Korea University; Korea University Medicine (KU Medicine)</t>
  </si>
  <si>
    <t>Clinical Validation of an Artificial Intelligence Model for Detecting Distal Radius, Ulnar Styloid, and Scaphoid Fractures on Conventional Wrist Radiographs</t>
  </si>
  <si>
    <t>artificial intelligence; convolutional neural network; distal radius fracture; ulnar styloid fracture; scaphoid fracture</t>
  </si>
  <si>
    <t>FAT STRIPE; DIAGNOSIS; PAR</t>
  </si>
  <si>
    <t>Lee, Kyu-chong/IAM-2743-2023; Ahn, Kyung-Sik/AAZ-1654-2020</t>
  </si>
  <si>
    <t>Shim, Euddeum/0000-0002-0983-0209; Kang, Chang Ho/0000-0003-2385-7245; Lee, Kyu-chong/0000-0002-4518-8567; Ahn, Kyung-Sik/0000-0001-9354-5699</t>
  </si>
  <si>
    <t>MAY 8 2023</t>
  </si>
  <si>
    <t>1657</t>
  </si>
  <si>
    <t>10.3390/diagnostics13091657</t>
  </si>
  <si>
    <t>http://dx.doi.org/10.3390/diagnostics13091657</t>
  </si>
  <si>
    <t>G1NK1</t>
  </si>
  <si>
    <t>37175048</t>
  </si>
  <si>
    <t>WOS:000986905600001</t>
  </si>
  <si>
    <t>Maconi, G; Cassella, DG; Natalello, G; Marra, A; Cataletti, G; Anand, PK</t>
  </si>
  <si>
    <t>Purpose Intestinal ultrasound (IUS) is used to assess and monitor inflammatory bowel disease (IBD). Bowel wall thickness (BWT) is its key marker, but accurate measurement is operator-dependent and requires expertise. Artificial intelligence (AI) may reduce variability and support IUS implementation. We developed and validated an AI model to detect bowel wall layers and measure BWT. Materials and Methods We developed a deep learning system (BowelAssist, BA) based on a pretrained convolutional neural network. A dataset of 9000 images (711 patients, 421 IBD) was used for training (80%), validation (10%), and testing (10%). Ground-truth annotations of bowel wall layers for 3000 segments were provided by an expert sonographer. External validation was performed live in 35 patients (67 bowel segments), with additional blinded evaluation by a trained operator in 19 (30 segments). BA performance, including BWT measurement, wall-layer recognition, and intra-and inter-observer agreement, was compared with manual measurements using Pearson's correlation and Bland-Altman analysis. Results BA analysis was feasible in 94.7% of measurements. It showed excellent agreement with manual BWT measurements (r=0.88 for cross-sectional and r=0.77 for longitudinal scans), and low mean absolute errors (&lt;0.45mm). The sensitivity and specificity for detecting pathological BWT were 83.6% and 95.7%, respectively. The intra-observer reproducibility of BA measurements was &gt;0.90 and the inter-observer reproducibility between expert and trained operators was 0.53 for cross-sectional and 0.57 for longitudinal scans. Stratification recognition showed sensitivity of 90.1% and specificity of 83.8%. Conclusion An AI-based model provides accurate, reproducible assessment of BWT supporting its integration into clinical and research workflows for objective evaluation of IBD activity.</t>
  </si>
  <si>
    <t>Maconi, Giovanni; Cassella, Davide Giuseppe; Natalello, Gabriele; Marra, Antonella; Cataletti, Giovanni; Anand, Pradeep Kumar</t>
  </si>
  <si>
    <t>Maconi, G (corresponding author), Luigi Sacco Univ Hosp, Dept Biomed &amp; Clin Sci, Gastroenterol Unit, Via Giova Battista Grassi 74, I-20157 Milan, Lombardy, Italy.</t>
  </si>
  <si>
    <t>giovanni.maconi@unimi.it</t>
  </si>
  <si>
    <t>Samsung Medison Research Collaboration</t>
  </si>
  <si>
    <t>L.Sacco University Hospital, Milan, Italy</t>
  </si>
  <si>
    <t>[Maconi, Giovanni; Cassella, Davide Giuseppe; Natalello, Gabriele; Cataletti, Giovanni] Luigi Sacco Univ Hosp, Dept Biomed &amp; Clin Sci, Gastroenterol Unit, Via Giova Battista Grassi 74, I-20157 Milan, Lombardy, Italy; [Marra, Antonella] IRCCS Osped Casa Sollievo Sofferenza, Gastroenterol, San Giovanni Rotondo, Italy; [Anand, Pradeep Kumar] Samsung Healthcare, Samsung Grp, Clin Res Grp, Seoul, South Korea</t>
  </si>
  <si>
    <t>Development and Clinical Validation of an Automated Artificial Intelligence System for Bowel Wall Thickness Assessment in Adult Inflammatory Bowel Diseases</t>
  </si>
  <si>
    <t>ULTRASCHALL IN DER MEDIZIN</t>
  </si>
  <si>
    <t>Gastrointestinal Tract; Abdomen; Physics and Technology</t>
  </si>
  <si>
    <t>GASTROINTESTINAL ULTRASOUND; EFSUMB RECOMMENDATIONS; GUIDELINES</t>
  </si>
  <si>
    <t>Anand, Pradeep/AAH-7693-2021</t>
  </si>
  <si>
    <t>Anand, Pradeep/0000-0002-2875-6753</t>
  </si>
  <si>
    <t>0172-4614</t>
  </si>
  <si>
    <t>1438-8782</t>
  </si>
  <si>
    <t>ULTRASCHALL MED</t>
  </si>
  <si>
    <t>Ultraschall Med.</t>
  </si>
  <si>
    <t>10.1055/a-2870-0924</t>
  </si>
  <si>
    <t>http://dx.doi.org/10.1055/a-2870-0924</t>
  </si>
  <si>
    <t>MM6NQ</t>
  </si>
  <si>
    <t>42097166</t>
  </si>
  <si>
    <t>WOS:001845858100001</t>
  </si>
  <si>
    <t>Bang, JY; Saftoiu, A; Udristoiu, A; Gruionu, L; Gheorghe, EC; Gruionu, G; Ramesh, J; Wilcox, CM; Varadarajulu, S</t>
  </si>
  <si>
    <t>Background Endoscopic ultrasonography (EUS) is the most sensitive modality for accurately establishing a tissue diagnosis in patients with solid pancreatic masses. However, small lesions can be challenging to detect, particularly for less experienced endosonographers. Therefore, outcomes of EUS are operator dependent. We validated the performance of novel artificial intelligence (AI)-enhanced EUS for detection of solid pancreatic lesions. Methods In this single-center, prospective, nonrandomized, comparative study, high-risk patients aged &gt;= 18 years referred for pancreatic cancer screening or with suspected (solid and cystic) pancreatic lesions owing to symptoms, radiological, or laboratory findings were evaluated in real time using AI-EUS software. The model included 32 713 EUS frames (training/testing phases) of normal, solid, and &gt;10-mm cystic pancreatic lesions from 202 patients. Clinical validation was conducted prospectively when EUS findings were evaluated concurrently in real time by two independent expert examiners, one using conventional EUS and another with AI-EUS, both blinded to the alternative assessments. The primary outcome was detection of solid pancreatic masses. Results 308 patients were evaluated (January-July 2024). AI-EUS performance was not significantly different to that of conventional EUS performed by experts (97.1% vs. 100%; risk difference 2.9%, 95%CI -1.2 to 6.8; P = 0.25). Final pathology of 105 pancreatic solid masses revealed neoplasia in 93 (88.6%) and benign lesions in 12 (11.4%). Conclusion The performance of AI-EUS was not significantly different to that of experienced endosonographers for detection and segmentation of solid pancreatic masses. By standardizing performance, AI-EUS may have the potential to optimize clinical outcomes in pancreatic cancer.</t>
  </si>
  <si>
    <t>Bang, Ji Young; Saftoiu, Adrian; Udristoiu, Anca; Gruionu, Lucian; Codruta Gheorghe, Elena; Gruionu, Gabriel; Ramesh, Jayapal; Wilcox, Charles Melbern; Varadarajulu, Shyam</t>
  </si>
  <si>
    <t>Varadarajulu, S (corresponding author), Orlando Hlth, Digest Hlth Inst, 1305 Kuhl Ave, Orlando, FL 32806 USA.</t>
  </si>
  <si>
    <t>svaradarajulu@yahoo.com</t>
  </si>
  <si>
    <t>Orlando Health Department for Strategy and Innovations [24.015.01]</t>
  </si>
  <si>
    <t>Orlando Health Department for Strategy and Innovations</t>
  </si>
  <si>
    <t>Orlando Health Department for Strategy and Innovations 24.015.01</t>
  </si>
  <si>
    <t>[Bang, Ji Young; Ramesh, Jayapal; Wilcox, Charles Melbern; Varadarajulu, Shyam] Orlando Hlth, Digest Hlth Inst, 1305 Kuhl Ave, Orlando, FL 32806 USA; [Saftoiu, Adrian; Udristoiu, Anca; Gruionu, Lucian; Codruta Gheorghe, Elena; Gruionu, Gabriel] Med Softverse SRL, Craiova, Romania; [Saftoiu, Adrian] Carol Davila Univ Med &amp; Pharm, Elias Emergency Univ Hosp, Bucharest, Romania; [Udristoiu, Anca] Univ Craiova, Fac Automat Comp &amp; Elect, Craiova, Romania; [Gruionu, Lucian] Univ Craiova, Fac Mech, Craiova, Romania; [Codruta Gheorghe, Elena] Univ Med &amp; Pharm Craiova, Fac Med, Craiova, Romania; [Gruionu, Gabriel] Indiana Univ, Krannert Cardiovasc Inst, Bloomington, IN USA</t>
  </si>
  <si>
    <t>Orlando Health; Carol Davila University of Medicine &amp; Pharmacy; University of Craiova; University of Craiova; University of Medicine &amp; Pharmacy of Craiova; Indiana University System; Indiana University Bloomington</t>
  </si>
  <si>
    <t>Prospective clinical validation of a novel artificial intelligence system for real-time detection of solid pancreatic masses during endoscopic ultrasonography</t>
  </si>
  <si>
    <t>EUS-GUIDED FNA; LEARNING-CURVE; MULTICENTER; ULTRASOUND; DIAGNOSIS; LESIONS</t>
  </si>
  <si>
    <t>GRUIONU, Lucian/F-6121-2011; Gruionu, Gabriel/C-5152-2011; Udristoiu, Anca/AAI-5875-2021; Saftoiu, Adrian/C-2792-2011</t>
  </si>
  <si>
    <t>03</t>
  </si>
  <si>
    <t>10.1055/a-2701-6530</t>
  </si>
  <si>
    <t>http://dx.doi.org/10.1055/a-2701-6530</t>
  </si>
  <si>
    <t>EB5GF</t>
  </si>
  <si>
    <t>40953587</t>
  </si>
  <si>
    <t>WOS:001608080300001</t>
  </si>
  <si>
    <t>Silvey, S; Kamath, PS; George, J; Choudhury, A; Xie, Q; Topazian, M; Mekonnen, HD; Cao, ZJ; Nagral, A; Reddy, KR; Adebayo, D; Asrani, SK; Rajoriya, N; Arrese, M; Aghayeva, S; Sharma, M; Huezo, SG; Gadano, A; Yapici, HB; Debzi, N; Shaw, J; Albhaisi, S; Hernández, JLP; Wang, YL; Peng, F; Wei, LL; Eapen, CE; Tan, HK; Fung, JY; Rajaram, R; Thanapirom, K; Adanir, H; Doyle, A; Shalimar; Su, MH; Jothimani, D; Cai, YJ; Velazquez, RM; Wang, W; Gounder, M; Gofton, C; Barutcu, S; Haktaniyan, B; Farias, AQ; Aravinthan, AD; Bera, C; Singh, S; Hayes, PC; Idilman, R; Torre, A; Alvares-da-Silva, MR; Seto, WK; Wong, F; Bush, BJ; Thacker, LR; Patel, N; Bajaj, JS</t>
  </si>
  <si>
    <t>BACKGROUND &amp; AIMS: Cirrhosis is a major global burden requiring frequent hospitalizations and has high inpatient mortality. Traditional prognostic tools focused on inpatient mortality are affected by global disparities, which impacts timely management. We aimed to deploy machine learning (ML) approaches to enhance inpatient mortality prognostication. METHODS: Using the prospective Chronic Liver Disease Evolution and Registry for Events and Decompensation (CLEARED) cohort, which enrolled inpatients with cirrhosis globally, we used admission-day data to predict inpatient mortality with ML approaches vs logistic regression. Internal validation (75/25 split) and subdivision using World Bank income status (low/ low-middle-income countries, upper-middle income countries, and high-income countries) were performed. The ML model with the best area under the receiver operating characteristic curve (AUROC) was externally validated in a US veteran inpatient population with cirrhosis. RESULTS: The CLEARED cohort included 7239 inpatients with cirrhosis (64% were men; mean [SD1 age, 56 [131 years; median Model for End-Stage Liver Disease-Sodium score = 25) from 115 centers globally; 22.5% were from low/low-middle-income countries, 41% were from upper-middle-income countries, and 34% were from high-income countries; 11.1% of patients (n = 808) died in the hospital. Random forest (RF) showed the best AUROC (0.815) with high calibration, which was significantly better vs parametric logistic regression and LASSO models (AUROC, 0.774; P &lt; .001 and AUROC, 0.787; P = .004, respectively). RF was the ML method with the highest AUROC and remained better than logistic regression, regardless of country income level (high-income countries: AUROC, 0.806; upper middle-income countries: AUROC, 0.867; and low/low-middle-income countries: AUROC, 0.768). External validation was performed in 28,670 veterans (96% were men, mean [SD1 age, 67.8 [10.31 years, median Model for End-Stage Liver Disease-Sodium score = 15) with 4% (n = 1158) inpatient mortality. The AUROC using the CLEARED-derived RF model was 0.859. CONCLUSIONS: RF analysis trained on a global prospective cirrhosis cohort enhances mortality prediction over traditional methods, was consistent across country income levels, and was successfully validated externally in a US veteran population.</t>
  </si>
  <si>
    <t>Silvey, Scott; Kamath, Patrick S.; George, Jacob; Choudhury, Ashok; Xie, Qing; Topazian, Mark; Mekonnen, Hailemichael Desalgn; Cao, Zhujun; Nagral, Aabha; Reddy, K. Rajender; Adebayo, Danielle; Asrani, Sumeet K.; Rajoriya, Neil; Arrese, Marco; Aghayeva, Sevda; Sharma, Mithun; Huezo, Sarai Gonzalez; Gadano, Adrian; Yapici, Hasan Basri; Debzi, Nabil; Shaw, Jawaid; Albhaisi, Somaya; Hernandez, Jose Luis Perez; Wang, Yingling; Peng, Feng; Wei, Linlin; Eapen, C. E.; Tan, Hiang Keat; Fung, James Y.; Rajaram, Ruveena; Thanapirom, Kessarin; Adanir, Haydar; Doyle, Adam; Shalimar; Su, Minghua; Jothimani, Dinesh; Cai, Yijing; Velazquez, Rene Male; Wang, Wei; Gounder, Michael; Gofton, Cameron; Barutcu, Sezgin; Haktaniyan, Busra; Farias, Alberto Q.; Aravinthan, Aloysious D.; Bera, Chinmay; Singh, Surender; Hayes, Peter C.; Idilman, Ramazan; Torre, Aldo; Alvares-da-Silva, Mario Reis; Seto, Wai-Kay; Wong, Florence; Bush, Brian J.; Thacker, Leroy R.; Patel, Nilang; Bajaj, Jasmohan S.</t>
  </si>
  <si>
    <t>Bajaj, JS (corresponding author), Richmond VA Med Ctr, 1201 Broad Rock Blvd, Richmond, VA 23249 USA.; Bajaj, JS (corresponding author), Virginia Commonwealth Univ, Div Gastroenterol Hepatol &amp; Nutr, 1201 Broad Rock Blvd, Richmond, VA 23249 USA.</t>
  </si>
  <si>
    <t>jasmohan.bajaj@vcuhealth.org</t>
  </si>
  <si>
    <t>Veterans Affairs Merit review [2I01CX001076, I01CX002472, UM1TR004360]; National Center for Advancing Translational Sciences, National Institutes of Health</t>
  </si>
  <si>
    <t>Veterans Affairs Merit review (US Department of Veterans Affairs); National Center for Advancing Translational Sciences, National Institutes of Health (United States Department of Health &amp; Human Services, National Institutes of Health (NIH) - USA, NIH National Center for Advancing Translational Sciences (NCATS))</t>
  </si>
  <si>
    <t>Partly supported by Veterans Affairs Merit review 2I01CX001076, I01CX002472 to Jasmohan S. Bajaj and UM1TR004360 from National Center for Advancing Translational Sciences, National Institutes of Health.</t>
  </si>
  <si>
    <t>[Silvey, Scott; Bush, Brian J.; Thacker, Leroy R.] Virginia Commonwealth Univ, Sch Publ Hlth, Richmond, VA USA; [Silvey, Scott; Shaw, Jawaid; Albhaisi, Somaya; Patel, Nilang; Bajaj, Jasmohan S.] Virginia Commonwealth Univ, Dept Med, Richmond, VA USA; [Silvey, Scott; Shaw, Jawaid; Albhaisi, Somaya; Patel, Nilang; Bajaj, Jasmohan S.] Richmond VA Med Ctr, 1201 Broad Rock Blvd, Richmond, VA 23249 USA; [Kamath, Patrick S.] Mayo Clin, Sch Med, Rochester, MN USA; [George, Jacob; Gounder, Michael] Univ Sydney, Westmead Hosp, Westmead Inst Med Res, Sydney, NSW, Australia; [Choudhury, Ashok] Inst Liver &amp; Biliary Sci, Delhi, India; [Xie, Qing; Cao, Zhujun] Shanghai Jiao Tong Univ, Sch Med, Ruijin Hosp, Shanghai, Peoples R China; [Topazian, Mark; Mekonnen, Hailemichael Desalgn] St Pauls Hosp, Millennium Med Coll, Addis Ababa, Ethiopia; [Nagral, Aabha] Jaslok Hosp, Mumbai, India; [Reddy, K. Rajender; Aghayeva, Sevda] Univ Penn, Philadelphia, PA USA; [Adebayo, Danielle] Royal Berkshire Hosp, Reading, England; [Asrani, Sumeet K.] Baylor Univ, Med Ctr, Dallas, TX USA; [Rajoriya, Neil] Univ Hosp Birmingham, Birmingham, England; [Arrese, Marco] Pontificia Catholic Univ Chile, Santiago, Chile; [Aghayeva, Sevda] Azerbaijan Med Univ, Baku, Azerbaijan; [Sharma, Mithun] Asian Inst Gastroenterol, Hyderabad, India; [Huezo, Sarai Gonzalez] Ctr Med ISSEMYM, Mexico City, Mexico; [Gadano, Adrian] Hosp Italiano Buenos Aires, Buenos Aires, Argentina; [Yapici, Hasan Basri] Marmara Univ, Istanbul, Turkiye; [Debzi, Nabil] Mustapha Bacha Univ Hosp, Algiers, Algeria; [Hernandez, Jose Luis Perez] Hosp Gen Mexico Eduardo Licaga, Mexico City, Mexico; [Wang, Yingling] Fifth Peoples Hosp Suzhou, Suzhou, Peoples R China; [Peng, Feng] Cent South Univ, XiangYa Hosp 2, Changsha, Peoples R China; [Wei, Linlin] Capital Med Univ, Beijing Youan Hosp, Beijing, Peoples R China; [Eapen, C. E.] Christian Med Coll &amp; Hosp, Vellore, India; [Tan, Hiang Keat] Singapore Gen Hosp, Singapore, Singapore; [Fung, James Y.; Seto, Wai-Kay] Univ Hong Kong, Hong Kong, Peoples R China; [Rajaram, Ruveena] Univ Malaya, Kuala Lumpur, Malaysia; [Thanapirom, Kessarin] Chulalongkorn Univ, Bangkok, Thailand; [Adanir, Haydar] Akdeniz Univ, Sch Med, Antalya, Turkiye; [Doyle, Adam] Royal Perth Hosp, Perth, Australia; [Shalimar] All India Inst Med Sci, Delhi, India; [Su, Minghua] Guangxi Med Univ, Affiliated Hosp 1, Nanning, Peoples R China; [Jothimani, Dinesh] Rela Inst, Chennai, India; [Cai, Yijing] Wenzhou Med Univ, Affiliated Hosp 1, Wenzhou, Peoples R China; [Velazquez, Rene Male] Inst Salud Digest, Guadalajara, Guadalajara, Mexico; [Wang, Wei] Hebei Med Univ, Affiliated Hosp 3, Shijiazhuang, Hebei, Peoples R China; [Gofton, Cameron] Royal North Shore Hosp, Sydney, NSW, Australia; [Barutcu, Sezgin] Gaziantep Univ, Sch Med, Gaziantep, Turkiye; [Haktaniyan, Busra; Idilman, Ramazan] Ankara Univ, Ankara, Turkiye; [Farias, Alberto Q.] Univ Sao Paolo, Sao Paulo, Brazil; [Aravinthan, Aloysious D.] Univ Nottingham, Sch Med, Nottingham, England; [Bera, Chinmay; Wong, Florence] Univ Toronto, Toronto, ON, Canada; [Singh, Surender] Sanjay Gandhi Postgrad Inst Med Educ &amp; Res, Lucknow, India; [Hayes, Peter C.] Univ Edinburgh, Div Hlth Sci, Deanery Clin Sci, Edinburgh, Scotland; [Torre, Aldo] Inst Nacl Ciencias Med &amp; Nutr Salvador Zubiran, Mexico City, Mexico; [Alvares-da-Silva, Mario Reis] Univ Fed Rio Grande do Sul, Hosp Clin Porto Alegre, Porto Alegre, Brazil</t>
  </si>
  <si>
    <t>Virginia Commonwealth University; Virginia Commonwealth University; Hunter Holmes McGuire Veterinary Affairs Medical Center; Mayo Clinic; University of Sydney; NSW Health; Westmead Institute for Medical Research; Westmead Hospital; Institute of Liver &amp; Biliary Sciences (ILBS); Shanghai Jiao Tong University; University of Pennsylvania; Royal Berkshire Hospital; Baylor University Medical Center; Baylor University; University of Birmingham; Pontificia Universidad Catolica de Chile; Ministry of Education of Azerbaijan Republic; Azerbaijan Medical University; Hospital Italiano de Buenos Aires; University of Buenos Aires; University of Buenos Aires Hospital; Marmara University; Central South University; Capital Medical University; Christian Medical College &amp; Hospital (CMCH) Vellore; Singapore General Hospital; University of Hong Kong; Universiti Malaya; Chulalongkorn University; Akdeniz University; East Metropolitan Health Service; University of Western Australia; Royal Perth Hospital; All India Institute of Medical Sciences (AIIMS) New Delhi; Guangxi Medical University; Wenzhou Medical University; Hebei Medical University; Royal North Shore Hospital; Gaziantep University; Ankara University; University of Nottingham; University of Toronto; Sanjay Gandhi Postgraduate Institute of Medical Sciences; University of Edinburgh; Instituto Nacional de Ciencias Medicas y Nutricion Salvador Zubiran - Mexico; Hospital de Clinicas de Porto Alegre; Universidade Federal do Rio Grande do Sul</t>
  </si>
  <si>
    <t>CLEARED Investigators</t>
  </si>
  <si>
    <t>Enhancement of Inpatient Mortality Prognostication With Machine Learning in a Prospective Global Cohort of Patients With Cirrhosis With External Validation</t>
  </si>
  <si>
    <t>GASTROENTEROLOGY</t>
  </si>
  <si>
    <t>Income Disparities; Random Forest; Veterans,; CLEARED Cohort</t>
  </si>
  <si>
    <t>HEPATIC-ENCEPHALOPATHY; LIVER-TRANSPLANT; OUTCOMES; CARE</t>
  </si>
  <si>
    <t>Bera, Chinmay/KGL-9811-2024; Farias, Alberto/JFB-1995-2023; Asrani, Sumeet/Y-6096-2019; ARRESE, MARCO/ABB-9061-2021; Albhaisi, Somaya/S-5392-2017; Alvares-da-Silva, Mario/L-3910-2014; Thanapirom, Kessarin/O-6346-2015; Cai, Yijing/GRF-5674-2022; Cao, Zhujun/D-7608-2017; Idilman, Ramazan/AFL-0461-2022; Haktaniyan, Busra/QTS-7781-2026; Seto, Wai-Kay/H-4452-2012; Yapici, Hasan/QPB-1557-2026; Aravinthan, Aloysious/I-2557-2019; Tan, Hiang Keat/I-7580-2019; Barutçu, Sezgin/AAD-4552-2019; Adanır, Haydar/A-3229-2017</t>
  </si>
  <si>
    <t>Cao, Zhujun/0000-0002-8684-2107; Idilman, Ramazan/0000-0001-8840-5472; Haktanıyan, Büşra/0000-0002-5683-3031; Aravinthan, Aloysious/0000-0003-0527-5137</t>
  </si>
  <si>
    <t>W B SAUNDERS CO-ELSEVIER INC</t>
  </si>
  <si>
    <t>1600 JOHN F KENNEDY BOULEVARD, STE 1800, PHILADELPHIA, PA 19103-2899 USA</t>
  </si>
  <si>
    <t>0016-5085</t>
  </si>
  <si>
    <t>1528-0012</t>
  </si>
  <si>
    <t>Gastroenterology</t>
  </si>
  <si>
    <t>170</t>
  </si>
  <si>
    <t>10.1053/j.gastro.2025.07.015</t>
  </si>
  <si>
    <t>http://dx.doi.org/10.1053/j.gastro.2025.07.015</t>
  </si>
  <si>
    <t>AK9PU</t>
  </si>
  <si>
    <t>40712932</t>
  </si>
  <si>
    <t>WOS:001650587800001</t>
  </si>
  <si>
    <t>Hu, YA; Zhang, X; Slavin, V; Enticott, J; Callander, E</t>
  </si>
  <si>
    <t>Induction of labor (IOL) is a common yet complex clinical procedure associated with varying risks, including cesarean section (CS). Accurate prediction models may help support more informed, personalized decision-making. This study aimed to develop and validate an explainable machine learning prediction model for CS following IOL. We used population-based administrative perinatal datasets from two Australian states (New South Wales (NSW) and Queensland) covering all births between 2016 and 2019 for model development. Temporal validation was conducted using 2020 births from NSW, and geographical validation using 2016-2018 births from Victoria. We included women with singleton, cephalic, term, live births who attempted IOL and had no prior CS. Seven models (logistic regression, random forest, gradient boosting, LightGBM, XGBoost, CatBoost, and AdaBoost) were developed with hyperparameter tuning and feature selection. Performance was assessed using the area under the receiver operating characteristic curve (AUROC), area under the precision-recall curve, calibration plot (overall and across sociodemographic subgroups), decision curve analysis, Brier Score, and model parsimony. SHAP (SHapley Additive exPlanations) values were used to explain predictor contributions. A total of 180,700 women were included in model development (mean age 31 +/- 5 years; CS = 20.8%). The optimal model, developed using XGBoost with ten predictors, achieved AUROCs of 0.76 (95% CI: 0.75-0.77) and 0.75 (95% CI: 0.74-0.76) in temporal (n = 14,527; CS = 22.5%) and geographical (n = 14,755; CS = 19.0%) validations, respectively. The most influential predictors were nulliparity, pre-pregnancy body mass index, and maternal age, while diabetes and hypertension (pre-existing or pregnancy-related) contributed least. Women with higher predicted CS probabilities had increased inpatient costs and maternal morbidity, regardless of actual mode of birth. The final model is accessible via an interactive web application (https://csai-8ccf2690242c.herokuapp.com/). This model demonstrates strong predictive performance using routinely collected maternal factors. Further co-design and implementation research is needed before potential clinical adoption.</t>
  </si>
  <si>
    <t>Hu, Yanan; Zhang, Xin; Slavin, Valerie; Enticott, Joanne; Callander, Emily</t>
  </si>
  <si>
    <t>Callander, E (corresponding author), Monash Univ, Fac Med Nursing &amp; Hlth Sci, Monash Ctr Hlth Res &amp; Implementat, Melbourne, Vic, Australia.; Callander, E (corresponding author), Univ Technol Sydney, Sch Publ Hlth, Sydney, NSW, Australia.</t>
  </si>
  <si>
    <t>Emily.Callander@monash.edu</t>
  </si>
  <si>
    <t>Australian Government Research Training Program (RTP) Scholarship</t>
  </si>
  <si>
    <t>Australian Government Research Training Program (RTP) Scholarship (Australian Government, Department of Industry, Innovation and Science)</t>
  </si>
  <si>
    <t>YH receives support from the Australian Government Research Training Program (RTP) Scholarship. The funders had no role in study design, data collection and analysis, decision to publish, or preparation of the manuscript.</t>
  </si>
  <si>
    <t>[Hu, Yanan; Enticott, Joanne; Callander, Emily] Monash Univ, Fac Med Nursing &amp; Hlth Sci, Monash Ctr Hlth Res &amp; Implementat, Melbourne, Vic, Australia; [Zhang, Xin] Monash Univ, Dept Elect &amp; Comp Syst Engn, Melbourne, Vic, Australia; [Slavin, Valerie] Gold Coast Univ Hosp &amp; Hlth Serv, Gold Coast, Qld, Australia; [Slavin, Valerie] Griffith Univ, Sch Nursing &amp; Midwifery, Gold Coast, Qld, Australia; [Callander, Emily] Univ Technol Sydney, Sch Publ Hlth, Sydney, NSW, Australia</t>
  </si>
  <si>
    <t>Monash University; Monash University; Gold Coast University Hospital; Griffith University; University of Technology Sydney</t>
  </si>
  <si>
    <t>Explainable machine learning model for predicting cesarean section following induction of labor: Development and external validation using real-world data</t>
  </si>
  <si>
    <t>PLOS DIGITAL HEALTH</t>
  </si>
  <si>
    <t>Callander, Emily/M-5679-2017; Zhang, Xin/QLU-6078-2026; Enticott, Joanne/I-1587-2014; Slavin, Valerie/P-6532-2019</t>
  </si>
  <si>
    <t>Zhang, Xin/0000-0002-0675-6891; Enticott, Joanne/0000-0002-4480-5690; Hu, Yanan/0000-0003-1794-7789; Slavin, Valerie/0000-0002-7688-2498</t>
  </si>
  <si>
    <t>2767-3170</t>
  </si>
  <si>
    <t>PLOS DIGIT HEALTH</t>
  </si>
  <si>
    <t>PLOS Digit. Health</t>
  </si>
  <si>
    <t>e0001061</t>
  </si>
  <si>
    <t>10.1371/journal.pdig.0001061</t>
  </si>
  <si>
    <t>http://dx.doi.org/10.1371/journal.pdig.0001061</t>
  </si>
  <si>
    <t>A3581</t>
  </si>
  <si>
    <t>41264549</t>
  </si>
  <si>
    <t>WOS:001619441300004</t>
  </si>
  <si>
    <t>Huo, L; Tan, Y; Wang, S; Geng, CZ; Li, Y; Ma, XJ; Wang, B; He, YJ; Yao, C; Ouyang, T</t>
  </si>
  <si>
    <t>Purpose: This study aimed to establish and evaluate the usefulness of a simple, practical, and easy-to-promote machine learning model based on ultrasound imaging features for diagnosing breast cancer (BC).Materials and Methods: Logistic regression, random forest, extra trees, support vector, multilayer perceptron, and XG Boost models were developed. The modeling data set of 1345 cases was from a tertiary class A hospital in China. The external validation data set of 1965 cases were from 3 tertiary class A hospitals and 2 primary hospitals. The area under the receiver operating characteristic curve (AUC) was used as the main evaluation index, and pathological biopsy was used as the gold standard for evaluating each model. Diagnostic capability was also compared with that of clinicians.Results: Among the six models, the logistic model showed superior diagnostic efficiency, with an AUC of 0.771 and 0.906 and Brier scores of 0.181 and 0.165 in the test and validation sets, respectively. The AUCs of the clinician diagnosis and the logistic model were 0.913 and 0.906. Their AUCs in the tertiary class A hospitals were 0.915 and 0.915, respectively, and were 0.894 and 0.873 in primary hospitals, respectively.Conclusion: The externally validated logical model can be used to distinguish between malignant and benign breast lesions in ultrasound images. Compared with clinician diagnosis, the logistic model has better diagnostic efficiency, making it potentially useful to assist in screening, particularly in lower level medical institutions.</t>
  </si>
  <si>
    <t>Huo, Ling; Tan, Yao; Wang, Shu; Geng, Cuizhi; Li, Yi; Ma, XiangJun; Wang, Bin; He, YingJian; Yao, Chen; Ouyang, Tao</t>
  </si>
  <si>
    <t>Yao, C (corresponding author), Peking Univ First Hosp, Beijing 100034, Peoples R China.; Ouyang, T (corresponding author), Peking Univ, Canc Hosp &amp; Inst, Beijing 100142, Peoples R China.</t>
  </si>
  <si>
    <t>ouyanghongtao@263.net; yaochen@hsc.pku.edu.cn</t>
  </si>
  <si>
    <t>Beijing Municipal Science and Technology Project [D161100000816006]</t>
  </si>
  <si>
    <t>Beijing Municipal Science and Technology Project</t>
  </si>
  <si>
    <t>This research was supported by Beijing Municipal Science and Technology Project (NO: D161100000816006).</t>
  </si>
  <si>
    <t>[Huo, Ling; He, YingJian; Ouyang, Tao] Peking Univ, Breast Ctr, Key Lab Carcinogenesis &amp; Translat Res, Minist Educ Beijing,Canc Hosp &amp; Inst, Beijing, Peoples R China; [Tan, Yao; Wang, Bin; Yao, Chen] Peking Univ First Hosp, Dept Biostat, Beijing, Peoples R China; [Wang, Shu] Peking Univ, Dept Breast Ctr, Peoples Hosp, Beijing, Peoples R China; [Geng, Cuizhi] Hebei Med Univ, Hosp 4, Shijiazhuang, Hebei, Peoples R China; [Li, Yi] Shunyi Dist Hlth Care Hosp Women &amp; Children Beiji, Beijing, Peoples R China; [Ma, XiangJun] Haidian Maternal &amp; Child Hlth Hosp, Beijing, Peoples R China; [Yao, Chen] Peking Univ, Clin Res Inst, Hlth Sci Ctr, Beijing, Peoples R China</t>
  </si>
  <si>
    <t>Peking University; Peking University; Peking University; Hebei Medical University; Peking University</t>
  </si>
  <si>
    <t>Machine Learning Models to Improve the Differentiation Between Benign and Malignant Breast Lesions on Ultrasound: A Multicenter External Validation Study</t>
  </si>
  <si>
    <t>CANCER MANAGEMENT AND RESEARCH</t>
  </si>
  <si>
    <t>breast cancer; machine learning; diagnostic accuracy; patient stratification; screening modalities; ultrasound imaging</t>
  </si>
  <si>
    <t>CANCER DIAGNOSIS; BI-RADS; CATEGORY; METHYLATION; MAMMOGRAPHY; PROGNOSIS; BIOMARKER; US</t>
  </si>
  <si>
    <t>Wang, Bin/HIR-8740-2022</t>
  </si>
  <si>
    <t>Wang, Bin/0000-0003-0012-9835</t>
  </si>
  <si>
    <t>1179-1322</t>
  </si>
  <si>
    <t>CANCER MANAG RES</t>
  </si>
  <si>
    <t>Cancer Manag. Res.</t>
  </si>
  <si>
    <t>3367</t>
  </si>
  <si>
    <t>3379</t>
  </si>
  <si>
    <t>10.2147/CMAR.S297794</t>
  </si>
  <si>
    <t>http://dx.doi.org/10.2147/CMAR.S297794</t>
  </si>
  <si>
    <t>RN9BT</t>
  </si>
  <si>
    <t>33889025</t>
  </si>
  <si>
    <t>WOS:000640647500001</t>
  </si>
  <si>
    <t>Shao, L; Wang, Z; Xie, XY; Xiao, L; Shi, Y; Wang, ZA; Zhang, JE</t>
  </si>
  <si>
    <t>Objectives: To develop and externally validate a machine learning-based fall prediction model for ambulatory nursing home residents. The focus is on predicting fall occurrences within 6 months after baseline assessment through a binary classification task, aiming to provide staff with an effective and user-friendly fall-risk assessment tool. Design: Prospective cohort study. Setting and Participants: A total of 864 older residents living in 4 nursing homes between May 2022 and March 2023 in China. Methods: Potential fall-risk predictors were collected through in-person interviews and assessments of anthropometric and physical function. Participants were followed for 6 months, with falls recorded by trained nurses. Seven machine learning algorithms, including Logistic Regression (LR), Gradient Boosting Machine (GBM), eXtreme Gradient Boosting (XGBoost), Random Forest (RF), Support Vector Machine (SVM), Neural Networks (NN), and Decision Tree (DT), were used to develop prediction models. Performance was evaluated using the area under the receiver operating characteristic curve (ROC-AUC) and Precision-Recall curve (PR-AUC), with calibration assessed via a calibration curve. Feature importance was visualized using SHapley Additive exPlanations (SHAP). Results: The 6 selected predictors were balance, grip strength, fatigue, fall history, age, and comorbidity. The ROC-AUC for the models ranged from 0.710 to 0.750, PR-AUC from 0.415 to 0.473, sensitivity from 0.704 to 0.914, and specificity from 0.511 to 0.687 in the validation cohort. The LR model was converted into a nomogram. Conclusions and Implications: The machine learning-based fall-prediction models effectively identified nursing home residents at high risk of falls. The developed nomogram can be integrated into clinical practice to enhance fall risk assessment protocols, ultimately improving patient safety and care in nursing homes. (c) 2024 AMDA- The Society for Post-Acute and Long-Term Care Medicine.</t>
  </si>
  <si>
    <t>Shao, Lu; Wang, Zhong; Xie, Xiyan; Xiao, Lu; Shi, Ying; Wang, Zhang-an; Zhang, Jun-e</t>
  </si>
  <si>
    <t>Zhang, JE (corresponding author), Sun Yat Sen Univ, Sch Nursing, 74 Zhongshan 2 Rd, Guangzhou 510080, Guangdong, Peoples R China.</t>
  </si>
  <si>
    <t>zhangje@mail.sysu.edu.cn</t>
  </si>
  <si>
    <t>National Social Science Foundation of China [21BSH120]</t>
  </si>
  <si>
    <t>National Social Science Foundation of China (National Office of Philosophy and Social Sciences)</t>
  </si>
  <si>
    <t>This work was supported by the National Social Science Foundation of China (Grant 21BSH120) . The funder had no role in the design and conduct of the study; collection; management; analysis; interpretation of the data; preparation; review; or approval of the manuscript or decision to submit the manuscript for publication. The data that support the findings of this study are available from the corre-sponding author upon reasonable request.</t>
  </si>
  <si>
    <t>[Shao, Lu; Wang, Zhong; Shi, Ying; Zhang, Jun-e] Sun Yat Sen Univ, Sch Nursing, 74 Zhongshan 2 Rd, Guangzhou 510080, Guangdong, Peoples R China; [Xie, Xiyan; Xiao, Lu] Home Aged Guangzhou, Dept Nursing, Guangzhou, Peoples R China; [Wang, Zhang-an] Peoples Hosp Guangxi Zhuang Autonomous Reg, Dept Hlth Management, Nanning, Peoples R China</t>
  </si>
  <si>
    <t>Sun Yat Sen University</t>
  </si>
  <si>
    <t>Development and External Validation of a Machine Learning-based Fall Prediction Model for Nursing Home Residents: A Prospective Cohort Study</t>
  </si>
  <si>
    <t>JOURNAL OF THE AMERICAN MEDICAL DIRECTORS ASSOCIATION</t>
  </si>
  <si>
    <t>Accidental falls; aged; machine learning; nursing home; risk prediction</t>
  </si>
  <si>
    <t>OLDER-PEOPLE; CARE FACILITIES; RISK-FACTORS; PREVENTION; COMMUNITY; JUDGMENT; VALIDITY; HISTORY; SCREEN; HEALTH</t>
  </si>
  <si>
    <t>Shi, Ying/ODK-7609-2025</t>
  </si>
  <si>
    <t>zhang, June/0000-0002-6599-702X; WANG, Zhangan/0000-0001-8000-6645</t>
  </si>
  <si>
    <t>1525-8610</t>
  </si>
  <si>
    <t>1538-9375</t>
  </si>
  <si>
    <t>J AM MED DIR ASSOC</t>
  </si>
  <si>
    <t>J. Am. Med. Dir. Assoc.</t>
  </si>
  <si>
    <t>105169</t>
  </si>
  <si>
    <t>10.1016/j.jamda.2024.105169</t>
  </si>
  <si>
    <t>http://dx.doi.org/10.1016/j.jamda.2024.105169</t>
  </si>
  <si>
    <t>C6O5S</t>
  </si>
  <si>
    <t>39067863</t>
  </si>
  <si>
    <t>WOS:001290547400001</t>
  </si>
  <si>
    <t>Yoo, D; Nguyen, VK; Maggiore, U; Jolliet, O</t>
  </si>
  <si>
    <t>Early detection of chronic kidney disease (CKD) is a critical public health priority. However, a gap exists for non-invasive tools to guide screening selection in the general adult population, leaving many at-risk individuals undiagnosed. We developed and validated MERWACS (Machineborne Early Renal Warning And Control System), a machine learning model designed to identify which individuals should be prioritized for definitive laboratory testing. We used 30 years of data from the U.S. National Health and Nutrition Examination Survey (NHANES; training set n = 9,534) to train MERWACS using a final set of 12 non-invasive parameters derived from demographics, anthropometrics, and medical history. The model predicts a composite outcome of prevalent reduced kidney function, defined as a urine albumin-to-creatinine ratio &gt;= 30 mg/g or an estimated glomerular filtration rate (eGFR) below the age- and sex-specific 2.5th percentile, thereby accounting for the natural eGFR decline in healthy aging. To ensure robustness, we developed parallel models for three major eGFR equations. The final XGBoost-based model was validated on an internal test set (n = 4,085) and a separate external dataset from the Korea NHANES (KNHANES; n = 6,454). MERWACS demonstrated moderate and consistent discrimination across all three eGFR equation-based models, achieving ROCAUCs ranging from 0.68 to 0.70 on internal validation and 0.71 to 0.73 on external validation. MERWACS is a robust, externally validated, non-invasive tool that identifies adults and elderly individuals with a high probability of currently having reduced kidney health, helping prioritize them for definitive CKD screening. Its moderate performance is an intentional trade-off for accessibility, as it deliberately excludes laboratory data. By providing a personalized, numerical predicted probability through an open-access online application, MERWACS can empower individuals and support clinicians in identifying at-risk patients, prompting timely conversations and crucial evaluations to improve kidney health outcomes.</t>
  </si>
  <si>
    <t>Yoo, Daniel; Nguyen, Vy Kim; Maggiore, Umberto; Jolliet, Olivier</t>
  </si>
  <si>
    <t>Yoo, D (corresponding author), Tech Univ Denmark, Dept Environm &amp; Resource Engn, Sect Quantitat Sustainabil Assessment, Lyngby, Denmark.</t>
  </si>
  <si>
    <t>dyoo@dtu.dk</t>
  </si>
  <si>
    <t>Novo Nordisk Fonden [NNF22OC0075778]</t>
  </si>
  <si>
    <t>Novo Nordisk Fonden (Novo Nordisk Foundation)</t>
  </si>
  <si>
    <t>D.Y. and O.J. were supported by the Novo Nordisk Foundation (grant number NNF22OC0075778, URL: https://novonordiskfonden.dk/en/). The funders had no role in the study design, data collection and analysis, decision to publish, or preparation of the manuscript.</t>
  </si>
  <si>
    <t>[Yoo, Daniel; Jolliet, Olivier] Tech Univ Denmark, Dept Environm &amp; Resource Engn, Sect Quantitat Sustainabil Assessment, Lyngby, Denmark; [Nguyen, Vy Kim; Jolliet, Olivier] Univ Michigan, Sch Publ Hlth, Dept Environm Hlth Sci, Ann Arbor, MI USA; [Maggiore, Umberto] Univ Parma, Dept Med &amp; Surg, Parma, Italy</t>
  </si>
  <si>
    <t>Technical University of Denmark; University of Michigan System; University of Michigan; University of Parma</t>
  </si>
  <si>
    <t>MERWACS: Development and external validation of a non-invasive machine learning tool for identifying subjects to be screened for CKD</t>
  </si>
  <si>
    <t>CHRONIC KIDNEY-DISEASE; NATIONAL-HEALTH; EPIDEMIOLOGY; CALIBRATION; CREATININE; EQUATION; MODEL</t>
  </si>
  <si>
    <t>Yoo, Daniel/ACJ-7667-2022</t>
  </si>
  <si>
    <t>Jolliet, Olivier/0000-0001-6955-4210</t>
  </si>
  <si>
    <t>JUL 10 2026</t>
  </si>
  <si>
    <t>e0001486</t>
  </si>
  <si>
    <t>10.1371/journal.pdig.0001486</t>
  </si>
  <si>
    <t>http://dx.doi.org/10.1371/journal.pdig.0001486</t>
  </si>
  <si>
    <t>KW0LO</t>
  </si>
  <si>
    <t>42424235</t>
  </si>
  <si>
    <t>WOS:001816948600001</t>
  </si>
  <si>
    <t>Xu, ZK; Yang, QH; Su, YJ; Jiang, YC; Peng, DT; Wu, BR; Mo, WZ; Chen, ZM; Huang, JY; Jiang, ZJ; Liu, XY</t>
  </si>
  <si>
    <t>Background To develop and validate a machine learning (ML) model to assess the risk of chronic critical illness (CCI) in intensive care unit (ICU) patients with acute pancreatitis (AP). Methods We utilised two large, publicly available ICU datasets, MIMIC-IV (v3.1) and the eICU Collaborative Research Database (v2.0), as the development cohort for model construction. A single-centre dataset from China (SZICU) was used for external validation. Three feature selection methods-stepwise regression, Least Absolute Shrinkage and Selection Operator (LASSO), and the Boruta algorithm-were employed. Three ML methods-logistic regression (LR), random forest (RF), and extreme gradient boosting (XGBoost)-were used for model development. Model performance was evaluated using the area under the receiver operating characteristic curve (AUROC), area under the precision-recall curve (AUPRC), accuracy, F1 score, sensitivity, specificity, positive predictive value (PPV), negative predictive value (NPV), and Brier score, in both internal and external validation. Results The incidences of CCI were 7.00%, 9.89%, and 20.09% in the training, internal validation, and external validation sets, respectively. Eight predictors of CCI were identified: calcium level, body temperature, vasopressor use, urine output, Glasgow Coma Scale score, albumin level, haemoglobin level, and a history of cerebrovascular disease. In the internal validation set, the RF model achieved an AUROC of 0.85 (0.77-0.91), an AUPRC of 0.53 (0.39-0.69), and a Brier score of 0.07 (0.05-0.09). In the external validation set, the RF model achieved an AUROC of 0.73 (0.64-0.81), an AUPRC of 0.42 (0.30-0.56), and a Brier score of 0.16 (0.12-0.20). Feature importance analysis revealed that calcium level, body temperature, vasopressor use, and urine output were the most influential predictors of CCI. Conclusions We developed and validated an ML model using eight clinical variables to predict CCI risk in ICU patients with AP.</t>
  </si>
  <si>
    <t>Xu, Zhikun; Yang, Qinhua; Su, Yijing; Jiang, Yichun; Peng, Dongting; Wu, Boru; Mo, Wenzhong; Chen, Zhiming; Huang, Jiayang; Jiang, Zhongji; Liu, Xueyan</t>
  </si>
  <si>
    <t>Liu, XY (corresponding author), Jinan Univ, Dept Crit Care Med, Shenzhen Peoples Hosp, Clin Med Coll 2,Affiliated Hosp 1,Southern Univ Sc, Shenzhen 518020, Peoples R China.</t>
  </si>
  <si>
    <t>13554843721@163.com</t>
  </si>
  <si>
    <t>Shenzhen Medical Research Fund [D2402002]; Shenzhen Science and Technology Program [JCYJ20241202124903006, KCXFZ20230731093559005]; Shenzhen Key Laboratory of Prevention and Treatment of Severe Infections [ZDSYS20200811142804014]</t>
  </si>
  <si>
    <t>Shenzhen Medical Research Fund; Shenzhen Science and Technology Program (Shenzhen Science and Technology Program); Shenzhen Key Laboratory of Prevention and Treatment of Severe Infections</t>
  </si>
  <si>
    <t>This work was supported by the Shenzhen Medical Research Fund (D2402002), Shenzhen Science and Technology Program (JCYJ20241202124903006, KCXFZ20230731093559005), and Shenzhen Key Laboratory of Prevention and Treatment of Severe Infections (ZDSYS20200811142804014).</t>
  </si>
  <si>
    <t>[Xu, Zhikun; Jiang, Yichun; Peng, Dongting; Wu, Boru; Liu, Xueyan] Jinan Univ, Dept Crit Care Med, Shenzhen Peoples Hosp, Clin Med Coll 2,Affiliated Hosp 1,Southern Univ Sc, Shenzhen 518020, Peoples R China; [Yang, Qinhua] Shenzhen Univ, Shenzhen Luohu Peoples Hosp, Dept Gastroenterol, Affiliated Hosp 3, Shenzhen, Peoples R China; [Su, Yijing] Jinan Univ, Shenzhen Peoples Hosp, Clin Med Coll 2, Dept Crit Care Med, Shenzhen, Peoples R China; [Mo, Wenzhong] Shenzhen Univ, Shenzhen Univ Gen Hosp, Dept Crit Care Med, Shenzhen, Peoples R China; [Chen, Zhiming] Jinan Univ, Clin Med Coll 2, Shenzhen Peoples Hosp, Dept Anesthesiol,Affiliated Hosp 1,Southern Univ S, Shenzhen, Peoples R China; [Huang, Jiayang] Jinan Univ, Southern Univ Sci &amp; Technol, Shenzhen Peoples Hosp, Affiliated Hosp 1,Dept Pharm,Clin Med Coll 2, Shenzhen, Peoples R China; [Jiang, Zhongji] Chinese Acad Med Sci, Southern Univ Sci &amp; Technol, Shenzhen Ctr, Sch Med,Canc Hosp,Dept Biol, Shenzhen, Peoples R China</t>
  </si>
  <si>
    <t>Jinan University; Shenzhen University; Shenzhen Luohu Hospital Group Luohu People's Hospital; Jinan University; Shenzhen University; Jinan University; Jinan University; Southern University of Science &amp; Technology; Southern University of Science &amp; Technology; Chinese Academy of Medical Sciences - Peking Union Medical College</t>
  </si>
  <si>
    <t>Development and external validation of a machine learning model for predicting chronic critical illness in ICU patients with acute pancreatitis</t>
  </si>
  <si>
    <t>BMC MEDICAL INFORMATICS AND DECISION MAKING</t>
  </si>
  <si>
    <t>Chronic critical illness; Acute pancreatitis; Machine learning; Intensive care unit</t>
  </si>
  <si>
    <t>MORTALITY; SELECTION; SEVERITY; SHOCK</t>
  </si>
  <si>
    <t>Jiang, zhongji/IUN-8321-2023</t>
  </si>
  <si>
    <t>xu, zhikun/0000-0001-6913-7513; Peng, Dongting/0009-0002-3409-540X</t>
  </si>
  <si>
    <t>1472-6947</t>
  </si>
  <si>
    <t>BMC MED INFORM DECIS</t>
  </si>
  <si>
    <t>BMC Med. Inform. Decis. Mak.</t>
  </si>
  <si>
    <t>APR 7 2026</t>
  </si>
  <si>
    <t>10.1186/s12911-026-03480-7</t>
  </si>
  <si>
    <t>http://dx.doi.org/10.1186/s12911-026-03480-7</t>
  </si>
  <si>
    <t>IG1YG</t>
  </si>
  <si>
    <t>41947133</t>
  </si>
  <si>
    <t>WOS:001770921900002</t>
  </si>
  <si>
    <t>Ye, RZ; Liu, Y; Wu, XM; Wang, KJ</t>
  </si>
  <si>
    <t>Background Thyroid nodules refer to discrete lesions within the thyroid gland, caused by abnormal proliferation of thyroid cells and local growth. Thyroid ultrasound imaging is a non-invasive, widely used technique primarily employed to assess the benign or malignant nature of nodules, the extent of invasion into adjacent tissues, and lymph node metastasis. Early ultrasound diagnosis can help reduce the incidence of thyroid cancer. However, the diagnostic results from ultrasound examinations are often subjective, labor-intensive, and highly dependent on the clinical experience of the ultrasound physician.Methods We developed a C-TIRADS-guided computer-aided diagnostic framework consisting of a nodule detection module, a C-TIRADS feature classification module, and a rule-based risk scoring module. Thyroid nodules were first localized using the detection network and then classified according to key C-TIRADS ultrasound features, including composition, echogenicity, margin, shape, and echogenic foci. The predicted feature scores were aggregated to determine the benign or malignant risk category. The model was trained using task-specific datasets and clinically validated on an independent cohort of 303 thyroid nodules/images from 284 patients.Results In the independent clinical validation set, the AI model achieved an overall accuracy of 0.862 [95% CI, 0.822-0.901]. Physician accuracy was 0.705 [95% CI, 0.657-0.756] without AI assistance and increased to 0.845 [95% CI, 0.802-0.884] with AI assistance. These findings suggest the potential value of the proposed system as a C-TIRADS-guided decision-support tool.Conclusion The proposed C-TIRADS-guided framework can localize thyroid nodules, classify guideline-defined ultrasound features, and provide standardized malignancy risk stratification. The model may assist physicians in thyroid ultrasound interpretation; however, larger blinded multicenter studies are required before routine clinical application.</t>
  </si>
  <si>
    <t>Ye, Rongzhou; Liu, Yao; Wu, Xiuming; Wang, Kangjian</t>
  </si>
  <si>
    <t>Wu, XM (corresponding author), Fujian Med Univ, Quanzhou Hosp 1, Dept Ultrasound Med, Quanzhou, Peoples R China.; Wang, KJ (corresponding author), Fujian Med Univ, Zhangzhou Affiliated Hosp, Dept Ultrasound Med, Zhangzhou, Peoples R China.</t>
  </si>
  <si>
    <t>wxm6725@126.com; 2252070212@qq.com</t>
  </si>
  <si>
    <t>Natural Science Foundation of Fujian Province [2024J011562]; Joint Funds for Science and Technology Innovation, Fujian Provincial [2024Y9435]; Quanzhou Science and Technology Program Projects, Fujian Provincial [2025QZNY060, 2025QZNY075]</t>
  </si>
  <si>
    <t>Natural Science Foundation of Fujian Province (Natural Science Foundation of Fujian Province); Joint Funds for Science and Technology Innovation, Fujian Provincial; Quanzhou Science and Technology Program Projects, Fujian Provincial</t>
  </si>
  <si>
    <t>The author(s) declared that financial support was received for this work and/or its publication. This work was supported by the Natural Science Foundation of Fujian Province (Grant No. 2024J011562), Joint Funds for Science and Technology Innovation, Fujian Provincial (Grant No. 2024Y9435), and Quanzhou Science and Technology Program Projects, Fujian Provincial (Grant Nos. 2025QZNY060, 2025QZNY075).</t>
  </si>
  <si>
    <t>[Ye, Rongzhou] Fujian Med Univ, Quanzhou Hosp 1, Dept Gen Practice, Quanzhou, Peoples R China; [Liu, Yao] Huaqiao Univ, Coll Engn, Quanzhou, Peoples R China; [Wu, Xiuming] Fujian Med Univ, Quanzhou Hosp 1, Dept Ultrasound Med, Quanzhou, Peoples R China; [Wang, Kangjian] Fujian Med Univ, Zhangzhou Affiliated Hosp, Dept Ultrasound Med, Zhangzhou, Peoples R China</t>
  </si>
  <si>
    <t>Huaqiao University; Fujian Medical University</t>
  </si>
  <si>
    <t>Development and clinical validation of an artificial intelligence based model for thyroid nodule malignancy risk assessment using C-TIRADS guidelines</t>
  </si>
  <si>
    <t>artificial intelligence; C-TIRADS guidelines; deep learning; risk scoring model; thyroid nodule</t>
  </si>
  <si>
    <t>JUL 15 2026</t>
  </si>
  <si>
    <t>1877809</t>
  </si>
  <si>
    <t>10.3389/fmed.2026.1877809</t>
  </si>
  <si>
    <t>http://dx.doi.org/10.3389/fmed.2026.1877809</t>
  </si>
  <si>
    <t>LU7KJ</t>
  </si>
  <si>
    <t>42528558</t>
  </si>
  <si>
    <t>WOS:001833690600001</t>
  </si>
  <si>
    <t>Wang, MY; Li, ZZ; Zeng, SX; Wang, ZW; Ying, YD; He, W; Zhang, ZS; Wang, HQ; Xu, CL</t>
  </si>
  <si>
    <t>Objective: We have developed explainable machine learning models to predict the overall survival (OS) of retroperitoneal liposarcoma (RLPS) patients. This approach aims to enhance the explainability and transparency of our modeling results. Methods: We collected clinicopathological information of RLPS patients from The Surveillance, Epidemiology, and End Results (SEER) database and allocated them into training and validation sets with a 7:3 ratio. Simultaneously, we obtained an external validation cohort from The First Affiliated Hospital of Naval Medical University (Shanghai, China). We performed LASSO regression and multivariate Cox proportional hazards analysis to identify relevant risk factors, which were then combined to develop six machine learning (ML) models: Cox proportional hazards model (Coxph), random survival forest (RSF), ranger, gradient boosting with component-wise linear models (GBM), decision trees, and boosting trees. The predictive performance of these ML models was evaluated using the concordance index (C-index), the integrated cumulative/dynamic area under the curve (AUC), and the integrated Brier score, as well as the Cox-Snell residual plot. We also used time-dependent variable importance, analysis of partial dependence survival plots, and the generation of aggregated survival SHapley Additive exPlanations (SurvSHAP) plots to provide a global explanation of the optimal model. Additionally, SurvSHAP (t) and survival local interpretable model-agnostic explanations (SurvLIME) plots were used to provide a local explanation of the optimal model. Results: The final ML models are consisted of six factors: patient's age, gender, marital status, surgical history, as well as tumor's histopathological classification, histological grade, and SEER stage. Our prognostic model exhibits significant discriminative ability, particularly with the ranger model performing optimally. In the training set, validation set, and external validation set, the AUC for 1, 3, and 5 year OS are all above 0.83, and the integrated Brier scores are consistently below 0.15. The explainability analysis of the ranger model also indicates that histological grade, histopathological classification, and age are the most influential factors in predicting OS. Conclusions: The ranger ML prognostic model exhibits optimal performance and can be utilized to predict the OS of RLPS patients, offering valuable and crucial references for clinical physicians to make informed decisions in advance.</t>
  </si>
  <si>
    <t>Wang, Maoyu; Li, Zhizhou; Zeng, Shuxiong; Wang, Ziwei; Ying, Yidie; He, Wei; Zhang, Zhensheng; Wang, Huiqing; Xu, Chuanliang</t>
  </si>
  <si>
    <t>Zhang, ZS; Wang, HQ; Xu, CL (corresponding author), Naval Med Univ, Shanghai Changhai Hosp, Dept Urol, Shanghai, Peoples R China.</t>
  </si>
  <si>
    <t>whqlll@126.com; chuanliang_xu@126.com; 13761178177@163.com</t>
  </si>
  <si>
    <t>We would like to express our gratitude to the SEER database for providing us with access to freely available data.</t>
  </si>
  <si>
    <t>[Wang, Maoyu; Li, Zhizhou; Zeng, Shuxiong; Wang, Ziwei; Ying, Yidie; He, Wei; Zhang, Zhensheng; Wang, Huiqing; Xu, Chuanliang] Naval Med Univ, Shanghai Changhai Hosp, Dept Urol, Shanghai, Peoples R China</t>
  </si>
  <si>
    <t>Naval Medical University</t>
  </si>
  <si>
    <t>Explainable machine learning predicts survival of retroperitoneal liposarcoma: A study based on the SEER database and external validation in China</t>
  </si>
  <si>
    <t>CANCER MEDICINE</t>
  </si>
  <si>
    <t>explainable machine learning; overall survival; retroperitoneal liposarcoma; SurvLIME; SurvSHAP</t>
  </si>
  <si>
    <t>EXTREMITY; FEATURES; FOREST</t>
  </si>
  <si>
    <t>HE, WEI/KRQ-8824-2024</t>
  </si>
  <si>
    <t>HE, WEI/0000-0001-9646-4325</t>
  </si>
  <si>
    <t>2045-7634</t>
  </si>
  <si>
    <t>CANCER MED-US</t>
  </si>
  <si>
    <t>Cancer Med.</t>
  </si>
  <si>
    <t>JUN 7 2024</t>
  </si>
  <si>
    <t>e7324</t>
  </si>
  <si>
    <t>10.1002/cam4.7324</t>
  </si>
  <si>
    <t>http://dx.doi.org/10.1002/cam4.7324</t>
  </si>
  <si>
    <t>TQ2G9</t>
  </si>
  <si>
    <t>38847519</t>
  </si>
  <si>
    <t>WOS:001242654100001</t>
  </si>
  <si>
    <t>Demagny, J; Roussel, C; Le Guyader, M; Guiheneuf, E; Harrivel, V; Boyer, T; Diouf, M; Dussiot, M; Demont, Y; Garon, L</t>
  </si>
  <si>
    <t>Background Schistocyte counts are a cornerstone of the diagnosis of thrombotic microangiopathy syndrome (TMA). Their manual quantification is complex and alternative automated methods suffer from pitfalls that limit their use. We report a method combining imaging flow cytometry (IFC) and artificial intelligence for the direct label-free and operator-independent quantification of schistocytes in whole blood. Methods We used 135,045 IFC images from blood acquisition among 14 patients to extract 188 features with IDEAS (R) software and 128 features from a convolutional neural network (CNN) with Keras framework in order to train a support vector machine (SVM) blood elements' classifier used for schistocytes quantification. Finding Keras features showed better accuracy (94.03%, CI: 93.75-94.31%) than ideas features (91.54%, CI: 91.21-91.87%) in recognising whole-blood elements, and together they showed the best accuracy (95.64%, CI: 95.39-95.88%). We obtained an excellent correlation (0.93, CI: 0.90-0.96) between three haematologists and our method on a cohort of 102 patient samples. All patients with schistocytosis (&gt; 1% schistocytes) were detected with excellent specificity (91.3%, CI: 82.0-96.7%) and sensitivity (100%, CI: 89.4-100.0%). We confirmed these results with a similar specificity (91.1%, CI: 78.8-97.5%) and sensitivity (100%, CI: 88.1-100.0%) on a validation cohort (n=74) analysed in an independent healthcare centre. Simultaneous analysis of 16 samples in both study centres showed a very good correlation between the 2 imaging flow cytometers (Y=1.001x). Interpretation We demonstrate that IFC can represent a reliable tool for operator-independent schistocyte quantification with no pre-analytical processing which is of most importance in emergency situations such as TMA. Copyright (C) 2022 The Author(s). Published by Elsevier B.V.</t>
  </si>
  <si>
    <t>Demagny, Julien; Roussel, Camille; Le Guyader, Mailys; Guiheneuf, Eric; Harrivel, Veronique; Boyer, Thomas; Diouf, Momar; Dussiot, Michael; Demont, Yohann; Garon, Loic</t>
  </si>
  <si>
    <t>Demont, Y; Garon, L (corresponding author), CHU Amiens Picardie, Serv Hematol Biol, Amiens, France.</t>
  </si>
  <si>
    <t>demont.yohann@chu-amiens.fr; garcon.loic@chu-amiens.fr</t>
  </si>
  <si>
    <t>[Demagny, Julien; Boyer, Thomas; Garon, Loic] Univ Picardie Jules Verne, HEMATIM UR4666, F-80025 Amiens, France; [Demagny, Julien; Le Guyader, Mailys; Guiheneuf, Eric; Harrivel, Veronique; Boyer, Thomas; Demont, Yohann; Garon, Loic] CHU Amiens Picardie, Serv Hematol Biol, Amiens, France; [Roussel, Camille] Hop Univ Necker Enfants Malad, AP HP, Lab Hematol, Paris, France; [Roussel, Camille] Univ Antilles, Univ Paris, INSERM, U1134,Biol Integree Globule Rouge, Paris, France; [Roussel, Camille; Dussiot, Michael] Lab Excellence GR Ex, Paris, France; [Diouf, Momar] CHU Amiens Picardie, Direct Rech Clin &amp; Innovat, Dept Biostat, Amiens, France; [Dussiot, Michael] Univ Paris, INSERM, U1163, Lab Mecanismes Cellulaires &amp; Mol Troubles Hematol, Paris, France</t>
  </si>
  <si>
    <t>Universite de Picardie Jules Verne (UPJV); Universite de Picardie Jules Verne (UPJV); CHU Amiens; Assistance Publique Hopitaux Paris (APHP); Universite Paris Cite; Hopital Universitaire Necker-Enfants Malades - APHP; Hopital Universitaire Cochin - APHP; Universite Paris Cite; Institut National de la Sante et de la Recherche Medicale (Inserm); Institut National de la Sante et de la Recherche Medicale (Inserm); Universite de Picardie Jules Verne (UPJV); CHU Amiens; Institut National de la Sante et de la Recherche Medicale (Inserm); Universite Paris Cite</t>
  </si>
  <si>
    <t>Combining imaging flow cytometry and machine learning for high-throughput schistocyte quantification: A SVM classifier development and external validation cohort</t>
  </si>
  <si>
    <t>Schistocyte; Imaging flow cytometry; Machine learning; Thrombotic microangiopathy</t>
  </si>
  <si>
    <t>RED-BLOOD-CELLS; ARTIFICIAL-INTELLIGENCE; ICSH RECOMMENDATIONS; IDENTIFICATION; MORPHOLOGY</t>
  </si>
  <si>
    <t>Roussel, Camille/GXH-8675-2022; Dussiot, Michaël/I-9660-2017; Boyer, Thomas/AAE-4735-2019</t>
  </si>
  <si>
    <t>Roussel, Camille/0000-0003-0194-7696; Demagny, Julien/0000-0002-8536-9733; Garçon, Loïc/0000-0002-1125-9355; Dussiot, Michaël/0000-0002-6804-1621</t>
  </si>
  <si>
    <t>104209</t>
  </si>
  <si>
    <t>10.1016/j.ebiom.2022.104209</t>
  </si>
  <si>
    <t>http://dx.doi.org/10.1016/j.ebiom.2022.104209</t>
  </si>
  <si>
    <t>4X9SU</t>
  </si>
  <si>
    <t>35986949</t>
  </si>
  <si>
    <t>WOS:000861176800012</t>
  </si>
  <si>
    <t>Lee, SW; Jang, J; Seo, WY; Lee, D; Kim, SH</t>
  </si>
  <si>
    <t>This study developed and validated a machine learning model to accurately predict acute kidney injury (AKI) after non-cardiac surgery, aiming to improve patient outcomes by assessing its clinical feasibility and generalizability. We conducted a retrospective cohort study using data from 76,032 adults who underwent non-cardiac surgery at a single tertiary medical center between March 2019 and February 2021, and used data from 5512 patients from the VitalDB open dataset for external model validation. The predictive variables for model training consisted of demographic, preoperative laboratory, and intraoperative data, including calculated statistical values such as the minimum, maximum, and mean intraoperative blood pressure. When predicting postoperative AKI, our gradient boosting machine model incorporating all the variables achieved the best results, with AUROC values of 0.868 and 0.757 for the internal and external validations using the VitalDB dataset, respectively. The model using intraoperative data performed best in internal validation, while the model with preoperative data excelled in external validation. In this study, we developed a predictive model for postoperative AKI in adult patients undergoing non-cardiac surgery using preoperative and intraoperative data, and external validation demonstrated the efficacy of open datasets for generalization in medical artificial modeling research.</t>
  </si>
  <si>
    <t>Lee, Sang-Wook; Jang, Jaewon; Seo, Woo-Young; Lee, Donghee; Kim, Sung-Hoon</t>
  </si>
  <si>
    <t>Kim, SH (corresponding author), Univ Ulsan, Dept Anesthesiol &amp; Pain Med, Coll Med, Asan Med Ctr, Seoul 05505, South Korea.; Kim, SH (corresponding author), Univ Ulsan, Dept Anesthesiol &amp; Pain Med, Brain Korea Project 21, Coll Med, Seoul 05505, South Korea.</t>
  </si>
  <si>
    <t>sangwooklee@amc.seoul.kr; seowy@amc.seoul.kr; d220404@amc.seoul.kr; jjw2582@aitrics.com; shkimans@amc.seoul.kr</t>
  </si>
  <si>
    <t>Korea Health Technology R&amp;D Project through the Korea Health Industry Development Institute (KHIDI) - Ministry of Health and Welfare, Republic of Korea [HR20C0026, HI22C1723]; Asan Institute for Life Sciences, Asan Medical Center, Seoul, Republic of Korea [2022IP0053, 2023IP0132]</t>
  </si>
  <si>
    <t>Korea Health Technology R&amp;D Project through the Korea Health Industry Development Institute (KHIDI) - Ministry of Health and Welfare, Republic of Korea; Asan Institute for Life Sciences, Asan Medical Center, Seoul, Republic of Korea</t>
  </si>
  <si>
    <t>This research was supported by a grant of the Korea Health Technology R&amp;D Project through the Korea Health Industry Development Institute (KHIDI), funded by the Ministry of Health and Welfare, Republic of Korea (grant numbers: HR20C0026, HI22C1723). This study was also supported by a grant (2022IP0053, 2023IP0132) from the Asan Institute for Life Sciences, Asan Medical Center, Seoul, Republic of Korea.</t>
  </si>
  <si>
    <t>[Lee, Sang-Wook; Lee, Donghee; Kim, Sung-Hoon] Univ Ulsan, Dept Anesthesiol &amp; Pain Med, Coll Med, Asan Med Ctr, Seoul 05505, South Korea; [Jang, Jaewon; Seo, Woo-Young] Asan Inst Lifesci, Biomed Engn Res Ctr, Biosignal Anal &amp; Perioperat Outcome Res BAPOR, Seoul 05505, South Korea; [Kim, Sung-Hoon] Univ Ulsan, Dept Anesthesiol &amp; Pain Med, Brain Korea Project 21, Coll Med, Seoul 05505, South Korea</t>
  </si>
  <si>
    <t>University of Ulsan; Asan Medical Center; University of Ulsan</t>
  </si>
  <si>
    <t>Internal and External Validation of Machine Learning Models for Predicting Acute Kidney Injury Following Non-Cardiac Surgery Using Open Datasets</t>
  </si>
  <si>
    <t>acute kidney injury; machine learning; external validation; non-cardiac surgery; postoperative complications</t>
  </si>
  <si>
    <t>MORTALITY; OUTCOMES; RISK; TERM</t>
  </si>
  <si>
    <t>Lee, Sang-Wook/OXB-1095-2025; Kim, Sung/P-7699-2014</t>
  </si>
  <si>
    <t>Lee, Sang-Wook/0000-0003-2967-9670</t>
  </si>
  <si>
    <t>587</t>
  </si>
  <si>
    <t>10.3390/jpm14060587</t>
  </si>
  <si>
    <t>http://dx.doi.org/10.3390/jpm14060587</t>
  </si>
  <si>
    <t>WP6G2</t>
  </si>
  <si>
    <t>38929808</t>
  </si>
  <si>
    <t>WOS:001256110700001</t>
  </si>
  <si>
    <t>Li, RH; Li, D; Liu, L; Ji, WY; Pei, YC; Wan, R; Liu, D; Wang, YX; Liu, S; Huang, TQ; Zhang, M; Liu, XB; Zuo, CH; Li, C; Fang, X; Yin, CL; Hu, R; Yang, Z; Tan, L; Chen, JY</t>
  </si>
  <si>
    <t>Postoperative hydrocephalus is a common complication following posterior fossa tumor resection, affecting 7-40% of patients. Although preoperative cerebrospinal fluid (CSF) diversion may be required in selected patients with hydrocephalus, decisions remain individualized in routine neurosurgical practice. We therefore developed and externally validated a model to provide supplementary preoperative risk stratification using routinely available variables. We retrospectively analyzed 1,073 patients following resection of posterior fossa tumors (PFTs) treated at five tertiary centers between 2013 and 2024, dividing them into a development cohort (n = 854) and an external validation cohort (n = 219). We initially screened 30 perioperative variables from the multicenter dataset and then selected a clinically implementable model restricted to variables available before tumor resection. Feature importance was ranked using Shapley additive explanations (SHAP), and seven distinct machine learning (ML) algorithms were evaluated. Model performance was comprehensively measured using the area under the receiver operating characteristic curve (AUC), sensitivity, specificity, precision-recall curves, and decision curve analysis. The final clinically implementable model included three preoperative variables: Evans index, tumor-fourth ventricle relationship, and preoperative cerebrospinal fluid diversion status. In the external validation cohort, the support vector machine model showed good external discrimination, with an area under the receiver operating characteristic curve of 0.877, accuracy of 81.3%, sensitivity of 80.8%, and specificity of 81.7%. Logistic regression achieved comparable discrimination. Calibration assessment suggested dataset shift between the development and external validation cohorts, indicating that absolute predicted probabilities should be interpreted cautiously in populations with different baseline risks. A concise three-variable preoperative model showed good external discrimination for clinically relevant postoperative hydrocephalus after posterior fossa tumor resection. The model may support preoperative risk communication and postoperative surveillance planning, but should not be used as a stand-alone indication for cerebrospinal fluid diversion. Prospective validation and local recalibration are warranted before routine clinical implementation.</t>
  </si>
  <si>
    <t>Li, Ronghao; Li, Dan; Liu, Li; Ji, Wenyu; Pei, Yuchun; Wan, Run; Liu, Dong; Wang, Yongxin; Liu, Suo; Huang, Tingqin; Zhang, Ming; Liu, Xiaobin; Zuo, Chenghai; Li, Chong; Fang, Xu; Yin, Changlin; Hu, Rong; Yang, Zhao; Tan, Liang; Chen, Jingyu</t>
  </si>
  <si>
    <t>Tan, L (corresponding author), Army Med Univ, Affiliated Hosp 1, Southwest Hosp, Ctr Crit Care Med, Chongqing 400038, Peoples R China.; Chen, JY (corresponding author), Army Med Univ, Affiliated Hosp 1, Southwest Hosp, Dept Neurosurg, Chongqing 400038, Peoples R China.; Yang, Z (corresponding author), Chongqing Med Univ, Yongchuan Hosp, Dept Neurol, Chongqing 402160, Peoples R China.</t>
  </si>
  <si>
    <t>cjy1_2001@hotmail.com; yangzhao5140@sohu.com; liangtan@tmmu.edu.cn</t>
  </si>
  <si>
    <t>Senior Medical Talents Program of Chongqing for Young and Middle-aged, the Young and Middle-aged Senior Medical Talents studio of Chongqing [2025GDRC005, 2025ZYZD005]; Chongqing Natural Science Foundation [CSTB2023NSCQ-MSX1029]; Special Project for Technological Innovation and Application Development of Chongqing [CSTB2025TIAD-STX0002]</t>
  </si>
  <si>
    <t>Senior Medical Talents Program of Chongqing for Young and Middle-aged, the Young and Middle-aged Senior Medical Talents studio of Chongqing; Chongqing Natural Science Foundation (Natural Science Foundation of Chongqing); Special Project for Technological Innovation and Application Development of Chongqing</t>
  </si>
  <si>
    <t>This study was supported by the Senior Medical Talents Program of Chongqing for Young and Middle-aged, the Young and Middle-aged Senior Medical Talents studio of Chongqing, the Chongqing Science-health joint medical research project (2025GDRC005 and 2025ZYZD005), Chongqing Natural Science Foundation (CSTB2023NSCQ-MSX1029) and Special Project for Technological Innovation and Application Development of Chongqing(CSTB2025TIAD-STX0002). The funders were not involved in the study design, data collection/interpretation, and the decision to submit the publication results.</t>
  </si>
  <si>
    <t>[Li, Ronghao; Tan, Liang] Army Med Univ, Affiliated Hosp 1, Southwest Hosp, Ctr Crit Care Med, Chongqing 400038, Peoples R China; [Li, Dan; Zuo, Chenghai; Li, Chong; Fang, Xu; Hu, Rong; Chen, Jingyu] Army Med Univ, Affiliated Hosp 1, Southwest Hosp, Dept Neurosurg, Chongqing 400038, Peoples R China; [Li, Dan; Yang, Zhao] Chongqing Med Univ, Yongchuan Hosp, Dept Neurol, Chongqing 402160, Peoples R China; [Liu, Li] Army Med Univ, Sch Biomed Engn &amp; Med Imaging, Dept Digital Med, Chongqing 400038, Peoples R China; [Ji, Wenyu; Liu, Dong; Wang, Yongxin; Liu, Suo] Xinjiang Med Univ, Affiliated Hosp 1, Pediat Neurosurg Dept, Urumqi 830054, Peoples R China; [Pei, Yuchun] Army Med Univ, Xinqiao Hosp, Dept Neurosurg, Chongqing 400037, Peoples R China; [Wan, Run] Hubei Univ Med, Peoples Hosp, Dept Rehabil Med, Xiangyang 1, Xiangyang, Peoples R China; [Wang, Yongxin] Xinjiang Med Univ, Affiliated Hosp 1, Neurosurg Ctr, Urumqi, Peoples R China; [Huang, Tingqin; Zhang, Ming] Xi An Jiao Tong Univ, Affiliated Hosp 2, Dept Neurosurg, Xian 710004, Peoples R China; [Liu, Xiaobin] Shaanxi Prov Peoples Hosp, Dept Neurosurg, Xian 710068, Peoples R China; [Yin, Changlin] Southwest Univ, Coll Elect &amp; Informat Engn, Chongqing 400715, Peoples R China</t>
  </si>
  <si>
    <t>Army Medical University; Army Medical University; Chongqing Medical University; Army Medical University; Xi'an Jiaotong University; Xi'an Medical University; Southwest University - China</t>
  </si>
  <si>
    <t>Development and external validation of a machine learning model for predicting postoperative hydrocephalus in 1,073 posterior fossa tumor patients</t>
  </si>
  <si>
    <t>NEUROSURGICAL REVIEW</t>
  </si>
  <si>
    <t>Posterior fossa tumor; Hydrocephalus; Machine learning; External ventricular drainage; Support vector machine</t>
  </si>
  <si>
    <t>CEREBROSPINAL-FLUID DIVERSION; VENTRICULAR DRAINAGE; MANAGEMENT; CHILDREN; SECONDARY</t>
  </si>
  <si>
    <t>0344-5607</t>
  </si>
  <si>
    <t>1437-2320</t>
  </si>
  <si>
    <t>NEUROSURG REV</t>
  </si>
  <si>
    <t>Neurosurg. Rev.</t>
  </si>
  <si>
    <t>JUL 30 2026</t>
  </si>
  <si>
    <t>499</t>
  </si>
  <si>
    <t>10.1007/s10143-026-04403-w</t>
  </si>
  <si>
    <t>http://dx.doi.org/10.1007/s10143-026-04403-w</t>
  </si>
  <si>
    <t>LY4XT</t>
  </si>
  <si>
    <t>42530672</t>
  </si>
  <si>
    <t>WOS:001836235700001</t>
  </si>
  <si>
    <t>Kannenieks, D; Priede, Z; Millers, A; Velins, KK</t>
  </si>
  <si>
    <t>Background and Objectives: As society ages, the number of patients with cognitive impairment is increasing. Machine learning methods that use structured clinical and cognitive-assessment data during routine diagnostic work-up may support and monitor structured classifications of cognitive status. This kind of approach can improve early screening, reduce physicians' workload and develop greater support for personalized treatment. To develop an XGBoost-based machine learning model using the National Alzheimer's Coordinating Center (NACC) dataset and to evaluate the model's precision with clinician-assigned diagnosis in a Latvian retrospective cohort study. Materials and Methods: The research was designed as a retrospective external validation cohort study that used two data sources. Firstly, the National Alzheimer's Coordination Center (NACC) longitudinal dataset was used to train the ML model. Secondly, medical records gathered from Pauls Stradins Clinical University Hospital dating from 2020 to May 2025 were used to evaluate the algorithm's precision. Results: In the NACC study, the weighted four-class model achieved an overall accuracy of 84.0% and a balanced accuracy of 70.9%, but the SCD class remained poorly classified. After reframing the model to a three-class model the performance grew stronger for normal cognition, mild cognitive impairment (MCI) and dementia. Class distribution in the Latvian cohort consisted of dementia (n = 138); MCI (n = 13); and subjective cognitive decline (SCD) (n = 2). Dementia was identified most strongly-124/138 (sensitivity-89.9%). MCI was correct in 9/13 cases (sensitivity-69.2%). SCD cases were excluded. Overall, the model agreed with the neurologist-assigned diagnoses in 88.1% of the cases (133/151). Conclusions: The ML classification model has high precision when comparing with neurologist-assigned diagnoses, but it struggles to separate adjacent early-stage diagnoses, meaning that it did not reliably identify SCD. These findings support further methodological development and the implementation of prospective research. Nevertheless, this technology has high potential for being integrated in the future to aid triage and early screening, especially when advanced diagnostics are limited.</t>
  </si>
  <si>
    <t>Kannenieks, Davis; Priede, Zanda; Millers, Andrejs; Velins, Karlis Kristofers</t>
  </si>
  <si>
    <t>Kannenieks, D (corresponding author), Riga Stradins Univ, Fac Med, LV-1007 Riga, Latvia.</t>
  </si>
  <si>
    <t>zanda.priede@rsu.lv; davis.kannenieks@gmail.com; kvelins@gmail.com; andrejs.millers@rsu.lv</t>
  </si>
  <si>
    <t>This research received no external funding.</t>
  </si>
  <si>
    <t>[Kannenieks, Davis] Riga Stradins Univ, Fac Med, LV-1007 Riga, Latvia; [Priede, Zanda; Millers, Andrejs] Riga Stradins Univ, Dept Neurol &amp; Neurosurg, LV-1002 Riga, Latvia; [Velins, Karlis Kristofers] Imperial Coll London, Dept Math, London SW7 2AZ, England</t>
  </si>
  <si>
    <t>Riga Stradins University; Riga Stradins University; Imperial College London</t>
  </si>
  <si>
    <t>Development and External Validation of a Machine Learning Model for Classification of Mild Cognitive Impairment and Dementia Using Clinical Data</t>
  </si>
  <si>
    <t>subjective cognitive decline; mild cognitive impairment; early dementia detection; machine learning algorithm; NACC dataset; SHAP analysis; XGBoost classification</t>
  </si>
  <si>
    <t>ALZHEIMERS-DISEASE; DECLINE; PROGRESSION</t>
  </si>
  <si>
    <t>Kannenieks, Davis/0009-0008-8324-8293</t>
  </si>
  <si>
    <t>JUL 14 2026</t>
  </si>
  <si>
    <t>10.3390/medicina62071356</t>
  </si>
  <si>
    <t>http://dx.doi.org/10.3390/medicina62071356</t>
  </si>
  <si>
    <t>LT1DM</t>
  </si>
  <si>
    <t>42512898</t>
  </si>
  <si>
    <t>WOS:001832587400001</t>
  </si>
  <si>
    <t>Du, ZX; Liu, XN; Li, JY; Min, H; Ma, YH; Hua, WT; Zhang, LY; Zhang, Y; Shang, MM; Chen, H; Yin, H; Tian, LM</t>
  </si>
  <si>
    <t>AimsStudies on machine learning (ML) for the prediction of diabetic nephropathy (DN) in type 1 diabetes mellitus (T1DM) patients are rare. This study focused on the development and external validation of an explainable ML model to predict the risk of DN among individuals with T1DM.MethodsThis was a retrospective, multicenter study conducted across 19 hospitals in Gansu Province, China (No: 2022-473). In total, 1368 patients were eligible for analysis among 1633 collected T1DM patients from January 2016 to December 2023. Recursive feature elimination using random forest and fivefold cross-validation was conducted to identify key features. Among the 12 initial ML algorithms, the optimal ML model was developed and validated externally in a distinct population, and its predictive outcomes were explained via the SHapley additive exPlanations method, which offered personalized decision insights.ResultsAmong the 1368 T1DM patients, 324 had DN. The extreme gradient boosting (XGBoost) model, which achieved optimal performance with an AUC of 83% (95% confidence interval [CI]: 76-89), was selected to predict the risk of DN among T1DM patients. The DN predictive model included variables such as T1DM duration, postprandial glucose (PPG), systolic blood pressure (SBP), glycated hemoglobin (HbA1c), serum creatinine (Scr) and low-density lipoprotein cholesterol (LDL-C). External validation confirmed the reliability of the model, with an AUC of 76% (95% CI: 70-82).ConclusionsThe ML prediction tool has potential for advancing early and precise identification of the risk of DN among T1DM patients. Although successful external validation indicated that the developed model can provide a promising strategy for clinical adoption and help improve patient outcomes through timely and accurate risk assessment, additional prospective data and further validation in diverse populations are necessary.</t>
  </si>
  <si>
    <t>Du, Zouxi; Liu, Xiaoning; Li, Jiayu; Min, Hang; Ma, Yuhu; Hua, Wenting; Zhang, Leyuan; Zhang, Yue; Shang, Mengmeng; Chen, Hui; Yin, Hong; Tian, Limin</t>
  </si>
  <si>
    <t>Tian, LM (corresponding author), Lanzhou Univ, Sch Clin Med 1, Lanzhou, Gansu, Peoples R China.; Tian, LM (corresponding author), Gansu Prov Hosp, Dept Endocrinol, Lanzhou, Gansu, Peoples R China.; Tian, LM (corresponding author), Clin Res Ctr Metab Dis, Lanzhou, Gansu, Peoples R China.</t>
  </si>
  <si>
    <t>tlm7066@sina.com</t>
  </si>
  <si>
    <t>Science and Technology Major Project, Gansu Province [22ZD6FA033]</t>
  </si>
  <si>
    <t>Science and Technology Major Project, Gansu Province</t>
  </si>
  <si>
    <t>This study was supported by the Science and Technology Major Project, Gansu Province (No.22ZD6FA033).</t>
  </si>
  <si>
    <t>[Du, Zouxi; Min, Hang; Hua, Wenting; Zhang, Yue; Tian, Limin] Lanzhou Univ, Sch Clin Med 1, Lanzhou, Gansu, Peoples R China; [Du, Zouxi; Li, Jiayu; Min, Hang; Hua, Wenting; Zhang, Yue; Tian, Limin] Gansu Prov Hosp, Dept Endocrinol, Lanzhou, Gansu, Peoples R China; [Liu, Xiaoning] Lanzhou Univ, Sch Publ Hlth, Dept Epidemiol &amp; Hlth Stat, Lanzhou, Gansu, Peoples R China; [Zhang, Leyuan; Shang, Mengmeng] Gansu Univ Tradit Chinese Med, Clin Med Coll 1, Lanzhou, Gansu, Peoples R China; [Ma, Yuhu] Lanzhou Univ, Hosp 1, Dept Anesthesiol, Lanzhou, Gansu, Peoples R China; [Chen, Hui] Lanzhou Univ, Hosp 2, Dept Endocrinol, Lanzhou, Gansu, Peoples R China; [Yin, Hong] First Peoples Hosp Lanzhou, Dept Geriatr, Lanzhou, Gansu, Peoples R China; [Du, Zouxi; Min, Hang; Hua, Wenting; Zhang, Yue; Tian, Limin] Clin Res Ctr Metab Dis, Lanzhou, Gansu, Peoples R China</t>
  </si>
  <si>
    <t>Lanzhou University; Lanzhou University; Gansu University of Chinese Medicine; Lanzhou University; Lanzhou University</t>
  </si>
  <si>
    <t>Development and external validation of a machine learning model to predict diabetic nephropathy in T1DM patients in the real-world</t>
  </si>
  <si>
    <t>ACTA DIABETOLOGICA</t>
  </si>
  <si>
    <t>Type 1 diabetes mellitus; Diabetic nephropathy; Machine learning; Interpretable model; External validation</t>
  </si>
  <si>
    <t>KIDNEY-DISEASE; TYPE-1; ADOLESCENTS; ADULTS; DURATION; MELLITUS; CHILDREN; SERUM</t>
  </si>
  <si>
    <t>Tian, Limin/K-4855-2019; SHANG, Mengmeng/ITU-1570-2023; ma, yuhu/JEF-8894-2023</t>
  </si>
  <si>
    <t>0940-5429</t>
  </si>
  <si>
    <t>1432-5233</t>
  </si>
  <si>
    <t>ACTA DIABETOL</t>
  </si>
  <si>
    <t>Acta Diabetol.</t>
  </si>
  <si>
    <t>869</t>
  </si>
  <si>
    <t>10.1007/s00592-024-02404-z</t>
  </si>
  <si>
    <t>http://dx.doi.org/10.1007/s00592-024-02404-z</t>
  </si>
  <si>
    <t>3LJ0U</t>
  </si>
  <si>
    <t>39527297</t>
  </si>
  <si>
    <t>WOS:001352541600001</t>
  </si>
  <si>
    <t>Kotzé, A; Lawton, T; Howell, SJ; O'Driscoll, R; Odling-Smee, M; Shangguan, LQ; Johnson, OA; Wong, DC</t>
  </si>
  <si>
    <t>Introduction Demand for surgical treatment is growing and patient complexity is increasing. The NHS England standard contract now requires that pre-operative services risk stratify and optimise patients awaiting surgery. However, current pre-operative workflows (whether electronic or paper-based) remain based primarily on resource-intensive manual tasks. Lack of real-time data transfer has been identified as a key limitation to reducing the surgical backlog.Methods We developed certified electronic linkages between a live pre-operative assessment system (Smart PreOp, Aire Logic Ltd, Leeds, UK) and the GP Connect system from NHS England to retrieve clinical data directly from general practitioner records into pre-operative questionnaires. We developed machine learning models to categorise patients into lower- and higher-risk cohorts based on their predicted ASA physical status (1 or 2 vs. 3-5) and 30-day postoperative mortality risk. In contrast with previous prediction modelling studies, we constrained variable selection from the outset to variables that are available electronically in real time for all UK surgical patients regardless of where they present (the proposed procedure, demographics and medications lists).Results The development and external validation cohorts consisted of 110,732 and 67,878 patients, respectively, from two NHS Trusts using different electronic record systems. In external validation, at decision threshold 0.2, the ASA physical status prediction model had recall 0.69 and precision 0.95 for identifying lower-risk (ASA physical status 1 or 2) patients. The mortality prediction model discriminated well in external validation but was poorly calibrated, lending support to the existing literature showing that hospital-specific modelling improves mortality risk prediction. The technical architecture of the Smart PreOp system facilitates such hospital-specific modelling and periodic model updates.Discussion We conclude that conducting modelling together with systems development can yield accurate prediction models that may be implemented directly into electronic health records. A prospective study of clinical impact and acceptability is warranted.</t>
  </si>
  <si>
    <t>Kotze, Alwyn; Lawton, Tom; Howell, Simon J.; O'Driscoll, Ruairi; Odling-Smee, Michael; Shangguan, Linqing; Johnson, Owen A.; Wong, David C.</t>
  </si>
  <si>
    <t>Kotzé, A (corresponding author), Leeds Teaching Hosp NHS Trust, Leeds, England.; Kotzé, A (corresponding author), Univ Leeds, Fac Med &amp; Hlth, Leeds, England.</t>
  </si>
  <si>
    <t>alwyn.kotze@nhs.net</t>
  </si>
  <si>
    <t>Innovate UK (Smart Grants Programme) [10035750]; Aire Logic Ltd.</t>
  </si>
  <si>
    <t>Innovate UK (Smart Grants Programme); Aire Logic Ltd.</t>
  </si>
  <si>
    <t>This study was funded by Innovate UK (Smart Grants Programme, project 10035750) with Aire Logic Ltd as grant recipient. Aire Logic Ltd is an employee-owned company, owning the rights to the Smart PreOp model and providing information technology consultancy services to the UK public sector. MOS and LS are employees of Aire Logic Ltd; ROD was an employee at the time of contributing. AK and DW received personal income for the work, and OAJ/SJH were paid honoraria for critical review of the model development process (but not for writing or reviewing this manuscript). TL is the clinical lead for Artificial Intelligence for NHS North East and Yorkshire. The Leeds Teaching Hospitals data access approval prohibits onward sharing of the patient data, as a privacy safeguard. This study is based in part on data from Connected Bradford. The data are provided by the citizens of Bradford and district and collected by the NHS, Department for Education and other organisations as part of their care and support. The interpretation and conclusions contained in this study are those of the authors alone. The NHS, Department for Education and other organisations do not accept responsibility for inferences and conclusions derived from their data by third parties. Under the terms of the funding programme, Aire Logic Ltd has to protect intellectual property arising from the study; as such, statistical and model development code sharing will be by collaborative agreement. The corresponding author will act as liaison and will forward reasonable requests. The authors would like to thank Werner Salomons, Aire Logic Ltd, for significant contribution to the modelling pipeline.</t>
  </si>
  <si>
    <t>[Kotze, Alwyn] Leeds Teaching Hosp NHS Trust, Leeds, England; [Kotze, Alwyn; Howell, Simon J.; Wong, David C.] Univ Leeds, Fac Med &amp; Hlth, Leeds, England; [Lawton, Tom] Bradford Inst Hlth Res, Improvement Acad, Bradford, England; [Lawton, Tom] Univ York, Dept Comp Sci, York, England; [O'Driscoll, Ruairi; Odling-Smee, Michael; Shangguan, Linqing] Aire Logic Ltd, Leeds, England; [Johnson, Owen A.] Univ Leeds, Sch Comp, Leeds, England</t>
  </si>
  <si>
    <t>University of Leeds; University of Leeds; University of York - UK; University of Leeds</t>
  </si>
  <si>
    <t>Development, external validation and integration into clinical workflow of machine learning models to support pre-operative assessment in the UK</t>
  </si>
  <si>
    <t>ANAESTHESIA</t>
  </si>
  <si>
    <t>electronic health records; machine learning; pre-operative care; risk assessment</t>
  </si>
  <si>
    <t>PHYSICAL STATUS CLASSIFICATION; RELIABILITY; SYSTEM</t>
  </si>
  <si>
    <t>KOTZE, ALWYN/PLC-3525-2026; Lawton, Tom/Q-6443-2019</t>
  </si>
  <si>
    <t>KOTZE, ALWYN/0000-0002-9310-2895; Johnson, Owen Ashby/0000-0003-3998-541X</t>
  </si>
  <si>
    <t>0003-2409</t>
  </si>
  <si>
    <t>1365-2044</t>
  </si>
  <si>
    <t>Anaesthesia</t>
  </si>
  <si>
    <t>201</t>
  </si>
  <si>
    <t>212</t>
  </si>
  <si>
    <t>10.1111/anae.16777</t>
  </si>
  <si>
    <t>http://dx.doi.org/10.1111/anae.16777</t>
  </si>
  <si>
    <t>DH7NR</t>
  </si>
  <si>
    <t>40947846</t>
  </si>
  <si>
    <t>WOS:001570591800001</t>
  </si>
  <si>
    <t>Grinberg, N; Whitefield, S; Kleinman, S; Ianculovici, C; Wasserman, G; Peleg, O</t>
  </si>
  <si>
    <t>Objectives Artificial intelligence (AI) is becoming more popular in medicine. The current study aims to investigate, primarily, if an AI-based chatbot, such as ChatGPT, could be a valid tool for assisting in establishing a differential diagnosis of oral mucosal lesions. Methods Data was gathered from patients who were referred to our clinic for an oral mucosal biopsy by one oral medicine specialist. Clinical description, differential diagnoses, and final histopathologic diagnoses were retrospectively extracted from patient records. The lesion description was inputted into ChatGPT version 4.0 under a uniform script to generate three differential diagnoses. ChatGPT and an oral medicine specialist's differential diagnosis were compared to the final histopathologic diagnosis. Results 100 oral soft tissue lesions were evaluated. A statistically significant correlation was found between the ability of the Chatbot and the Specialist to accurately diagnose the cases (P &lt; 0.001). ChatGPT demonstrated remarkable sensitivity for diagnosing urgent cases, as none of the malignant lesions were missed by the chatbot. At the same time, the specificity of the specialist was higher in cases of malignant lesion diagnosis (p &lt; 0.05). The chatbot performance was reliable in two different events (p &lt; 0.01). Conclusion ChatGPT-4 has shown the ability to pinpoint suspicious malignant lesions and suggest an adequate differential diagnosis for soft tissue lesions, in a consistent and repetitive manner. Clinical relevance This study serves as a primary insight into the role of AI chatbots, as assisting tools in oral medicine and assesses their clinical capabilities.</t>
  </si>
  <si>
    <t>Grinberg, Nadav; Whitefield, Sara; Kleinman, Shlomi; Ianculovici, Clariel; Wasserman, Gilad; Peleg, Oren</t>
  </si>
  <si>
    <t>Grinberg, N (corresponding author), Tel Aviv Sourasky Med Ctr, Dept Otolaryngol Head &amp; Neck Surg &amp; Maxillofacial, IL-64239 Tel Aviv, Israel.</t>
  </si>
  <si>
    <t>Nadav.grinberg@mail.huji.ac.il</t>
  </si>
  <si>
    <t>[Grinberg, Nadav; Kleinman, Shlomi; Ianculovici, Clariel; Peleg, Oren] Tel Aviv Sourasky Med Ctr, Dept Otolaryngol Head &amp; Neck Surg &amp; Maxillofacial, IL-64239 Tel Aviv, Israel; [Whitefield, Sara; Wasserman, Gilad] Tel Aviv Sourasky Med Ctr, Oral Med Unit, Head &amp; Neck Surg &amp; Maxillofacial Surg, IL-64239 Tel Aviv, Israel</t>
  </si>
  <si>
    <t>Tel Aviv University; Sackler Faculty of Medicine; Tel Aviv Sourasky Medical Center; Tel Aviv University; Sackler Faculty of Medicine; Tel Aviv Sourasky Medical Center</t>
  </si>
  <si>
    <t>Assessing the performance of an artificial intelligence based chatbot in the differential diagnosis of oral mucosal lesions: clinical validation study</t>
  </si>
  <si>
    <t>Artificial intelligence; ChatGPT; Oral mucosal lesions; Differential diagnosis; Oral squamous cell carcinoma</t>
  </si>
  <si>
    <t>CLASSIFICATION; HEALTH</t>
  </si>
  <si>
    <t>Grinberg, Nadav/NKO-8754-2025; Whitefield, Sara/MTB-1342-2025; Wasserman, Gilad/LSK-7004-2024</t>
  </si>
  <si>
    <t>Grinberg, Nadav/0009-0001-6347-9106; Wasserman, Gilad/0009-0003-4540-8405</t>
  </si>
  <si>
    <t>MAR 18 2025</t>
  </si>
  <si>
    <t>188</t>
  </si>
  <si>
    <t>10.1007/s00784-025-06268-7</t>
  </si>
  <si>
    <t>http://dx.doi.org/10.1007/s00784-025-06268-7</t>
  </si>
  <si>
    <t>0GU1B</t>
  </si>
  <si>
    <t>40097790</t>
  </si>
  <si>
    <t>WOS:001447007300001</t>
  </si>
  <si>
    <t>Akazawa, M; Hashimoto, K; Nagano, H</t>
  </si>
  <si>
    <t>Background/Aim: Most endometrial cancers are early-stage cancers with a good prognosis, but the prognosis for recurrent endometrial cancer is poor. Accurate prognostication is essential for the management of patients with cancer. This study aimed to assess the survival outcome of endometrial cancer using machine learning.&lt;br /&gt; Materials and Methods: We used data from the Surveillance, Epidemiology, and End Results (SEER) database, constructing machine learning models to predict the 5-year overall survival (OS) and cancer-specific survival (CSS).&lt;br /&gt; The variables included patient demographics, pathological factors, and therapeutic factors.&lt;br /&gt; Results: The OS rates of 71,506 patients and the CSS rates of 66,368 patients were included. For the prediction of OS, the best machine learning model achieved a class accuracy of 0.86 (95% CI = 0.85 - 0.87 ) and an area under the curve (AUC) of 0.83 (95% CI = 0.82 - 0.84 ) in the internal validation set (SEER dataset). In the external validation set of 149 patients, the best model achieved a class accuracy of 0.85 (95% Cl = 0.86 - 0.86 ) and an AUC of 0.85 (95% CI = 0.85 0.86). The model predicted CSS more accurately than OS.&lt;br /&gt; Conclusion: Using machine learning, we were able to predict the prognosis of patients with endometrial cancer.</t>
  </si>
  <si>
    <t>Akazawa, Munetoshi; Hashimoto, Kazunori; Nagano, Hiroaki</t>
  </si>
  <si>
    <t>Akazawa, M (corresponding author), Tokyo Womens Med Univ, Adachi Med Ctr, Dept Obstet &amp; Gynecol, Adachi Ku,Kohoku 2-1-10, Tokyo, Japan.</t>
  </si>
  <si>
    <t>navirez@yahoo.co.jp</t>
  </si>
  <si>
    <t>[Akazawa, Munetoshi; Hashimoto, Kazunori; Nagano, Hiroaki] Tokyo Womens Med Univ, Adachi Med Ctr, Dept Obstet &amp; Gynecol, Adachi Ku,Kohoku 2-1-10, Tokyo, Japan</t>
  </si>
  <si>
    <t>Tokyo Women's Medical University</t>
  </si>
  <si>
    <t>Development and External Validation of Machine Learning-based Models for Predicting Survival Outcomes in Endometrial Cancer: A Population-based Study</t>
  </si>
  <si>
    <t>ANTICANCER RESEARCH</t>
  </si>
  <si>
    <t>Machine learning; overall survival; cancer-specific survival; endometrial cancer; seer study</t>
  </si>
  <si>
    <t>EXPRESSION; DIAGNOSIS</t>
  </si>
  <si>
    <t>0250-7005</t>
  </si>
  <si>
    <t>1791-7530</t>
  </si>
  <si>
    <t>ANTICANCER RES</t>
  </si>
  <si>
    <t>Anticancer Res.</t>
  </si>
  <si>
    <t>3543</t>
  </si>
  <si>
    <t>3551</t>
  </si>
  <si>
    <t>10.21873/anticanres.17715</t>
  </si>
  <si>
    <t>http://dx.doi.org/10.21873/anticanres.17715</t>
  </si>
  <si>
    <t>AX8VJ</t>
  </si>
  <si>
    <t>40750418</t>
  </si>
  <si>
    <t>WOS:001659360200022</t>
  </si>
  <si>
    <t>De Silva, K; Lim, S; Mousa, A; Teede, H; Forbes, A; Demmer, RT; Jönsson, D; Enticott, J</t>
  </si>
  <si>
    <t>Objectives Using a nationally-representative, cross-sectional cohort, we examined nutritional markers of undiagnosed type 2 diabetes in adults via machine learning.Methods A total of 16429 men and non-pregnant women &gt;= 20 years of age were analysed from five consecutive cycles of the National Health and Nutrition Examination Survey. Cohorts from years 2013-2016 (n = 6673) was used for external validation. Undiagnosed type 2 diabetes was determined by a negative response to the question "Have you ever been told by a doctor that you have diabetes?" and a positive glycaemic response to one or more of the three diagnostic tests (HbA1c &gt; 6.4% or FPG &gt;125 mg/dl or 2-hr post-OGTT glucose &gt; 200mg/dl). Following comprehensive literature search, 114 potential nutritional markers were modelled with 13 behavioural and 12 socio-economic variables. We tested three machine learning algorithms on original and resampled training datasets built using three resampling methods. From this, the derived 12 predictive models were validated on internal- and external validation cohorts. Magnitudes of associations were gauged through odds ratios in logistic models and variable importance in others. Models were benchmarked against the ADA diabetes risk test.Results The prevalence of undiagnosed type 2 diabetes was 5.26%. Four best-performing models (AUROC range: 74.9%-75.7%) classified 39 markers of undiagnosed type 2 diabetes; 28 via one or more of the three best-performing non-linear/ensemble models and 11 uniquely by the logistic model. They comprised 14 nutrient-based, 12 anthropometry-based, 9 socio-behavioural, and 4 diet-associated markers. AUROC of all models were on a par with ADA diabetes risk test on both internal and external validation cohorts (p&gt;0.05).Conclusions Models performed comparably to the chosen benchmark. Novel behavioural markers such as the number of meals not prepared from home were revealed. This approach may be useful in nutritional epidemiology to unravel new associations with type 2 diabetes.</t>
  </si>
  <si>
    <t>De Silva, Kushan; Lim, Siew; Mousa, Aya; Teede, Helena; Forbes, Andrew; Demmer, Ryan T.; Jonsson, Daniel; Enticott, Joanne</t>
  </si>
  <si>
    <t>De Silva, K (corresponding author), Monash Univ, Fac Med Nursing &amp; Hlth Sci, Sch Publ Hlth &amp; Prevent Med, Monash Ctr Hlth Res &amp; Implementat, Clayton, Vic, Australia.</t>
  </si>
  <si>
    <t>kushan.ranakombu@monash.edu</t>
  </si>
  <si>
    <t>Australian Government under Research Training Program (RTP)</t>
  </si>
  <si>
    <t>KDS is supported by a PhD scholarship funded by the Australian Government under Research Training Program (RTP). The funders had no role in study design, data collection and analysis, decision to publish, or preparation of the manuscript.</t>
  </si>
  <si>
    <t>[De Silva, Kushan; Lim, Siew; Mousa, Aya; Teede, Helena; Enticott, Joanne] Monash Univ, Fac Med Nursing &amp; Hlth Sci, Sch Publ Hlth &amp; Prevent Med, Monash Ctr Hlth Res &amp; Implementat, Clayton, Vic, Australia; [Forbes, Andrew] Monash Univ, Fac Med Nursing &amp; Hlth Sci, Sch Publ Hlth &amp; Prevent Med, Biostat Unit,Div Res Methodol, Melbourne, Vic, Australia; [Demmer, Ryan T.] Univ Minnesota, Sch Publ Hlth, Div Epidemiol &amp; Community Hlth, Minneapolis, MN USA; [Demmer, Ryan T.] Columbia Univ, Mailman Sch Publ Hlth, New York, NY USA; [Jonsson, Daniel] Malmo Univ, Fac Odontol, Dept Periodontol, Malmo, Sweden; [Jonsson, Daniel] Swedish Dent Serv Skane, Lund, Sweden</t>
  </si>
  <si>
    <t>Monash University; Monash University; University of Minnesota System; University of Minnesota Twin Cities; Columbia University; Malmo University</t>
  </si>
  <si>
    <t>Nutritional markers of undiagnosed type 2 diabetes in adults: Findings of a machine learning analysis with external validation and benchmarking</t>
  </si>
  <si>
    <t>CAFFEINE INTAKE; NHANES; RISK; PREDICTION; HEALTH; METAANALYSIS; ADOLESCENTS; PERFORMANCE; PREVALENCE; MANAGEMENT</t>
  </si>
  <si>
    <t>Enticott, Joanne/I-1587-2014; Mousa, Aya/AFU-5166-2022</t>
  </si>
  <si>
    <t>Enticott, Joanne/0000-0002-4480-5690; De Silva, Kushan/0000-0003-0301-0805; Demmer, Ryan/0000-0003-3429-0379; Mousa, Aya/0000-0002-7356-4523; Lim, Siew/0000-0002-5333-6451</t>
  </si>
  <si>
    <t>MAY 5 2021</t>
  </si>
  <si>
    <t>e0250832</t>
  </si>
  <si>
    <t>10.1371/journal.pone.0250832</t>
  </si>
  <si>
    <t>http://dx.doi.org/10.1371/journal.pone.0250832</t>
  </si>
  <si>
    <t>SW6FV</t>
  </si>
  <si>
    <t>33951067</t>
  </si>
  <si>
    <t>WOS:000664610500045</t>
  </si>
  <si>
    <t>Luo, Q; Zheng, ZY; Luo, W; Zhu, JM</t>
  </si>
  <si>
    <t>Objective: Treatment decision-making for non-small cell lung cancer (NSCLC) is complex, necessitating individualized decision-support tools to improve prognosis. This study aimed to develop and externally validate interpretable machine learning models to predict multiple treatment recommendations (surgery, radiotherapy and chemotherapy) and assess their prognostic implications. Methods: We utilized data from 31,873 NSCLC patients (aged 45 and older, single primary lesion, 2010-2020) from the Surveillance, Epidemiology, and End Results (SEER) database to develop predictive models, and an additional 11,220 patients formed the external validation cohort. Individual models for surgery, radiotherapy and chemotherapy recommendations were developed and validated using nine machine learning algorithms. Model performance was evaluated using the area under the receiver operating characteristic curve (AUROC), accuracy, F1 score and Brier score. Shapley Additive exPlanations (SHAP) analysis was performed for model interpretability. Propensity score matching and Cox proportional hazards models were employed to quantify the survival benefits associated with each treatment modality. Results: LightGBM demonstrated superior performance across all three treatment modalities, achieving AUROC values of 0.902 (surgery), 0.726 (radiotherapy), and 0.829 (chemotherapy) in the development cohort, with robust external validation AUROC values of 0.906, 0.721, and 0.801, respectively. Decision curve analyses revealed that all three models conferred higher net clinical benefits. SHAP analyses identified M stage, tumor stage, N stage and age as critical predictors. Survival analyses revealed significant overall survival benefits from surgery in early-stage patients, whereas radiotherapy and chemotherapy markedly improved outcomes in advanced-stage patients. Conclusion: The interpretable machine learning models accurately predicted individualized recommendations across multiple treatment modalities, providing valuable insights to support personalized decision-making and optimize patient outcomes for NSCLC patients.</t>
  </si>
  <si>
    <t>Luo, Qiong; Zheng, Ziying; Luo, Wei; Zhu, Junmin</t>
  </si>
  <si>
    <t>Zhu, JM (corresponding author), Xiamen Univ, Sch Publ Hlth, Xiamen 361102, Fujian, Peoples R China.</t>
  </si>
  <si>
    <t>JuinZhu@outlook.com</t>
  </si>
  <si>
    <t>Science and Technology Planning Project of Fuzhou [2022-S-010]</t>
  </si>
  <si>
    <t>Science and Technology Planning Project of Fuzhou</t>
  </si>
  <si>
    <t>Funding This research was supported by the Science and Technology Planning Project of Fuzhou (2022-S-010) .</t>
  </si>
  <si>
    <t>[Luo, Qiong] Fujian Med Univ, Dept Oncol Med, Mengchao Hepatobiliary Hosp, Fuzhou, Fujian, Peoples R China; [Zheng, Ziying] Fujian Med Univ, Dept Oncol Med, Union Hosp, Fuzhou 350001, Fujian, Peoples R China; [Luo, Wei] Fujian Med Univ, Union Hosp, Dept Pulm &amp; Crit Care Med, Fuzhou, Fujian, Peoples R China; [Zhu, Junmin] Xiamen Univ, Sch Publ Hlth, Xiamen 361102, Fujian, Peoples R China</t>
  </si>
  <si>
    <t>Fujian Medical University; Fujian Medical University; Fujian Medical University; Xiamen University</t>
  </si>
  <si>
    <t>Development and external validation of interpretable machine learning models for personalized multiple treatment recommendations in non-small cell lung cancer</t>
  </si>
  <si>
    <t>Non-small cell lung cancer; Interpretable machine learning; Treatment recommendation; Multiple treatment; Survival analysis</t>
  </si>
  <si>
    <t>zheng, ziying/KOD-3281-2024; Zhu, Junmin/ODM-8037-2025</t>
  </si>
  <si>
    <t>Zhu, Junmin/0000-0002-3516-5396</t>
  </si>
  <si>
    <t>106160</t>
  </si>
  <si>
    <t>10.1016/j.ijmedinf.2025.106160</t>
  </si>
  <si>
    <t>http://dx.doi.org/10.1016/j.ijmedinf.2025.106160</t>
  </si>
  <si>
    <t>9EN8N</t>
  </si>
  <si>
    <t>41124941</t>
  </si>
  <si>
    <t>WOS:001604464800001</t>
  </si>
  <si>
    <t>Werneburg, GT; Werneburg, EA; Goldman, HB; Slopnick, E; Roberts, LH; Vasavada, SP</t>
  </si>
  <si>
    <t>OBJECTIVE To predict treatment response for overactive bladder (OAB) for a specific patient remains elusive. We sought to develop accurate models using machine learning for prediction of objective and patient-reported treatment response to intravesical botulinum toxin (OBTX-A) injection. We sought to validate the models in a challenging setting using an external dataset of a markedly different patient cohort and dosing regimen. We hypothesized the model would outperform human experts and top available algorithms. METHODS Algorithms using "operator splitting" designed for accuracy and efficiency even in small training datasets with variable completeness, were trained to predict objective response and patient-reported symptomatic improvement using the ROSETTA trial cohort and validated using the ABC trial cohort of patients who underwent OBTX-A. Areas under the curve (AUC) of algorithms were compared to the top publicly-available machine-learning classifier XGBoost, logistic regression with cross validation, and human expert predictions in the external validation set. RESULTS In the validation set, the operator splitting neural network had AUC of 0.66 and outperformed XGBoost with DART (top available machine-learning classifier, AUC: 0.58), logistic regression (AUC 0.55), and human experts (AUC 0.47-0.53) for prediction of clinical responder status. It was similarly accurate in prediction of patient subjective improvement in symptoms following OBTX-A (AUC: 0.64), again outperforming other algorithms and human experts (AUC CONCLUSION The neural network outperformed human experts and other machine-learning approaches in prediction of objective and patient-reported OBTX-A outcomes for OAB in a challenging independent validation cohort. Clinical implementation could improve counseling and treatment selection. UROLOGY 194: 56-63, 2024. (c) 2024 The Authors. Published by Elsevier Inc. This is an open access article under the CC BY-NC-ND license (http://creativecommons.org/</t>
  </si>
  <si>
    <t>Werneburg, Glenn T.; Werneburg, Eric A.; Goldman, Howard B.; Slopnick, Emily; Roberts, Ly Hoang; Vasavada, Sandip P.</t>
  </si>
  <si>
    <t>Werneburg, GT (corresponding author), Glickman Urol &amp; Kidney Inst, Dept Urol, Cleveland, OH 44195 USA.</t>
  </si>
  <si>
    <t>WERNEBG@ccf.org</t>
  </si>
  <si>
    <t>NICHD ORWH</t>
  </si>
  <si>
    <t>NICHD ORWH (United States Department of Health &amp; Human Services, National Institutes of Health (NIH) - USA, NIH Eunice Kennedy Shriver National Institute of Child Health &amp; Human Development (NICHD), NIH Office of Research on Women's Health (ORWH))</t>
  </si>
  <si>
    <t>The authors thank Dr. Cindy Amundsen and ROSETTA trial co-investigators; Dr. Anthony Visco and the ABC trial investigators; the NICHD ORWH (the funding organizations for the original trials) , and the NICHD Data and Specimen through which datasets were obtained after execution data use agreements.</t>
  </si>
  <si>
    <t>[Werneburg, Glenn T.; Werneburg, Eric A.; Goldman, Howard B.; Slopnick, Emily; Roberts, Ly Hoang; Vasavada, Sandip P.] Cleveland Clin Fdn, Glickman Urol &amp; Kidney Inst, Dept Urol, Cleveland, OH USA; [Werneburg, Glenn T.; Werneburg, Eric A.; Goldman, Howard B.; Slopnick, Emily; Roberts, Ly Hoang; Vasavada, Sandip P.] SUNY Stony Brook, Dept Appl Math &amp; Stat, Stony Brook, NY USA</t>
  </si>
  <si>
    <t>Cleveland Clinic Foundation; State University of New York (SUNY) System; Stony Brook University</t>
  </si>
  <si>
    <t>External Validation Demonstrates Machine Learning Models Outperform Human Experts in Prediction of Objective and Patient-reported Overactive Bladder Treatment Outcomes</t>
  </si>
  <si>
    <t>UROLOGY</t>
  </si>
  <si>
    <t>SACRAL NEUROMODULATION; URINARY-INCONTINENCE; ONABOTULINUMTOXINA; WOMEN</t>
  </si>
  <si>
    <t>0090-4295</t>
  </si>
  <si>
    <t>1527-9995</t>
  </si>
  <si>
    <t>Urology</t>
  </si>
  <si>
    <t>194</t>
  </si>
  <si>
    <t>10.1016/j.urology.2024.08.071</t>
  </si>
  <si>
    <t>http://dx.doi.org/10.1016/j.urology.2024.08.071</t>
  </si>
  <si>
    <t>O8M1Q</t>
  </si>
  <si>
    <t>39242047</t>
  </si>
  <si>
    <t>WOS:001373592800001</t>
  </si>
  <si>
    <t>Liu, JY; Duan, XJ; Duan, MJ; Jiang, Y; Mao, W; Wang, LL; Liu, G</t>
  </si>
  <si>
    <t>Given the limited capacity to accurately determine the necessity for intubation in intensive care unit settings, this study aimed to develop and externally validate an interpretable machine learning model capable of predicting the need for intubation among ICU patients. Seven widely used machine learning (ML) algorithms were employed to construct the prediction models. Adult patients from the Medical Information Mart for Intensive Care IV database who stayed in the ICU for longer than 24 h were included in the development and internal validation. The model was subsequently externally validated using the eICU-CRD database. In addition, the SHapley Additive exPlanations method was employed to interpret the influence of individual parameters on the predictions made by the model. A total of 11,988 patients were included in the final cohort for this study. The CatBoost model demonstrated the best performance (AUC: 0.881). In the external validation set, the efficacy of our model was also confirmed (AUC: 0.750), which suggests robust generalization capabilities. The Glasgow Coma Scale (GCS), body mass index (BMI), arterial partial pressure of oxygen (PaO2), respiratory rate (RR) and length of stay (LOS) before ICU were the top 5 features of the CatBoost model with the greatest impact. We developed an externally validated CatBoost model that accurately predicts the need for intubation in ICU patients within 24 to 96 h of admission, facilitating clinical decision-making and has the potential to improve patient outcomes. The prediction model utilizes readily obtainable monitoring parameters and integrates the SHAP method to enhance interpretability, providing clinicians with clear insights into the factors influencing predictions.</t>
  </si>
  <si>
    <t>Liu, Jianyuan; Duan, Xiangjie; Duan, Minjie; Jiang, Yu; Mao, Wei; Wang, Lilin; Liu, Gang</t>
  </si>
  <si>
    <t>Liu, G (corresponding author), Chongqing Med Univ, Dept Emergency &amp; Crit Care Med, Univ Town Hosp, Chongqing, Peoples R China.</t>
  </si>
  <si>
    <t>lg@cqmu.edu.cn</t>
  </si>
  <si>
    <t>Chongqing Medical University</t>
  </si>
  <si>
    <t>[Liu, Jianyuan] Capital Med Univ, Beijing Chao Yang Hosp, Emergency Med Clin Res Ctr, Beijing, Peoples R China; [Duan, Xiangjie] Jinan Univ, Affiliated Hosp 1, Dept Infect Dis, Dept Emergency Med, Guangzhou, Peoples R China; [Duan, Minjie] Chinese Peoples Liberat Army Gen Hosp, Ctr Artificial Intelligence Med, Beijing, Peoples R China; [Jiang, Yu] Chongqing Med Univ, Dept Resp &amp; Crit Care Med, Univ Town Hosp, Chongqing, Peoples R China; [Mao, Wei; Wang, Lilin; Liu, Gang] Chongqing Med Univ, Dept Emergency &amp; Crit Care Med, Univ Town Hosp, Chongqing, Peoples R China</t>
  </si>
  <si>
    <t>Capital Medical University; Jinan University; Chinese People's Liberation Army General Hospital; Chongqing Medical University; Chongqing Medical University</t>
  </si>
  <si>
    <t>Development and external validation of an interpretable machine learning model for the prediction of intubation in the intensive care unit</t>
  </si>
  <si>
    <t>Tracheal intubation; Clinical decision support; Critical care; Data science; Machine learning</t>
  </si>
  <si>
    <t>CRITICALLY-ILL PATIENTS; ENDOTRACHEAL INTUBATION; TRACHEAL INTUBATION; EVENTS; COMPLICATIONS; GUIDELINES</t>
  </si>
  <si>
    <t>JIANG, YU/GYU-6784-2022; Xiang-Jie, Duan/AFI-5477-2022</t>
  </si>
  <si>
    <t>Liu, Jianyuan/0009-0005-6099-2210</t>
  </si>
  <si>
    <t>NOV 8 2024</t>
  </si>
  <si>
    <t>27174</t>
  </si>
  <si>
    <t>10.1038/s41598-024-77798-5</t>
  </si>
  <si>
    <t>http://dx.doi.org/10.1038/s41598-024-77798-5</t>
  </si>
  <si>
    <t>L7Q3S</t>
  </si>
  <si>
    <t>39511328</t>
  </si>
  <si>
    <t>WOS:001352623400016</t>
  </si>
  <si>
    <t>Garcia-Zamalloa, A; Arnay, R; Castilla-Rodriguez, I; Mar, J; Gonzalez-Cava, JM; Ibarrondo, O; Salegui, I; De Miguel, JA; Mugica, N; Aguinagalde, B; Zabaleta, J; Basauri, B; Alonso, M; Azcue, N; Gil, E; Garmendia, I; Taboada, J</t>
  </si>
  <si>
    <t>Objective To perform an external validation of a previously reported machine learning (ML) approach for predicting the diagnosis of pleural tuberculosis. Patients and Methods We defined two cohorts: a Training group, comprising 273 out of 1,220 effusions from our prospective study (2013-2022); and a Testing group, from a retrospective analysis of 360 effusions from 832 consecutive patients in Bajo Deba health district (1996-2012). All the effusions included were exudative and lymphocytic. In Training and Testing groups respectively, 49 and 104 cases were tuberculous, 143 and 92 were malignant, and 81 and 164 were diagnosed with "other diseases"; pre-test probabilities of pleural tuberculosis were 4% and 12.7%. Variables included were: age, pH, adenosine deaminase, glucose, protein, and lactate dehydrogenase levels, and white cell counts (total and differential) in pleural fluid. We used two ML classifiers: binary (tuberculous and non-tuberculous), and three-class (tuberculous, malignant, and others); and compared them with Bayesian analysis. Results The best binary classifier yielded a sensitivity of 88%, specificity of 98%, and accuracy of 95%. The best three-class classifier achieved the same accuracy and correctly classified 83% (77/92) of malignant cases. The ML models yielded higher positive predictive values than Bayesian analysis based on ADA &gt; 40 U/l and lymphocyte percentage &gt;= 50% (92%). Conclusions This external validation confirms the good performance of the previously reported ML approach for predicting the diagnosis of pleural tuberculosis based on exudative and lymphocytic pleural effusions, and for discriminating the cases most likely to be malignant. Additionally, ML was more accurate than the Bayesian approach in our study.</t>
  </si>
  <si>
    <t>Garcia-Zamalloa, Alberto; Arnay, Rafael; Castilla-Rodriguez, Ivan; Mar, Javier; Gonzalez-Cava, Jose Manuel; Ibarrondo, Oliver; Salegui, Inaki; De Miguel, Juan Antonio; Mugica, Nekane; Aguinagalde, Borja; Zabaleta, Jon; Basauri, Begona; Alonso, Marta; Azcue, Nekane; Gil, Eva; Garmendia, Irati; Taboada, Jorge</t>
  </si>
  <si>
    <t>Garcia-Zamalloa, A (corresponding author), Mendaro Hosp, Biogipuzkoa Hlth Res Inst, Internal Med Serv, Resp &amp; Pleural Dis Grp,Osakidetza Basque Hlth Serv, Gipuzkoa, Spain.</t>
  </si>
  <si>
    <t>alberto.garciazamalloa@gmail.com</t>
  </si>
  <si>
    <t>[Garcia-Zamalloa, Alberto] Mendaro Hosp, Biogipuzkoa Hlth Res Inst, Internal Med Serv, Resp &amp; Pleural Dis Grp,Osakidetza Basque Hlth Serv, Gipuzkoa, Spain; [Arnay, Rafael; Castilla-Rodriguez, Ivan; Gonzalez-Cava, Jose Manuel] Univ La Laguna, Dept Ingn Informat &amp; Sistemas, Santa Cruz De Tenerife, Spain; [Mar, Javier] Biogipuzkoa Hlth Res Inst, Econ Evaluat Chron Dis Res Grp, Epidemiol &amp; Publ Hlth Area, Donostia San Sebastian, Spain; [Ibarrondo, Oliver; Taboada, Jorge] Mendaro Hosp, Osakidetza Basque Hlth Serv, Western Gipuzkoa Clin Res Unit, Gipuzkoa, Spain; [Salegui, Inaki; De Miguel, Juan Antonio; Mugica, Nekane] Donostia Univ Hosp, Biogipuzkoa Hlth Res Inst, Osakidetza Basque Hlth Serv, Pneumol Serv,Resp &amp; Pleural Dis Grp, Gipuzkoa, Spain; [Aguinagalde, Borja; Zabaleta, Jon] Donostia Univ Hosp, Biogipuzkoa Hlth Res Inst, Osakidetza Basque Hlth Serv, Thorac Surg Serv,Resp &amp; Pleural Dis Grp, Gipuzkoa, Spain; [Basauri, Begona] Mendaro Hosp, Osakidetza Basque Hlth Serv, Biochem Lab, Gipuzkoa, Spain; [Alonso, Marta; Azcue, Nekane] Donostia Univ Hosp, Biogipuzkoa Hlth Res Inst, Resp Infect &amp; Antimicrobial Resistance Grp, Microbiol Dept,Osakidetza Basque Hlth Serv, Gipuzkoa, Spain; [Gil, Eva] Donostia Univ Hosp, Osakidetza Basque Hlth Serv, Biochem Lab, Gipuzkoa, Spain; [Garmendia, Irati] Biogipuzkoa Hlth Res Inst, Oncol Area, Gipuzkoa, Spain; [Taboada, Jorge] Bilbao Basurto Integrated Org, Prevent Med &amp; Publ Hlth Serv, Bizkaia, Spain</t>
  </si>
  <si>
    <t>Universidad de la Laguna; Instituto de Investigacion Sanitaria Biogipuzkoa; University Hospital Donostia; University Hospital Donostia; University Hospital Donostia; University Hospital Donostia</t>
  </si>
  <si>
    <t>Machine learning for predicting the diagnosis of tuberculous versus malignant pleural effusion: External validation and accuracy in two different settings</t>
  </si>
  <si>
    <t>ADENOSINE-DEAMINASE</t>
  </si>
  <si>
    <t>Arnay, Rafael/M-1738-2014; Zabaleta, Jon/MIT-8170-2025; GARCIA-ZAMALLOA, ALBERTO/GYU-1771-2022; Castilla Rodríguez, Iván/J-4169-2018; Garmendia, Irati/AAE-3451-2022; Aguinagalde, Borja/LLK-4561-2024</t>
  </si>
  <si>
    <t>IBARRONDO, OLIVER/0000-0003-3310-719X; GARCIA-ZAMALLOA, ALBERTO/0000-0001-9959-2429; Castilla Rodríguez, Iván/0000-0003-3933-2582; Aguinagalde, Borja/0000-0003-4083-3579</t>
  </si>
  <si>
    <t>SEP 5 2025</t>
  </si>
  <si>
    <t>e0329668</t>
  </si>
  <si>
    <t>10.1371/journal.pone.0329668</t>
  </si>
  <si>
    <t>http://dx.doi.org/10.1371/journal.pone.0329668</t>
  </si>
  <si>
    <t>7BM5X</t>
  </si>
  <si>
    <t>40911586</t>
  </si>
  <si>
    <t>WOS:001567079400032</t>
  </si>
  <si>
    <t>Jung, JJ; Kim, EK; Kang, E; Kim, JH; Kim, SH; Suh, KJ; Kim, SM; Jang, M; Yun, BL; Park, SY; Lim, C; Han, W; Shin, HC</t>
  </si>
  <si>
    <t>Purpose: Several predictive models have been developed to predict the pathological complete response (pCR) after neoadjuvant chemotherapy (NAC); however, few are broadly applicable owing to radiologic complexity and institution-specific clinical variables, and none have been externally validated. This study aimed to develop and externally validate a machine learning model that predicts pCR after NAC in patients with breast cancer using routinely collected clinical and demographic variables.Methods: The electronic medical records of patients with advanced breast cancer who underwent NAC before surgical resection between January 2017 and December 2020 were reviewed. Patient data from Seoul National University Bundang Hospital were divided into training and internal validation cohorts. Five machine learning techniques, including gradient boosting machine (GBM), support vector machine, random forest, decision tree, and neural network, were used to build predictive models, and the area under the receiver operating characteristic curve (AUC) was compared to select the best model. Finally, the model was validated using an independent cohort from Seoul National University Hospital.Results: A total of 1,003 patients were included in the study: 287, 71, and 645 in the training, internal validation, and external validation cohorts, respectively. Overall, 36.3% of the patients achieved pCR. Among the five machine learning models, the GBM showed the highest AUC for pCR prediction (AUC, 0.903; 95% confidence interval [CI], 0.833-0.972). External validation confirmed an AUC of 0.833 (95% CI, 0.800-0.865).Conclusion: Commonly available clinical and demographic variables were used to develop a machine learning model for predicting pCR following NAC. External validation of the model demonstrated good discrimination power, indicating that routinely collected variables were sufficient to build a good prediction model.</t>
  </si>
  <si>
    <t>Jung, Ji-Jung; Kim, Eun-Kyu; Kang, Eunyoung; Kim, Jee Hyun; Kim, Se Hyun; Suh, Koung Jin; Kim, Sun Mi; Jang, Mijung; Yun, Bo La; Park, So Yeon; Lim, Changjin; Han, Wonshik; Shin, Hee-Chul</t>
  </si>
  <si>
    <t>Shin, HC (corresponding author), Seoul Natl Univ, Coll Med, Dept Surg, Seoul, South Korea.; Shin, HC (corresponding author), Seoul Natl Univ, Bundang Hosp, Coll Med, Dept Surg, Seongnam, South Korea.; Shin, HC (corresponding author), Seoul Natl Univ, Coll Med, Dept Surg, Bundang Hosp, 82 Gumi ro 173 Beon gil, Seongnam 13620, South Korea.</t>
  </si>
  <si>
    <t>dradam77@naver.com</t>
  </si>
  <si>
    <t>[Jung, Ji-Jung; Kim, Eun-Kyu; Kang, Eunyoung; Lim, Changjin; Han, Wonshik; Shin, Hee-Chul] Seoul Natl Univ, Coll Med, Dept Surg, Seoul, South Korea; [Kim, Eun-Kyu; Kang, Eunyoung; Shin, Hee-Chul] Seoul Natl Univ, Bundang Hosp, Coll Med, Dept Surg, Seongnam, South Korea; [Kim, Jee Hyun; Kim, Se Hyun; Suh, Koung Jin] Seoul Natl Univ, Coll Med, Dept Internal Med, Bundang Hosp, Seongnam 13620, South Korea; [Kim, Sun Mi; Jang, Mijung; Yun, Bo La] Seoul Natl Univ, Bundang Hosp, Dept Radiol, Coll Med, Seongnam, South Korea; [Park, So Yeon] Seoul Natl Univ, Bundang Hosp, Dept Pathol, Coll Med, Seongnam, South Korea; [Han, Wonshik] Seoul Natl Univ, Coll Med, Canc Res Inst, Seoul, South Korea; [Shin, Hee-Chul] Seoul Natl Univ, Coll Med, Dept Surg, Bundang Hosp, 82 Gumi ro 173 Beon gil, Seongnam 13620, South Korea</t>
  </si>
  <si>
    <t>Seoul National University (SNU); Seoul National University (SNU); Seoul National University Hospital; Seoul National University (SNU); Seoul National University Hospital; Seoul National University (SNU); Seoul National University Hospital; Seoul National University (SNU); Seoul National University Hospital; Seoul National University (SNU); Seoul National University (SNU); Seoul National University Hospital</t>
  </si>
  <si>
    <t>Development and External Validation of a Machine Learning Model to Predict Pathological Complete Response After Neoadjuvant Chemotherapy in Breast Cancer</t>
  </si>
  <si>
    <t>JOURNAL OF BREAST CANCER</t>
  </si>
  <si>
    <t>Breast Neoplasms; Machine Learning; Neoadjuvant Therapy</t>
  </si>
  <si>
    <t>PREOPERATIVE CHEMOTHERAPY; NOMOGRAMS; SURVIVAL; SURGERY; WOMEN</t>
  </si>
  <si>
    <t>Kim, Eun-Kyu/LNQ-3974-2024; SHIN, HEE-CHUL/M-2879-2013; Park, So Yeon/A-2621-2012; Han, Wonshik/B-3699-2008</t>
  </si>
  <si>
    <t>Jang, Mijung/0000-0001-9619-6877; Kim, Eun-Kyu/0000-0003-1318-0939; SHIN, HEE-CHUL/0000-0001-6512-2218; Jung, Ji-Jung/0000-0003-4080-1075; Suh, Koung Jin/0000-0002-1881-8738; Kim, Se Hyun/0000-0002-2292-906X; Park, So Yeon/0000-0002-0299-7268</t>
  </si>
  <si>
    <t>KOREAN BREAST CANCER SOC</t>
  </si>
  <si>
    <t>163 SINMUNRO 1-GA JONGRO-GU, OFFICIA BUILDING, SUITE 2024, SEOUL, 110-999, SOUTH KOREA</t>
  </si>
  <si>
    <t>1738-6756</t>
  </si>
  <si>
    <t>2092-9900</t>
  </si>
  <si>
    <t>J BREAST CANCER</t>
  </si>
  <si>
    <t>J. Breast Canc.</t>
  </si>
  <si>
    <t>10.4048/jbc.2023.26.e14</t>
  </si>
  <si>
    <t>http://dx.doi.org/10.4048/jbc.2023.26.e14</t>
  </si>
  <si>
    <t>R3OR3</t>
  </si>
  <si>
    <t>37272242</t>
  </si>
  <si>
    <t>WOS:001063483800004</t>
  </si>
  <si>
    <t>Campagner, A; Agnello, L; Carobene, A; Padoan, A; Del Ben, F; Locatelli, M; Plebani, M; Ognibene, A; Lorubbio, M; De Vecchi, E; Cortegiani, A; Piva, E; Poz, D; Curcio, F; Cabitza, F; Ciaccio, M</t>
  </si>
  <si>
    <t>Background: Sepsis is an organ dysfunction caused by a dysregulated host responseto infection. Early detection is fundamental to improving the patient outcome. Laboratory medicine can play a crucial role by providing biomarkers whose alteration can be detected before the onset of clinical signs and symptoms. In particular, the relevance of monocyte distribution width (MDW) as a sepsis biomarker has emerged in the previous decade. However, despite encouraging results, MDW has poor sensitivity and positive predictive value when compared to other biomarkers. Objective: This study aims to investigate the use of machine learning (ML) to overcome the limitations mentioned earlier by combining different parameters and therefore improving sepsis detection. However, making ML models function in clinical practice may be problematic, as their performance may suffer when deployed in contexts other than the research environment. In fact, even widely used commercially available models have been demonstrated to generalize poorly in out-of-distribution scenarios. Methods: In this multicentric study, we developed ML models whose intended use is the early detection of sepsis on the basis of MDW and complete blood count parameters. In total, data from 6 patient cohorts (encompassing 5344 patients) collected at 5 different Italian hospitals were used to train and externally validate ML models. The models were trained on a patient cohort encompassing patients enrolled at the emergency department, and it was externally validated on 5 different cohorts encompassing patients enrolled at both the emergency department and the intensive care unit. The cohorts were selected to exhibit a variety of data distribution shifts compared to the training set, including label, covariate, and missing data shifts, enabling a conservative validation of the developed models. To improve generalizability and robustness to different types of distribution shifts, the developed ML models combine traditional methodologies with advanced techniques inspired by controllable artificial intelligence (AI), namely cautious classification, which gives the ML models the ability to abstain from making predictions, and explainable AI, which provides health operators with useful information about the models' functioning. Results: The developed models achieved good performance on the internal validation (area under the receiver operating characteristic curve between 0.91 and 0.98), as well as consistent generalization performance across the external validation datasets (area under the receiver operating characteristic curve between 0.75 and 0.95), outperforming baseline biomarkers and state-of-the-art ML models for sepsis detection. Controllable AI techniques were further able to improve performance and were used to derive an interpretable set of diagnostic rules. Conclusions: Our findings demonstrate how controllable AI approaches based on complete blood count and MDW may be used for the early detection of sepsis while also demonstrating how the proposed methodology can be used to develop ML models that are more resistant to different types of data distribution shifts.</t>
  </si>
  <si>
    <t>Campagner, Andrea; Agnello, Luisa; Carobene, Anna; Padoan, Andrea; Del Ben, Fabio; Locatelli, Massimo; Plebani, Mario; Ognibene, Agostino; Lorubbio, Maria; De Vecchi, Elena; Cortegiani, Andrea; Piva, Elisa; Poz, Donatella; Curcio, Francesco; Cabitza, Federico; Ciaccio, Marcello</t>
  </si>
  <si>
    <t>Cabitza, F (corresponding author), Univ Milano Bicocca, Dept Comp Sci Syst &amp; Commun, Piazza Ateneo Nuovo 1, I-20126 Milan, Italy.</t>
  </si>
  <si>
    <t>[Campagner, Andrea; De Vecchi, Elena; Curcio, Francesco; Cabitza, Federico] IRCCS Osped Galeazzi St Ambrogio, Milan, Italy; [Agnello, Luisa; Cortegiani, Andrea; Ciaccio, Marcello] Univ Palermo, Palermo, Italy; [Carobene, Anna; Locatelli, Massimo] IRCCS San Raffaele Sci Inst, Milan, Italy; [Padoan, Andrea; Plebani, Mario] Univ Padua, Dept Med, Padua, Italy; [Padoan, Andrea; Plebani, Mario] Univ Hosp Padova, Lab Med Unit, Padua, Italy; [Del Ben, Fabio] IRCCS Ctr Riferimento Oncol Aviano, Aviano, Italy; [Ognibene, Agostino; Lorubbio, Maria] San Donato Hosp Arezzo, Arezzo, Italy; [Cortegiani, Andrea; Ciaccio, Marcello] Univ Hosp Policlin Paolo Giaccone, Palermo, Italy; [Piva, Elisa] Azienda Socio Sanit Terr Mantova, Mantua, Italy; [Poz, Donatella] Univ Hosp Udine, Udine, Italy; [Poz, Donatella; Cabitza, Federico] Univ Milano Bicocca, Dept Comp Sci Syst &amp; Commun, Piazza Ateneo Nuovo 1, I-20126 Milan, Italy</t>
  </si>
  <si>
    <t>University of Palermo; Vita-Salute San Raffaele University; IRCCS Ospedale San Raffaele; University of Padua; University of Padua; Azienda Ospedaliera - Universita di Padova; IRCCS Aviano (CRO); IRCCS Policlinico San Donato; University of Palermo; Policlinico Paolo Giaccone; University of Udine; University Hospital of Udine; University of Milano-Bicocca</t>
  </si>
  <si>
    <t>Complete Blood Count and Monocyte Distribution Width-Based Machine Learning Algorithms for Sepsis Detection: Multicentric Development and External Validation Study</t>
  </si>
  <si>
    <t>sepsis; medical machine learning; external validation; complete blood count; controllable AI; machine learning; artificial intelligence; development study; validation study; organ; organ dysfunction; detection; clinical signs; clinical symptoms; biomarker; diagnostic; machine learning model; sepsis detection; early detection; data distribution</t>
  </si>
  <si>
    <t>PREDICTION; MODELS; TOOL</t>
  </si>
  <si>
    <t>Curcio, Francesco/K-4669-2014; Cabitza, Federico/JCO-4001-2023; Carobene, Anna/D-2240-2018; Cortegiani, Andrea/H-4902-2016; Padoan, Andrea/J-7869-2016; De Vecchi, Elena/B-8209-2017; DEL BEN, FABIO/AGS-8943-2022; Plebani, Mario/AAF-4953-2020; Campagner, Andrea/AAB-4238-2020</t>
  </si>
  <si>
    <t>Ognibene, Agostino/0000-0001-5287-4250; Carobene, Anna/0000-0003-0147-9378; Padoan, Andrea/0000-0003-1284-7885; De Vecchi, Elena/0000-0001-9781-8607; DEL BEN, FABIO/0000-0002-1880-0669; Plebani, Mario/0000-0002-0270-1711; LOCATELLI, MASSIMO/0009-0002-9279-7645; Campagner, Andrea/0000-0002-0027-5157</t>
  </si>
  <si>
    <t>FEB 26 2025</t>
  </si>
  <si>
    <t>e55492</t>
  </si>
  <si>
    <t>10.2196/55492</t>
  </si>
  <si>
    <t>http://dx.doi.org/10.2196/55492</t>
  </si>
  <si>
    <t>1DG4X</t>
  </si>
  <si>
    <t>40009841</t>
  </si>
  <si>
    <t>WOS:001462273100001</t>
  </si>
  <si>
    <t>Sabbagh, A; Washington, SL; Tilki, D; Hong, JC; Feng, J; Valdes, G; Chen, MH; Wu, J; Huland, H; Graefen, M; Wiegel, T; Böhmer, D; Cowan, JE; Cooperberg, M; Feng, FY; Roach, M; Trock, BJ; Partin, AW; D'Amico, AV; Carroll, PR; Mohamad, O</t>
  </si>
  <si>
    <t>Background: Pelvic lymph node dissection (PLND) is the gold standard for diagnosis of lymph node involvement (LNI) in patients with prostate cancer. The Roach formula, Memorial Sloan Kettering Cancer Center (MSKCC) calculator, and Briganti 2012 nomogram are elegant and simple traditional tools used to estimate the risk of LNI and select patients for PLND.Objective: To determine whether machine learning (ML) can improve patient selection and outperform currently available tools for predicting LNI using similar readily available clinicopathologic variables. Design, setting, and participants: Retrospective data for patients treated with surgery and PLND between 1990 and 2020 in two academic institutions were used.Outcome measurements and statistical analysis: We trained three models (two logistic regression models and one gradient-boosted trees-based model [XGBoost]) on data provided from one institution (n = 20 267) with age, prostate-specific antigen (PSA) levels, clinical T stage, percentage positive cores, and Gleason scores as inputs. We externally validated these models using data from another institution (n = 1322) and compared their performance to that of the traditional models using the area under the receiver operating characteristic curve (AUC), calibration, and decision curve analysis (DCA).Results and limitations: LNI was present in 2563 patients (11.9%) overall, and in 119 patients (9%) in the validation data set. XGBoost had the best performance among all the models. On external validation, its AUC outperformed that of the Roach formula by 0.08 (95% confidence interval [CI] 0.042-0.12), the MSKCC nomogram by 0.05 (95% CI 0.016-0.070), and the Briganti nomogram by 0.03 (95% CI 0.0092-0.051; all p &lt; 0.05). It also had better calibration and clinical utility in terms of net benefit on DCA across relevant clinical thresholds. The main limitation of the study is its retrospec-tive design. Conclusions: Taking all measures of performance together, ML using standard clinico-pathologic variables outperforms traditional tools in predicting LNI.Patient summary: Determining the risk of cancer spread to the lymph nodes in patients with prostate cancer allows surgeons to perform lymph node dissection only in patients who need it and avoid the side effects of the procedure in those who do not. In this study, we used machine learning to develop a new calculator to predict the risk of lymph node involvement that outperformed traditional tools currently used by oncologists.(c) 2023 European Association of Urology. Published by Elsevier B.V. All rights reserved.</t>
  </si>
  <si>
    <t>Sabbagh, Ali; Washington, Samuel L.; Tilki, Derya; Hong, Julian C.; Feng, Jean; Valdes, Gilmer; Chen, Ming-Hui; Wu, Jing; Huland, Hartwig; Graefen, Markus; Wiegel, Thomas; Boehmer, Dirk; Cowan, Janet E.; Cooperberg, Matthew; Feng, Felix Y.; Roach, Mack; Trock, Bruce J.; Partin, Alan W.; V. D'Amico, Anthony; Carroll, Peter R.; Mohamad, Osama</t>
  </si>
  <si>
    <t>Mohamad, O (corresponding author), Univ Calif San Francisco, Dept Radiat Oncol, 1825 4th St, San Francisco, CA 94158 USA.</t>
  </si>
  <si>
    <t>osama.mohamad@ucsf.edu</t>
  </si>
  <si>
    <t>UCSF Prostate Cancer Program Pilot Research Award</t>
  </si>
  <si>
    <t>Funding/Support and role of the sponsor : This work was funded by the UCSF Prostate Cancer Program Pilot Research Award.</t>
  </si>
  <si>
    <t>[Sabbagh, Ali; Hong, Julian C.; Valdes, Gilmer; Feng, Felix Y.; Roach, Mack; Mohamad, Osama] Univ Calif San Francisco, Dept Radiat Oncol, 1825 4th St, San Francisco, CA 94158 USA; [Washington, Samuel L.; Cowan, Janet E.; Cooperberg, Matthew; Feng, Felix Y.; Carroll, Peter R.; Mohamad, Osama] Univ Calif San Francisco, Dept Urol, San Francisco, CA 94158 USA; [Feng, Jean; Cooperberg, Matthew] Univ Calif San Francisco, Dept Epidemiol &amp; Biostat, San Francisco, CA 94158 USA; [Tilki, Derya; Huland, Hartwig; Graefen, Markus] Univ Hosp Hamburg Eppendorf, Martini Klin Prostate Canc Ctr, Hamburg, Germany; [Tilki, Derya] Univ Hosp Hamburg Eppendorf, Dept Urol, Hamburg, Germany; [Chen, Ming-Hui] Univ Connecticut, Dept Stat, Storrs, CT USA; [Wu, Jing] Univ Rhode Isl, Dept Comp Sci &amp; Stat, Kingston, RI USA; [Wiegel, Thomas] Univ Hosp Ulm, Dept Radio Oncol, Ulm, Germany; [Boehmer, Dirk] Charite, Dept Radiat Oncol, Berlin, Germany; [Trock, Bruce J.] Johns Hopkins Sch Med, Brady Urol Inst, Div Epidemiol, Baltimore, MD 21205 USA; [Partin, Alan W.] Johns Hopkins Med Inst, Brady Urol Inst, Dept Urol, Baltimore, MD USA; [V. D'Amico, Anthony] Brigham &amp; Womens Hosp, Dept Radiat Oncol, Boston, MA USA; [V. D'Amico, Anthony] Dana Farber Canc Inst, Boston, MA USA</t>
  </si>
  <si>
    <t>University of California System; University of California San Francisco; University of California System; University of California San Francisco; University of Hamburg; University Medical Center Hamburg-Eppendorf; University of Hamburg; University Medical Center Hamburg-Eppendorf; University of Connecticut; Harvard University; Harvard University Medical Affiliates; Brigham &amp; Women's Hospital; Harvard University; Harvard University Medical Affiliates; Dana-Farber Cancer Institute</t>
  </si>
  <si>
    <t>Development and External Validation of a Machine Learning Model for Prediction of Lymph Node Metastasis in Patients with Prostate Cancer</t>
  </si>
  <si>
    <t>Prostate cancer; Lymph node metastasis; Machine leaning</t>
  </si>
  <si>
    <t>RADICAL PROSTATECTOMY; SIOG GUIDELINES; LOCAL TREATMENT; DISSECTION; CALIBRATION; DIAGNOSIS; RISK; NOMOGRAM</t>
  </si>
  <si>
    <t>chen, minghui/KFR-8832-2024; Wiegel, Thomas/ABB-4372-2020; Washington, Samuel/X-7049-2019; Cooperberg, Matthew/G-6249-2017; Böhmer, Dirk/AAI-2218-2020</t>
  </si>
  <si>
    <t>Washington, Samuel/0000-0002-2467-6115; Sabbagh, Ali/0000-0001-6826-959X</t>
  </si>
  <si>
    <t>501</t>
  </si>
  <si>
    <t>507</t>
  </si>
  <si>
    <t>10.1016/j.euo.2023.02.006</t>
  </si>
  <si>
    <t>http://dx.doi.org/10.1016/j.euo.2023.02.006</t>
  </si>
  <si>
    <t>Z3DA6</t>
  </si>
  <si>
    <t>36868922</t>
  </si>
  <si>
    <t>WOS:001110900800001</t>
  </si>
  <si>
    <t>Gesierich, B; Sander, L; Pirpamer, L; Meier, DS; Ruberte, E; Amann, M; Sinnecker, T; Huck, A; de Leeuw, FE; Maillard, P; Moy, S; Helmer, KG; MarkVCID Consortium; Levin, J; Höglinger, GU; PROMESA Study Grp; Kühne, M; Bonati, LH; Kuhle, J; Cattin, P; Granziera, C; Schlaeger, R; Duering, M</t>
  </si>
  <si>
    <t>Disorders of the central nervous system, including neurodegenerative diseases, frequently affect the brainstem and can present with focal atrophy. This study aimed to (1) optimize deep learning-based brainstem segmentation for a wide range of pathologies and T1-weighted image acquisition parameters, (2) conduct a systematic technical and clinical validation, (3) improve segmentation quality in the presence of brainstem lesions, and (4) make an optimized brainstem segmentation tool available for public use. An intentionally heterogeneous ground truth dataset (n = 257) was employed in the training of deep learning models based on multi-dimensional gated recurrent units (MD-GRU) or the nnU-Net method. Segmentation performance was evaluated against ground truth labels. FreeSurfer was used for benchmarking in subsequent validation. Technical validation, including scan-rescan repeatability (n = 46) and inter-scanner reproducibility (n = 20, 3 different scanners) in unseen data, was conducted in patients with cerebral small vessel disease. Clinical validation in unseen data was performed in 1-year follow-up data of 16 patients with multiple system atrophy, evaluating the annual percentage volume change. Two lesion filling algorithms were investigated to improve segmentation performance in 23 patients with multiple sclerosis. The MD-GRU and nnU-Net models demonstrated very good segmentation performance (median Dice coefficients &gt;= 0.95 each) and outperformed a previously published model trained on a narrower dataset. Scan-rescan repeatability and inter-scanner reproducibility yielded similar Bland-Altman derived limits of agreement for longitudinal FreeSurfer (total brainstem volume repeatability/reproducibility 0.68/1.85), MD-GRU (0.72/1.46), and nnU-Net (0.48/1.52). All methods showed comparable performance in the detection of atrophy in the total brainstem (atrophy detected in 100% of patients) and its substructures. In patients with multiple sclerosis, lesion filling further improved the accuracy of brainstem segmentation. We enhanced and systematically validated two fully automated deep learning brainstem segmentation methods and released them publicly. This enables a broader evaluation of brainstem volume as a candidate biomarker for neurodegeneration.</t>
  </si>
  <si>
    <t>Gesierich, Benno; Sander, Laura; Pirpamer, Lukas; Meier, Dominik S.; Ruberte, Esther; Amann, Michael; Sinnecker, Tim; Huck, Antal; de Leeuw, Frank-Erik; Maillard, Pauline; Moy, Sue; Helmer, Karl G.; MarkVCID Consortium, Johannes; Levin, Johannes; Hoeglinger, Guenter U.; PROMESA Study Grp, Leo H.; Kuehne, Michael; Bonati, Leo H.; Kuhle, Jens; Cattin, Philippe; Granziera, Cristina; Schlaeger, Regina; Duering, Marco</t>
  </si>
  <si>
    <t>Duering, M (corresponding author), Med Image Anal Ctr MIAC, Basel, Switzerland.; Duering, M (corresponding author), Univ Basel, Dept Biomed Engn, Translat Imaging Neurol ThINk Basel, Basel, Switzerland.; Duering, M (corresponding author), Ludwig Maximilians Univ Munchen, LMU Univ Hosp, Inst Stroke &amp; Dementia Res ISD, Munich, Germany.</t>
  </si>
  <si>
    <t>National Institute of Neurological Disorders and Stroke, National Institute on Aging [U24NS100591]; NINDS/NIA as part of the MarkVCID Consortium</t>
  </si>
  <si>
    <t>National Institute of Neurological Disorders and Stroke, National Institute on Aging (United States Department of Health &amp; Human Services, National Institutes of Health (NIH) - USA, NIH National Institute on Aging (NIA)); NINDS/NIA as part of the MarkVCID Consortium</t>
  </si>
  <si>
    <t>Data used in preparation of this article were obtained from the MarkVCID consortium. A complete listing of MarkVCID investigators can be found at . Data collection and sharing for MarkVCID was funded by NINDS/NIA as part of the MarkVCID Consortium (U24NS100591).</t>
  </si>
  <si>
    <t>[Gesierich, Benno; Pirpamer, Lukas; Meier, Dominik S.; Ruberte, Esther; Amann, Michael; Sinnecker, Tim; Duering, Marco] Med Image Anal Ctr MIAC, Basel, Switzerland; [Sander, Laura; Sinnecker, Tim; Bonati, Leo H.; Kuhle, Jens; Granziera, Cristina; Schlaeger, Regina] Univ Hosp Basel, Dept Neurol, Neurol Clin &amp; Policlin, Basel, Switzerland; [Sander, Laura; Sinnecker, Tim; Bonati, Leo H.; Kuhle, Jens; Granziera, Cristina; Schlaeger, Regina] Univ Hosp Basel, Clin Res, Neurol Clin &amp; Policlin, Basel, Switzerland; [Sander, Laura; Sinnecker, Tim; Bonati, Leo H.; Kuhle, Jens; Granziera, Cristina; Schlaeger, Regina] Univ Basel, Basel, Switzerland; [Sander, Laura; Ruberte, Esther; Schlaeger, Regina; Duering, Marco] Univ Basel, Dept Biomed Engn, Translat Imaging Neurol ThINk Basel, Basel, Switzerland; [Huck, Antal; Cattin, Philippe] Univ Basel, Ctr Med Image Anal &amp; Nav CIAN, Dept Biomed Engn, Allschwil, Switzerland; [de Leeuw, Frank-Erik] Radboud Univ Nijmegen, Ctr Neurosci, Donders Inst Brain Cognit &amp; Behav, Dept Neurol,Med Ctr, Nijmegen, Netherlands; [de Leeuw, Frank-Erik] Radboud Univ Nijmegen, Donders Inst Brain Cognit &amp; Behav, Ctr Cognit Neuroimaging, Nijmegen, Netherlands; [Maillard, Pauline] Univ Calif Davis, Dept Neurol, Davis, CA USA; [Moy, Sue; Helmer, Karl G.] Massachusetts Gen Hosp, Dept Radiol, Boston, MA USA; [Helmer, Karl G.] Harvard Med Sch, Boston, MA USA; [Levin, Johannes; Hoeglinger, Guenter U.] Ludwig Maximilians Univ LMU Munchen, LMU Univ Hosp, Dept Neurol, Munich, Germany; [Levin, Johannes; Hoeglinger, Guenter U.] German Ctr Neurodegenerat Dis DZNE, Munich, Germany; [Levin, Johannes; Hoeglinger, Guenter U.] Munich Cluster Syst Neurol SyNergy, Munich, Germany; [Kuehne, Michael] Univ Hosp Basel, Univ Heart Ctr, Basel, Switzerland; [Bonati, Leo H.] Reha Rheinfelden, Res Dept, Rheinfelden, Switzerland; [Kuhle, Jens] Univ Basel, Res Ctr Clin Neuroimmunol &amp; Neurosci Basel RC2NB, Basel, Switzerland; [Duering, Marco] Ludwig Maximilians Univ Munchen, LMU Univ Hosp, Inst Stroke &amp; Dementia Res ISD, Munich, Germany</t>
  </si>
  <si>
    <t>University of Basel; University of Basel; University of Basel; University of Basel; University of Basel; Radboud University Nijmegen; Radboud University Nijmegen; University of California System; University of California Davis; Harvard University; Harvard University Medical Affiliates; Massachusetts General Hospital; Harvard University; Harvard Medical School; University of Munich; Helmholtz Association; German Center for Neurodegenerative Diseases (DZNE); University of Munich; University of Basel; University of Basel; University of Munich</t>
  </si>
  <si>
    <t>Extended Technical and Clinical Validation of Deep Learning-Based Brainstem Segmentation for Application in Neurodegenerative Diseases</t>
  </si>
  <si>
    <t>HUMAN BRAIN MAPPING</t>
  </si>
  <si>
    <t>atrophy; brainstem; deep learning; neurodegeneration; segmentation</t>
  </si>
  <si>
    <t>Kuhle, Jens/AGE-3474-2022; Höglinger, Günter/F-2388-2015; Levin, Johannes/E-4052-2010; Maillard, Pauline/N-7600-2018; Duering, Marco/AAE-6949-2021; Kühne, Michael/AAB-5202-2022; Cattin, Philippe/B-1301-2009; de Leeuw, Frank-Erik/E-4795-2012; Bonati, Leo/G-4058-2012</t>
  </si>
  <si>
    <t>Pirpamer, Lukas/0000-0002-4390-9703; Schlaeger, Regina/0000-0003-2056-5765; Levin, Johannes/0000-0001-5092-4306; Sinnecker, Tim/0000-0003-1508-318X; Maillard, Pauline/0000-0003-3516-6345</t>
  </si>
  <si>
    <t>1065-9471</t>
  </si>
  <si>
    <t>1097-0193</t>
  </si>
  <si>
    <t>HUM BRAIN MAPP</t>
  </si>
  <si>
    <t>Hum. Brain Mapp.</t>
  </si>
  <si>
    <t>FEB 12 2025</t>
  </si>
  <si>
    <t>e70141</t>
  </si>
  <si>
    <t>10.1002/hbm.70141</t>
  </si>
  <si>
    <t>http://dx.doi.org/10.1002/hbm.70141</t>
  </si>
  <si>
    <t>Neurosciences; Neuroimaging; Radiology, Nuclear Medicine &amp; Medical Imaging</t>
  </si>
  <si>
    <t>W4B3U</t>
  </si>
  <si>
    <t>39936343</t>
  </si>
  <si>
    <t>WOS:001418047500001</t>
  </si>
  <si>
    <t>Visaggi, P; Corso, GD; Svizzero, FB; Ghisa, M; Bardelli, S; Venturini, A; Donati, DS; Barberio, B; Marciano, E; Bellini, M; Dunn, J; Wong, TRY; de Bortoli, N; Savarino, EV; Zeki, S</t>
  </si>
  <si>
    <t>BACKGROUND: Despite increased awareness of eosinophilic esophagitis (EoE), the diagnostic delay has remained stable over the past 3 decades. There is a need to improve the diagnostic performance and optimize resources allocation in the setting of EoE. OBJECTIVE: We developed and validated 2 point -of -care machine learning (ML) tools to predict a diagnosis of EoE before histology results during of fi ce visits. METHODS: We conducted a multicenter study in 3 European tertiary referral centers for EoE. We built predictive ML models using retrospectively extracted clinical and esophagogastroduodenoscopy (EGDS) data collected from 273 EoE and 55 non-EoE dysphagia patients. We validated the models on an independent cohort of 93 consecutive patients with dysphagia undergoing EGDS with biopsies at 2 different centers. Models ' performance was assessed by area under the curve (AUC), sensitivity, speci fi city, and positive and negative predictive values (PPV and NPV). The models were integrated into a point -of -care software package. RESULTS: The model trained on clinical data alone showed an AUC of 0.90 and a sensitivity, speci fi city, PPV, and NPV of 0.90, 0.75, 0.80, and 0.87, respectively, for the diagnosis of EoE in the external validation cohort. The model trained on a combination of clinical and endoscopic data showed an AUC of 0.94, and a sensitivity, speci ficity, PPV, and NPV of 0.94, 0.68, 0.77, and 0.91, respectively, in the external validation cohort. CONCLUSION: Our software -integrated models (https:// webapplicationing.shinyapps.io/PointOfCare-EoE/) can be used at point -of -care to improve the diagnostic workup of EoE and optimize resources allocation. (c) 2024 Published by Elsevier Inc. on behalf of the American Academy of Allergy, Asthma &amp; Immunology (J Allergy Clin Immunol Pract 2024;12:1008-16)</t>
  </si>
  <si>
    <t>Visaggi, Pierfrancesco; Corso, Giulio Del; Svizzero, Federica Baiano; Ghisa, Matteo; Bardelli, Serena; Venturini, Arianna; Donati, Delio Stefani; Barberio, Brigida; Marciano, Emanuele; Bellini, Massimo; Dunn, Jason; Wong, Terry; de Bortoli, Nicola; Savarino, Edoardo V.; Zeki, Sebastian</t>
  </si>
  <si>
    <t>de Bortoli, N (corresponding author), Univ Pisa, Dept Translat Res &amp; New Technol Med &amp; Surg, Gastroenterol Unit, Via Roma 67, I-56124 Pisa, Italy.</t>
  </si>
  <si>
    <t>nicola.debortoli@unipi.it</t>
  </si>
  <si>
    <t>Dr Falk, EG Stada Group; Fresenius Kabi; Grifols; Janssen; Malesci, P fi zer, Reckitt Benckiser, Sandoz; Merck Co; Takeda; SILA, Sofar; Unifarco</t>
  </si>
  <si>
    <t>Dr Falk, EG Stada Group; Fresenius Kabi; Grifols; Janssen (Johnson &amp; Johnson, Johnson &amp; Johnson USA, Janssen Biotech Inc); Malesci, P fi zer, Reckitt Benckiser, Sandoz; Merck Co (Merck &amp; Company); Takeda (Takeda Pharmaceutical Company Ltd); SILA, Sofar; Unifarco</t>
  </si>
  <si>
    <t>Dr Falk, EG Stada Group, Fresenius Kabi, Grifols, Janssen, Innovamedica, Malesci, P fi zer, Reckitt Benckiser, Sandoz, SILA, Sofar, Takeda, and Unifarco; has served as a consultant for Alfasigma, Amgen, Biogen, Bristol-Myers Squibb, Celltrion, Diadema Farmaceutici, Dr. Falk, Fresenius Kabi, Janssen, Merck &amp; Co, Reckitt Benckiser, Regeneron, Sano fi , Shire, SILA, Sofar, Synformulas GmbH, Takeda, and Unifarco; and has received research support from P fi zer, Reckitt Benckiser, SILA, Sofar, and Unifarco. S. Zeki has served as a speaker for Dr Falk. The rest of the authors declare that they have no relevant con fl icts of interest.r Dr Falk, EG Stada Group, Fresenius Kabi, Grifols, Janssen, Innovamedica, Malesci, P fi zer, Reckitt Benckiser, Sandoz, SILA, Sofar, Takeda, and Unifarco; has served as a consultant for Alfasigma, Amgen, Biogen, Bristol-Myers Squibb, Celltrion, Diadema Farmaceutici, Dr. Falk, Fresenius Kabi, Janssen, Merck &amp; Co, Reckitt Benckiser, Regeneron, Sano fi , Shire, SILA, Sofar, Synformulas GmbH, Takeda, and Unifarco; and has received research support from P fi zer, Reckitt Benckiser, SILA, Sofar, and Unifarco. S. Zeki has served as a speaker for Dr Falk. The rest of the authors declare that they have no relevant con fl icts of interest.</t>
  </si>
  <si>
    <t>[Visaggi, Pierfrancesco; Svizzero, Federica Baiano; Venturini, Arianna; Donati, Delio Stefani; Bellini, Massimo; de Bortoli, Nicola] Univ Pisa, Dept Translat Res &amp; New Technol Med &amp; Surg, Gastroenterol Unit, Pisa, Italy; [Visaggi, Pierfrancesco; Dunn, Jason; Wong, Terry; Zeki, Sebastian] Guys &amp; St Thomas Hosp, Ctr Oesophageal Dis, London, England; [Corso, Giulio Del] Natl Res Council Italy CNR, Inst Informat Sci &amp; Technol A Faedo, Pisa, Italy; [Ghisa, Matteo; Barberio, Brigida; Savarino, Edoardo V.] Univ Padua, Dept Surg Oncol &amp; Gastroenterol, Div Gastroenterol, Padua, Italy; [Bardelli, Serena] Azienda Ospedaliero Univ Pisana, Neonatal Learning &amp; Simulat Ctr NINA, Pisa, Italy; [Marciano, Emanuele] Azienda Ospedaliero Univ Pisana, Endoscopy Unit, Pisa, Italy; [de Bortoli, Nicola] Univ Pisa, Dept Translat Res &amp; New Technol Med &amp; Surg, Gastroenterol Unit, Via Roma 67, I-56124 Pisa, Italy</t>
  </si>
  <si>
    <t>University of Pisa; Guy's &amp; St Thomas' NHS Foundation Trust; Consiglio Nazionale delle Ricerche (CNR); Istituto di Scienza e Tecnologie dell'Informazione Alessandro Faedo (ISTI-CNR); University of Padua; University of Pisa; Azienda Ospedaliero Universitaria Pisana; University of Pisa; Azienda Ospedaliero Universitaria Pisana; University of Pisa</t>
  </si>
  <si>
    <t>Artificial Intelligence Tools for the Diagnosis of Eosinophilic Esophagitis in Adults Reporting Dysphagia: Development, External Validation, and Software Creation for Point-of-Care Use</t>
  </si>
  <si>
    <t>JOURNAL OF ALLERGY AND CLINICAL IMMUNOLOGY-IN PRACTICE</t>
  </si>
  <si>
    <t>Arti fi cial intelligence; Eosinophilic esophagitis; Diagnosis</t>
  </si>
  <si>
    <t>GUIDELINES; MANAGEMENT; FEATURES</t>
  </si>
  <si>
    <t>Savarino, Edoardo/AAC-7510-2022; Del Corso, Giulio/IWD-6632-2023; Barberio, Brigida/ABH-5156-2022; Zeki, Sebastian/ABH-9156-2020</t>
  </si>
  <si>
    <t>Savarino, Edoardo/0000-0002-3187-2894; Visaggi, Pierfrancesco/0000-0002-6985-5301; Zeki, Sebastian/0000-0003-1673-2663</t>
  </si>
  <si>
    <t>2213-2198</t>
  </si>
  <si>
    <t>2213-2201</t>
  </si>
  <si>
    <t>J ALLER CL IMM-PRACT</t>
  </si>
  <si>
    <t>J. Allergy Clin. Immunol.-Pract.</t>
  </si>
  <si>
    <t>10.1016/j.jaip.2023.12.031</t>
  </si>
  <si>
    <t>http://dx.doi.org/10.1016/j.jaip.2023.12.031</t>
  </si>
  <si>
    <t>Allergy; Immunology</t>
  </si>
  <si>
    <t>RA2U6</t>
  </si>
  <si>
    <t>38154556</t>
  </si>
  <si>
    <t>WOS:001224895300001</t>
  </si>
  <si>
    <t>Massey, CJ; Ramos, L; Beswick, DM; Ramakrishnan, VR; Humphries, SM</t>
  </si>
  <si>
    <t>BACKGROUND AND PURPOSE: Sinus CT is critically important for the diagnosis of chronic rhinosinusitis. While CT is sensitive for detecting mucosal disease, automated methods for objective quantification of sinus opacification are lacking. We describe new measurements and further clinical validation of automated CT analysis using a convolutional neural network in a chronic rhinosinusitis population. This technology produces volumetric segmentations that permit calculation of percentage sinus opacification, mean Hounsfield units of opacities, and percentage of osteitis. MATERIALS AND METHODS: Demographic and clinical data were collected retrospectively from adult patients with chronic rhinosinusitis, including serum eosinophil count, Lund-Kennedy endoscopic scores, and the SinoNasal Outcomes Test-22. CT scans were scored using the Lund-Mackay score and the Global Osteitis Scoring Scale. CT images were automatically segmented and analyzed for percentage opacification, mean Hounsfield unit of opacities, and percentage osteitis. These readouts were correlated with visual scoring systems and with disease parameters using the Spearman r. RESULTS: Eighty-eight subjects were included. The algorithm successfully segmented 100% of scans and calculated features in a diverse population with CT images obtained on different scanners. A strong correlation existed between percentage opacification and the Lund-Mackay score (r = 0.85, P &lt;.001). Both percentage opacification and the Lund-Mackay score exhibited moderate correlations with the Lund-Kennedy score (r = 0.58, P &lt;.001, and r = 0.58, P &lt;.001, respectively). The percentage osteitis correlated moderately with the Global Osteitis Scoring Scale (r = 0.48, P &lt;.001). CONCLUSIONS: Our quantitative processing of sinus CT images provides objective measures that correspond well to established visual scoring methods. While automation is a clear benefit here, validation may be needed in a prospective, multi-institutional setting.</t>
  </si>
  <si>
    <t>Massey, C. J.; Ramos, L.; Beswick, D. M.; Ramakrishnan, V. R.; Humphries, S. M.</t>
  </si>
  <si>
    <t>Massey, CJ (corresponding author), Univ Colorado Sch Med, Dept Otolaryngol Head &amp; Neck Surg, Aurora, CO 80045 USA.</t>
  </si>
  <si>
    <t>American Academy of Otolaryngology-Head and Neck Surgery CORE Grant; Xoran Technologies; Colorado Advanced Industries Accelerator Program; National Institute on Deafness and Other Communication Disorders of the National Institutes of Health , Bethesda, Maryland [K23DC014747, K23DC014747-04S1]</t>
  </si>
  <si>
    <t>American Academy of Otolaryngology-Head and Neck Surgery CORE Grant; Xoran Technologies; Colorado Advanced Industries Accelerator Program; National Institute on Deafness and Other Communication Disorders of the National Institutes of Health , Bethesda, Maryland</t>
  </si>
  <si>
    <t>This work was supported by an American Academy of Otolaryngology-Head and Neck Surgery CORE Grant and Xoran Technologies (C.J.M.); and Colorado Advanced Industries Accelerator Program (S.M.H.). V.R.R. and C.J.M. were supported, in part, by a grant from the National Institute on Deafness and Other Communication Disorders, one of the National Institutes of Health, Bethesda, Maryland (K23DC014747 and K23DC014747-04S1).</t>
  </si>
  <si>
    <t>[Massey, C. J.; Ramos, L.; Ramakrishnan, V. R.] Univ Colorado Sch Med, Dept Otolaryngol Head &amp; Neck Surg, Aurora, CO 80045 USA; [Beswick, D. M.] Univ Calif Los Angeles, Angeles Sch Med, Dept Otolaryngol Head &amp; Neck Surg, Los Angeles, CA USA; [Humphries, S. M.] Dept Radiol, Quantitat ImagingLaboratory, Natl Jewish Hlth, Denver, CO USA</t>
  </si>
  <si>
    <t>University of Colorado System; University of Colorado Anschutz; University of California System; University of California Los Angeles; National Jewish Health</t>
  </si>
  <si>
    <t>Clinical Validation and Extension of an Automated, Deep Learning-Based Algorithm for Quantitative Sinus CT Analysis</t>
  </si>
  <si>
    <t>CHRONIC-RHINOSINUSITIS; COMPUTED-TOMOGRAPHY; OSTEITIS; SYMPTOMS; DISEASE</t>
  </si>
  <si>
    <t>Ramos, Laylaa/0000-0003-2980-5243; Massey, Conner/0000-0002-6558-4559; Beswick, Daniel/0000-0001-8612-5442; Ramakrishnan, Vijay/0000-0003-2748-0705; Humphries, Stephen/0000-0002-5113-4530</t>
  </si>
  <si>
    <t>1318</t>
  </si>
  <si>
    <t>1324</t>
  </si>
  <si>
    <t>10.3174/ajnr.A7616</t>
  </si>
  <si>
    <t>http://dx.doi.org/10.3174/ajnr.A7616</t>
  </si>
  <si>
    <t>7Y5IR</t>
  </si>
  <si>
    <t>36538385</t>
  </si>
  <si>
    <t>WOS:000914913300016</t>
  </si>
  <si>
    <t>Park, DJ; Baik, SM; Hong, KS; Yi, H; Lee, JG; Lee, JM</t>
  </si>
  <si>
    <t>BackgroundExisting predictive models in critical care, specifically for postoperative critically ill patients, often struggle to accurately predict prolonged intensive care unit (ICU) stays, a key aspect of patient care. The integration of artificial intelligence (AI) offers a promising approach for bridging this gap. We aimed to develop an AI-based model to predict mortality and prolonged ICU stay in postoperative critically ill patients, enhance prognostic accuracy, and address the shortcomings of current models.MethodsThis retrospective study included data from 6,029 postoperative critically ill patients from two medical centers, including a wide range of clinical, surgical, and laboratory variables. Multiple machine-learning models, including extreme gradient boosting, light gradient boosting, category boosting, random forest, and multilayer perceptron, were employed. A soft-voting ensemble model was developed to aggregate the strengths of individual models. The models underwent external validation, and the SHapley Additive exPlanations (SHAP) method was utilized to assess the impact of various features on predictions.ResultsIn internal validation, the ensemble model demonstrated superior performance with an area under the receiver operating characteristic curve (AUROC) of 0.8812 for mortality and 0.7944 for prolonged ICU stay. It achieved 0.9095 accuracy and an F1 score of 0.7014 for mortality predictions. For prolonged ICU stay, it attained an accuracy of 0.9368 and an F1 score of 0.5762. During external validation, the model maintained high performance, with an AUROC of 0.8330 for mortality and 0.7376 for prolonged ICU stay. It showed 0.9200 accuracy and an F1 score of 0.6768 for mortality and 0.9028 accuracy with an F1 score of 0.5689 for prolonged ICU stay. SHAP analysis confirmed that key predictors, including emergency surgery, serum osmolality, lactate levels, and diastolic blood pressure, remained significant.ConclusionsThis study represents a significant advancement in the application of AI in critical care, especially for postoperative critically ill patients. The developed AI model outperformed existing models in predicting mortality and prolonged ICU stay, demonstrating notable accuracy and reliability. Its ability to identify critical, under-emphasized clinical factors could enhance decision-making in critical care settings. Although promising, further validation in diverse clinical settings is essential to confirm the model's efficacy and broader applicability.</t>
  </si>
  <si>
    <t>Park, Dong Jin; Baik, Seung Min; Hong, Kyung Sook; Yi, Heejung; Lee, Jae Gil; Lee, Jae-Myeong</t>
  </si>
  <si>
    <t>Lee, JM (corresponding author), Korea Univ, Anam Hosp, Dept Surg, Div Acute Care Surg,Coll Med, Goryeodae Ro 73, Seoul 02841, South Korea.</t>
  </si>
  <si>
    <t>ljm3225@hanmail.net</t>
  </si>
  <si>
    <t>This work was supported by a National Research Foundation of Korea (NRF) grant funded by the Korean government (MSIT)</t>
  </si>
  <si>
    <t>[Park, Dong Jin] Catholic Univ Korea, Eunpyeong St Marys Hosp, Coll Med, Dept Lab Med, Seoul, South Korea; [Baik, Seung Min; Lee, Jae Gil] Ewha Womans Univ, Mokdong Hosp, Dept Surg, Div Crit Care Med,Coll Med, Seoul, South Korea; [Baik, Seung Min] Korea Univ, Dept Surg, Coll Med, Seoul, South Korea; [Hong, Kyung Sook; Yi, Heejung] Ewha Womans Univ, Seoul Hosp, Dept Surg, Div Crit Care Med,Coll Med, Seoul, South Korea; [Lee, Jae-Myeong] Korea Univ, Anam Hosp, Dept Surg, Div Acute Care Surg,Coll Med, Goryeodae Ro 73, Seoul 02841, South Korea</t>
  </si>
  <si>
    <t>Catholic University of Korea; Ewha Womans University; Korea University; Korea University Medicine (KU Medicine); Ewha Womans University; Korea University; Korea University Medicine (KU Medicine)</t>
  </si>
  <si>
    <t>Development and external validation of an artificial intelligence model for predicting mortality and prolonged ICU stay in postoperative critically ill patients: a retrospective study</t>
  </si>
  <si>
    <t>WORLD JOURNAL OF EMERGENCY SURGERY</t>
  </si>
  <si>
    <t>Artificial intelligence; Mortality; Length of stay; Risk factors; Postoperative complications; Ensemble model</t>
  </si>
  <si>
    <t>INTENSIVE-CARE-UNIT; OUTCOMES; MULTICENTER; SURGERY; COHORT; LEVEL</t>
  </si>
  <si>
    <t>Lee, Jaegil/JHT-5069-2023; Hong, Kyung Sook/AAX-7067-2021</t>
  </si>
  <si>
    <t>Lee, Jae Myeong/0000-0001-5494-0653; Baik, Seung Min/0000-0003-1051-6775</t>
  </si>
  <si>
    <t>1749-7922</t>
  </si>
  <si>
    <t>WORLD J EMERG SURG</t>
  </si>
  <si>
    <t>World J. Emerg. Surg.</t>
  </si>
  <si>
    <t>OCT 15 2025</t>
  </si>
  <si>
    <t>10.1186/s13017-025-00650-2</t>
  </si>
  <si>
    <t>http://dx.doi.org/10.1186/s13017-025-00650-2</t>
  </si>
  <si>
    <t>Emergency Medicine; Surgery</t>
  </si>
  <si>
    <t>8PH3K</t>
  </si>
  <si>
    <t>41094587</t>
  </si>
  <si>
    <t>WOS:001594090600002</t>
  </si>
  <si>
    <t>Sun, ZA; Wang, KX; Wu, CC; Chen, YT; Kong, ZX; She, LL; Song, B; Luo, N; Wu, PS; Wang, XP; Zhang, XD; Wang, XY</t>
  </si>
  <si>
    <t>Background: An increasing number of patients with suspected clinically significant prostate cancer (csPCa) are undergoing prostate multiparametric magnetic resonance imaging (mpMRI). The role of artificial intelligence (AI) algorithms in interpreting prostate mpMRI needs to be tested with multicenter external&lt;br /&gt;data. This study aimed to investigate the diagnostic efficacy of an AI model in detecting and localizing visible csPCa on mpMRI a multicenter external data set.Methods: The data of 2,105 patients suspected of having prostate cancer from four hospitals were retrospectively collected to develop an AI model to detect and localize suspicious csPCa. The lesions were annotated based on pathology records by two radiologists. Diffusion-weighted imaging (DWI) and apparent diffusion coefficient (ADC) values were used as the input for the three-dimensional U-Net framework. Subsequently, the model was validated using an external data set comprising the data of 557 patients from three hospitals. Sensitivity, specificity, and accuracy were employed to evaluate the diagnostic efficacy of the model.&lt;br /&gt;Results: At the lesion level, the model had a sensitivity of 0.654. At the overall sextant level, the model had a sensitivity, specificity, and accuracy of 0.846, 0.884, and 0.874, respectively. At the patient level, the model had a sensitivity, specificity, and accuracy of 0.943, 0.776, and 0.849, respectively. The AI-predicted accuracy for the csPCa patients (231/245, 0.943) was significantly higher than that for the non-csPCa patients (242/312, 0.776) (P&lt;0.001). The lesion number and tumor volume were greater in the correctly diagnosed patients than the incorrectly diagnosed patients (both P&lt;0.001). Among the positive patients, those with lower average ADC values had a higher rate of correct diagnosis than those with higher average ADC values (P=0.01).Conclusions: The AI model exhibited acceptable accuracy in detecting and localizing visible csPCa at the patient and sextant levels. However, further improvements need to be made to enhance the sensitivity of the model at the lesion level.</t>
  </si>
  <si>
    <t>Sun, Zhaonan; Wang, Kexin; Wu, Chenchao; Chen, Yuntian; Kong, Zixuan; She, Lilan; Song, Bin; Luo, Ning; Wu, Pengsheng; Wang, Xiangpeng; Zhang, Xiaodong; Wang, Xiaoying</t>
  </si>
  <si>
    <t>Wang, XY (corresponding author), Peking Univ, Dept Radiol, Hosp 1, 8 Xishiku St, Beijing 100034, Peoples R China.</t>
  </si>
  <si>
    <t>Capital's Fund for Health Improvement and Research [2020-2-40710]</t>
  </si>
  <si>
    <t>Capital's Fund for Health Improvement and Research</t>
  </si>
  <si>
    <t>Acknowledgments Funding: This work was supported by the Capital's Fund for Health Improvement and Research (No. 2020-2-40710) .</t>
  </si>
  <si>
    <t>[Sun, Zhaonan; Zhang, Xiaodong; Wang, Xiaoying] Peking Univ, Dept Radiol, Hosp 1, 8 Xishiku St, Beijing 100034, Peoples R China; [Wang, Kexin] Capital Med Univ, Sch Basic Med Sci, Beijing, Peoples R China; [Wu, Chenchao; She, Lilan] Fujian Med Univ, Union Hosp, Dept Radiol, Fuzhou, Peoples R China; [Chen, Yuntian; Song, Bin] Sichuan Univ, West China Hosp, Dept Radiol, Chengdu, Peoples R China; [Kong, Zixuan; Luo, Ning] Dalian Med Univ, Affiliated Hosp 2, Dept Radiol, Dalian, Peoples R China; [Wu, Pengsheng; Wang, Xiangpeng] Beijing Smart Tree Med Technol Co Ltd, Beijing, Peoples R China</t>
  </si>
  <si>
    <t>Peking University; Capital Medical University; Fujian Medical University; Sichuan University; Dalian Medical University</t>
  </si>
  <si>
    <t>Using an artificial intelligence model to detect and localize visible clinically significant prostate cancer in prostate magnetic resonance imaging: a multicenter external validation study</t>
  </si>
  <si>
    <t>QUANTITATIVE IMAGING IN MEDICINE AND SURGERY</t>
  </si>
  <si>
    <t>Clinically significant prostate cancer (csPCa); artificial intelligence (AI); magnetic resonance imaging (MRI)</t>
  </si>
  <si>
    <t>MULTI-PARAMETRIC MRI; AGREEMENT; ACCURACY; BIOPSY</t>
  </si>
  <si>
    <t>2223-4292</t>
  </si>
  <si>
    <t>2223-4306</t>
  </si>
  <si>
    <t>QUANT IMAG MED SURG</t>
  </si>
  <si>
    <t>Quant. Imaging Med. Surg.</t>
  </si>
  <si>
    <t>10.21037/qims-23-791</t>
  </si>
  <si>
    <t>http://dx.doi.org/10.21037/qims-23-791</t>
  </si>
  <si>
    <t>RM7S1</t>
  </si>
  <si>
    <t>38223104</t>
  </si>
  <si>
    <t>WOS:001097467500001</t>
  </si>
  <si>
    <t>Soltan, AAS; Yang, J; Pattanshetty, R; Novak, A; Yang, Y; Rohanian, O; Beer, S; Soltan, MA; Thickett, DR; Fairhead, R; Zhu, T; Eyre, DW; Clifton, DA</t>
  </si>
  <si>
    <t>Background Uncertainty in patients' COVID-19 status contributes to treatment delays, nosocomial transmission, and operational pressures in hospitals. However, the typical turnaround time for laboratory PCR remains 12-24 h and lateral flow devices (LFDs) have limited sensitivity. Previously, we have shown that artificial intelligence-driven triage (CURIAL-1.0) can provide rapid COVID-19 screening using clinical data routinely available within 1 h of arrival to hospital. Here, we aimed to improve the time from arrival to the emergency department to the availability of a result, do external and prospective validation, and deploy a novel laboratory-free screening tool in a UK emergency department.Methods We optimised our previous model, removing less informative predictors to improve generalisability and speed, developing the CURIAL-Lab model with vital signs and readily available blood tests (full blood count [FBC]; urea, creatinine, and electrolytes; liver function tests; and C-reactive protein) and the CURIAL-Rapide model with vital signs and FBC alone. Models were validated externally for emergency admissions to University Hospitals Birmingham, Bedfordshire Hospitals, and Portsmouth Hospitals University National Health Service (NHS) trusts, and prospectively at Oxford University Hospitals, by comparison with PCR testing. Next, we compared model performance directly against LFDs and evaluated a combined pathway that triaged patients who had either a positive CURIAL model result or a positive LFD to a COVID-19-suspected clinical area. Lastly, we deployed CURIAL-Rapide alongside an approved point-of-care FBC analyser to provide laboratory-free COVID-19 screening at the John Radcliffe Hospital (Oxford, UK). Our primary improvement outcome was time-to-result, and our performance measures were sensitivity, specificity, positive and negative predictive values, and area under receiver operating characteristic curve (AUROC).Findings 72 223 patients met eligibility criteria across the four validating hospital groups, in a total validation period spanning Dec 1, 2019, to March 31, 2021. CURIAL-Lab and CURIAL-Rapide performed consistently across trusts (AUROC range 0.858-0.881, 95% CI 0.838-0.912, for CURIAL-Lab and 0.836-0.854, 0.814-0.889, for CURIAL-Rapide), achieving highest sensitivity at Portsmouth Hospitals (84.1%, Wilson's 95% CI 82.5-85.7, for CURIAL-Lab and 83.5%, 81.8-85.1, for CURIAL-Rapide) at specificities of 71.3% (70.9-71.8) for CURIAL-Lab and 63.6% (63.1-64.1) for CURIAL-Rapide. When combined with LFDs, model predictions improved triage sensitivity from 56.9% (51.7-62.0) for LFDs alone to 85.6% with CURIAL-Lab (81.6-88.9; AUROC 0.925) and 88.2% with CURIAL-Rapide (84.4-91.1; AUROC 0.919), thereby reducing missed COVID-19 cases by 65% with CURIAL-Lab and 72% with CURIAL-Rapide. For the prospective deployment of CURIAL-Rapide, 520 patients were enrolled for point-of-care FBC analysis between Feb 18 and May 10, 2021, of whom 436 received confirmatory PCR testing and ten (2.3%) tested positive. Median time from arrival to a CURIAL-Rapide result was 45 min (IQR 32-64), 16 min (26.3%) sooner than with LFDs (61 min, 37-99; log-rank p&lt;0.0001), and 6 h 52 min (90.2%) sooner than with PCR (7 h 37 min, 6 h 5 min to 15 h 39 min; p&lt;0.0001). Classification performance was high, with sensitivity of 87.5% (95% CI 52.9-97.8), specificity of 85.4% (81.3-88.7), and negative predictive value of 99.7% (98.2-99.9). CURIAL-Rapide correctly excluded infection for 31 (58.5%) of 53 patients who were triaged by a physician to a COVID-19-suspected area but went on to test negative by PCR.Interpretation Our findings show the generalisability, performance, and real-world operational benefits of artificial intelligence-driven screening for COVID-19 over standard-of-care in emergency departments. CURIAL-Rapide provided rapid, laboratory-free screening when used with near-patient FBC analysis, and was able to reduce the number of patients who tested negative for COVID-19 but were triaged to COVID-19-suspected areas. Copyright (C) 2022 The Author(s). Published by Elsevier Ltd.</t>
  </si>
  <si>
    <t>Soltan, Andrew A. S.; Yang, Jenny; Pattanshetty, Ravi; Novak, Alex; Yang, Yang; Rohanian, Omid; Beer, Sally; Soltan, Marina A.; Thickett, David R.; Fairhead, Rory; Zhu, Tingting; Eyre, David W.; Clifton, David A.</t>
  </si>
  <si>
    <t>Soltan, AAS (corresponding author), Univ Oxford, John Radcliffe Hosp, Radcliffe Dept Med, Div Cardiovasc Med, Oxford OX3 9DU, England.</t>
  </si>
  <si>
    <t>andrew.soltan@cardiov.ox.ac.uk</t>
  </si>
  <si>
    <t>Wellcome Trust; University of Oxford Medical and Life Sciences Translational Fund</t>
  </si>
  <si>
    <t>Wellcome Trust (Wellcome Trust); University of Oxford Medical and Life Sciences Translational Fund (University of Oxford)</t>
  </si>
  <si>
    <t>The Wellcome Trust, University of Oxford Medical and Life Sciences Translational Fund.</t>
  </si>
  <si>
    <t>[Soltan, Andrew A. S.; Eyre, David W.] Oxford Univ Hosp NHS Fdn Trust, John Radcliffe Hosp, Oxford, England; [Pattanshetty, Ravi; Novak, Alex; Beer, Sally] Oxford Univ Hosp NHS Fdn Trust, Emergency Med Res Oxford, Oxford, England; [Soltan, Andrew A. S.] Univ Oxford, Div Cardiovasc Med, Radcliffe Dept Med, Oxford, England; [Yang, Jenny; Yang, Yang; Rohanian, Omid; Zhu, Tingting; Clifton, David A.] Univ Oxford, Dept Engn Sci, Inst Biomed Engn, Oxford, England; [Eyre, David W.] Univ Oxford, Big Data Inst, Nuffield Dept Populat Hlth, Oxford, England; [Fairhead, Rory] Univ Oxford, Med Sch, Oxford, England; [Soltan, Marina A.; Thickett, David R.] Univ Hosp Birmingham NHS Fdn Trust, Queen Elizabeth Hosp, Birmingham, W Midlands, England; [Soltan, Marina A.; Thickett, David R.] Univ Birmingham, Inst Inflammat &amp; Ageing, Birmingham, England; [Eyre, David W.] Univ Oxford, NIHR Hlth Protect Res Unit Healthcare Associated, Oxford, England</t>
  </si>
  <si>
    <t>Oxford University Hospitals NHS Foundation Trust; University of Oxford; Oxford University Hospitals NHS Foundation Trust; University of Oxford; University of Oxford; University of Oxford; University of Oxford; University of Birmingham; University of Birmingham; University of Oxford</t>
  </si>
  <si>
    <t>CURIAL Translational Collaborative</t>
  </si>
  <si>
    <t>Real-world evaluation of rapid and laboratory-free COVID-19 triage for emergency care: external validation and pilot deployment of artificial intelligence driven screening</t>
  </si>
  <si>
    <t>thickett, david/I-4770-2012; Eyre, David/P-6887-2016; Novak, Alex/PTF-2304-2026; Zhu, Tingting/O-6989-2017</t>
  </si>
  <si>
    <t>Eyre, David/0000-0001-5095-6367; Novak, Alex/0000-0002-5880-8235; Soltan, Andrew/0000-0003-2391-5361; Zhu, Tingting/0000-0002-1552-5630</t>
  </si>
  <si>
    <t>10.1016/S2589-7500(21)00272-7</t>
  </si>
  <si>
    <t>http://dx.doi.org/10.1016/S2589-7500(21)00272-7</t>
  </si>
  <si>
    <t>2Q0QP</t>
  </si>
  <si>
    <t>35279399</t>
  </si>
  <si>
    <t>WOS:000820134400012</t>
  </si>
  <si>
    <t>Savage, CH; Abou Elkassem, A; Hamki, O; Sturdivant, A; Benson, D; Grumley, S; Tzabari, J; Junck, K; Li, YF; Li, M; Tridandapani, S; Smith, AD; Rothenberg, SA</t>
  </si>
  <si>
    <t>BACKGROUND. Artificial intelligence (AI) algorithms improved detection of incidental pulmonary embolism (IPE) on contrast-enhanced CT (CECT) examinations in retrospective studies; however, prospective validation studies are lacking. OBJECTIVE. The purpose of this study was to assess the effect on radiologists' real-world diagnostic performance and report turnaround times of a radiology department's clinical implementation of an AI triage system for detecting IPE on CECT examinations of the chest or abdomen. METHODS. This prospective single-center study included consecutive adult patients who underwent CECT of the chest or abdomen for reasons other than pulmonary embolism (PE) detection from May 12, 2021, to June 30, 2021 (phase 1), or from September 30, 2021, to December 4, 2021 (phase 2). Before phase 1, the radiology department installed a commercially available AI triage algorithm for IPE detection that automatically processed CT examinations and notified radiologists of positive results through an interactive floating widget. In phase 1, the widget was inactive, and radiologists interpreted examinations without AI assistance. In phase 2, the widget was activated, and radiologists interpreted examinations with AI assistance. A review process involving a panel of radiologists was implemented to establish the reference standard for the presence of IPE. Diagnostic performance and report turnaround times were compared using the Pearson chi-square test and Wilcoxon rank sum test, respectively. RESULTS. Phase 1 included 1467 examinations in 1434 patients (mean age, 53.8 +/- 18.5 [SD] years; 753 men, 681 women); phase 2 included 3182 examinations in 2886 patients (mean age, 55.4 +/- 18.2 years; 1520 men, 1366 women). The frequency of IPE was 1.4% (20/1467) in phase 1 and 1.6% (52/3182) in phase 2. Radiologists without AI, in comparison to radiologists with AI, showed significantly lower sensitivity (80.0% vs 96.2%, respectively; p = .03), without a significant difference in specificity (99.9% vs 99.9%, p = .58), for the detection of IPE. The mean report turnaround time for IPE-positive examinations was not significantly different between radiologists without AI and radiologists with AI (78.3 vs 74.6 minutes, p = .26). CONCLUSION. An AI triage system improved radiologists' sensitivity for IPE detection on CECT examinations of the chest or abdomen without significant change in reCLINICAL IMPACT. This prospective real-world study supports the use of AI assistance for maximizing IPE detection.</t>
  </si>
  <si>
    <t>Savage, Cody H.; Abou Elkassem, Asser; Hamki, Omar; Sturdivant, Adam; Benson, Don; Grumley, Scott; Tzabari, Jordan; Junck, Kevin; Li, Yufeng; Li, Mei; Tridandapani, Srini; Smith, Andrew D.; Rothenberg, Steven A.</t>
  </si>
  <si>
    <t>Rothenberg, SA (corresponding author), Univ Alabama Birmingham, Heersink Sch Med, Dept Radiol, 619 S 19th St, Birmingham, AL 35233 USA.</t>
  </si>
  <si>
    <t>[Savage, Cody H.] Univ Maryland, Med Intelligent Imaging Ctr, Sch Med, Dept Diagnost Radiol &amp; Nucl Med, Baltimore, MD USA; [Savage, Cody H.; Abou Elkassem, Asser; Hamki, Omar; Sturdivant, Adam; Benson, Don; Grumley, Scott; Tzabari, Jordan; Junck, Kevin; Li, Yufeng; Li, Mei; Tridandapani, Srini; Rothenberg, Steven A.] Univ Alabama Birmingham, Heersink Sch Med, Dept Radiol, 619 S 19th St, Birmingham, AL 35233 USA; [Smith, Andrew D.] St Jude Childrens Res Hosp, Dept Diagnost Imaging, Memphis, TN USA</t>
  </si>
  <si>
    <t>Prospective Evaluation of Artificial Intelligence Triage of Incidental Pulmonary Emboli on Contrast-Enhanced CT Examinations of the Chest or Abdomen</t>
  </si>
  <si>
    <t>artificial intelligence; CT; enhanced; detection rate; incidental pulmonary; emboli; triage</t>
  </si>
  <si>
    <t>PREVALENCE</t>
  </si>
  <si>
    <t>Savage, Cody/LBG-8586-2024; Abou Elkassem, Asser/HTP-8335-2023</t>
  </si>
  <si>
    <t>Grumley, Scott/0000-0001-8285-2423; Savage, Cody/0000-0001-6854-1397; Rothenberg, Steven/0000-0003-3934-2377; Smith, Andrew/0000-0002-8124-1038</t>
  </si>
  <si>
    <t>e2431067</t>
  </si>
  <si>
    <t>10.2214/AJR.24.31067</t>
  </si>
  <si>
    <t>http://dx.doi.org/10.2214/AJR.24.31067</t>
  </si>
  <si>
    <t>O3H8T</t>
  </si>
  <si>
    <t>38899845</t>
  </si>
  <si>
    <t>WOS:001370090800013</t>
  </si>
  <si>
    <t>Welvaars, K; Groenendaal, F; van den Bekerom, MPJ; Doornberg, JN; van Haarst, EP; Riezebos, R</t>
  </si>
  <si>
    <t>Background Peripheral venous catheter use is a common healthcare practice and carries risk for peripheral venous catheter-related phlebitis (PVCP). The aims of this study were to develop a machine learning model using inpatient hospital data to accurately predict the risk of PVCP and apply this model for early identification to reduce the risk of PVCP in the department of Cardiology. Methods A prediction model was developed to estimate the risk of developing PVCP within 3-24 h after introduction during a clinical admission in the department of Cardiology. Data of 107.419 generic hospital clinical admissions between January 2017 and December 2020 were used. For evaluating generalizability of the model, 1.199 clinical admissions between January 2021 and May 2021 from Cardiology were used as validation dataset. For prospectively evaluating clinical utility, 9.885 admissions between May 2021 and December 2022 of Cardiology were used. Results Our results demonstrate a strong-performing model with an AUC of 0.89 (CI: 0.87-0.91) based on the test set, and an AUC of 0.72 (CI: 0.66-0.78) based on the validation data. A significant descending trend in the incidence of PVCP in long stay admissions (p-value of 0. 01) was observed during prospective evaluation. Conclusions The early identification proves beneficial in reducing the risk of PVCP significantly for patients with long-stay admissions in the Cardiology department.</t>
  </si>
  <si>
    <t>Welvaars, Koen; Groenendaal, Femke; van den Bekerom, Michel P. J.; Doornberg, Job N.; van Haarst, Ernst P.; Riezebos, Robert</t>
  </si>
  <si>
    <t>Welvaars, K (corresponding author), OLVG, Data Sci Team, Amsterdam, Netherlands.; Welvaars, K (corresponding author), Univ Med Ctr Groningen, Dept Orthopaed Surg, Groningen, Netherlands.</t>
  </si>
  <si>
    <t>k.welvaars01@umcg.nl</t>
  </si>
  <si>
    <t>[Welvaars, Koen] OLVG, Data Sci Team, Amsterdam, Netherlands; [Groenendaal, Femke] OLVG, Dept Cardiol, Qual &amp; Improvement Team, Amsterdam, Netherlands; [van den Bekerom, Michel P. J.] Vrije Univ, OLVG, Fac Behav &amp; Movement Sci, Dept Orthopaed Surg, Amsterdam, Netherlands; [Welvaars, Koen; Doornberg, Job N.] Univ Med Ctr Groningen, Dept Orthopaed Surg, Groningen, Netherlands; [Doornberg, Job N.] Flinders Med Ctr, Dept Orthopaed &amp; Trauma Surg, Adelaide, Australia; [van Haarst, Ernst P.] OLVG, Dept Urol, Amsterdam, Netherlands; [Riezebos, Robert] OLVG Hosp, Heart Ctr, Dept Cardiol, Amsterdam, Netherlands; [Riezebos, Robert] Isala Heart Ctr, Dept Cardiol, Isala Zwolle, Netherlands</t>
  </si>
  <si>
    <t>Onze Lieve Vrouwe Gasthuis Hospital; Onze Lieve Vrouwe Gasthuis Hospital; Onze Lieve Vrouwe Gasthuis Hospital; Vrije Universiteit Amsterdam; University of Groningen; Flinders Medical Centre; Onze Lieve Vrouwe Gasthuis Hospital</t>
  </si>
  <si>
    <t>Predicting peripheral venous catheter related phlebitis using machine learning (PPML): development and prospective validation of PPML for cardiology inpatients</t>
  </si>
  <si>
    <t>Phlebitis; Machine learning; RandomForest; Clinical utility</t>
  </si>
  <si>
    <t>Welvaars, Koen/0000-0003-2153-3116</t>
  </si>
  <si>
    <t>AUG 27 2025</t>
  </si>
  <si>
    <t>10.1186/s12911-025-03158-6</t>
  </si>
  <si>
    <t>http://dx.doi.org/10.1186/s12911-025-03158-6</t>
  </si>
  <si>
    <t>6RW6R</t>
  </si>
  <si>
    <t>40866970</t>
  </si>
  <si>
    <t>WOS:001560541000001</t>
  </si>
  <si>
    <t>Soltan, AAS; Kouchaki, S; Zhu, TT; Kiyasseh, D; Taylor, T; Hussain, ZB; Peto, T; Brent, AJ; Eyre, DW; Clifton, DA</t>
  </si>
  <si>
    <t>Background The early clinical course of COVID-19 can be difficult to distinguish from other illnesses driving presentation to hospital. However, viral-specific PCR testing has limited sensitivity and results can take up to 72 h for operational reasons. We aimed to develop and validate two early-detection models for COVID-19, screening for the disease among patients attending the emergency department and the subset being admitted to hospital, using routinely collected health-care data (laboratory tests, blood gas measurements, and vital signs). These data are typically available within the first hour of presentation to hospitals in high-income and middle-income countries, within the existing laboratory infrastructure.Methods We trained linear and non-linear machine learning classifiers to distinguish patients with COVID-19 from pre-pandemic controls, using electronic health record data for patients presenting to the emergency department and admitted across a group of four teaching hospitals in Oxfordshire, UK (Oxford University Hospitals). Data extracted included presentation blood tests, blood gas testing, vital signs, and results of PCR testing for respiratory viruses. Adult patients (&gt;18 years) presenting to hospital before Dec 1, 2019 (before the first COVID-19 outbreak), were included in the COVID-19-negative cohort; those presenting to hospital between Dec 1, 2019, and April 19, 2020, with PCR-confirmed severe acute respiratory syndrome coronavirus 2 infection were included in the COVID-19-positive cohort. Patients who were subsequently admitted to hospital were included in their respective COVID-19-negative or COVID-19-positive admissions cohorts. Models were calibrated to sensitivities of 70%, 80%, and 90% during training, and performance was initially assessed on a held-out test set generated by an 80:20 split stratified by patients with COVID-19 and balanced equally with pre-pandemic controls. To simulate real-world performance at different stages of an epidemic, we generated test sets with varying prevalences of COVID-19 and assessed predictive values for our models. We prospectively validated our 80% sensitivity models for all patients presenting or admitted to the Oxford University Hospitals between April 20 and May 6, 2020, comparing model predictions with PCR test results.Findings We assessed 155 689 adult patients presenting to hospital between Dec 1, 2017, and April 19, 2020. 114 957 patients were included in the COVID-negative cohort and 437 in the COVID-positive cohort, for a full study population of 115 394 patients, with 72 310 admitted to hospital. With a sensitive configuration of 80%, our emergency department (ED) model achieved 77.4% sensitivity and 95.7% specificity (area under the receiver operating characteristic curve [AUROC] 0.939) for COVID-19 among all patients attending hospital, and the admissions model achieved 77.4% sensitivity and 94.8% specificity (AUROC 0.940) for the subset of patients admitted to hospital. Both models achieved high negative predictive values (NPV; &gt;98.5%) across a range of prevalences (&lt;= 5%). We prospectively validated our models for all patients presenting and admitted to Oxford University Hospitals in a 2-week test period. The ED model (3326 patients) achieved 92.3% accuracy (NPV 97.6%, AUROC 0.881), and the admissions model (1715 patients) achieved 92.5% accuracy (97.7%, 0.871) in comparison with PCR results. Sensitivity analyses to account for uncertainty in negative PCR results improved apparent accuracy (ED model 95.1%, admissions model 94.1%) and NPV (ED model 99.0%, admissions model 98.5%).Interpretation Our models performed effectively as a screening test for COVID-19, excluding the illness with high-confidence by use of clinical data routinely available within 1 h of presentation to hospital. Our approach is rapidly scalable, fitting within the existing laboratory testing infrastructure and standard of care of hospitals in high-income and middle-income countries. Copyright (C) 2020 The Author(s). Published by Elsevier Ltd.</t>
  </si>
  <si>
    <t>Soltan, Andrew A. S.; Kouchaki, Samaneh; Zhu, Tingting; Kiyasseh, Dani; Taylor, Thomas; Hussain, Zaamin B.; Peto, Tim; Brent, Andrew J.; Eyre, David W.; Clifton, David A.</t>
  </si>
  <si>
    <t>Wellcome Trust (University of Oxford Medical and Life Sciences Translational Fund) [0009350]; Engineering and Physical Sciences Research Council [EP/P009824/1, EP/N020774/1]; NIHR Oxford Biomedical Research Centre; NIHR Health Protection Research Unit in Healthcare Associated Infections and Antimicrobial Resistance at the University of Oxford [NIHR200915]; Public Health England (PHE); Wellcome Trust; University of Oxford; Engineering and Physical Sciences Research Council; National Institute for Health Research Oxford Biomedical Research Centre; EPSRC [EP/N020774/1, EP/P009824/1] Funding Source: UKRI; MRC [MC_PC_19049] Funding Source: UKRI; Engineering and Physical Sciences Research Council [EP/P009824/1, EP/N020774/1] Funding Source: researchfish; Medical Research Council [HDR-9006] Funding Source: researchfish; National Institute for Health Research [NF-SI-0508-10279] Funding Source: researchfish</t>
  </si>
  <si>
    <t>Wellcome Trust (University of Oxford Medical and Life Sciences Translational Fund) (University of Oxford); Engineering and Physical Sciences Research Council (UK Research &amp; Innovation (UKRI), Engineering &amp; Physical Sciences Research Council (EPSRC)); NIHR Oxford Biomedical Research Centre (National Institutes of Health Research (NIHR)); NIHR Health Protection Research Unit in Healthcare Associated Infections and Antimicrobial Resistance at the University of Oxford (University of Oxford); Public Health England (PHE); Wellcome Trust (Wellcome Trust); University of Oxford (University of Oxford); Engineering and Physical Sciences Research Council (UK Research &amp; Innovation (UKRI), Engineering &amp; Physical Sciences Research Council (EPSRC)); National Institute for Health Research Oxford Biomedical Research Centre (National Institutes of Health Research (NIHR)); EPSRC (UK Research &amp; Innovation (UKRI), Engineering &amp; Physical Sciences Research Council (EPSRC)); MRC (UK Research &amp; Innovation (UKRI), Medical Research Council UK (MRC)); Engineering and Physical Sciences Research Council (UK Research &amp; Innovation (UKRI), Engineering &amp; Physical Sciences Research Council (EPSRC)); Medical Research Council (UK Research &amp; Innovation (UKRI), Medical Research Council UK (MRC)); National Institute for Health Research (National Institutes of Health Research (NIHR))</t>
  </si>
  <si>
    <t>We express our sincere thanks to all patients, clinicians, and staff across Oxford University Hospitals NHS Foundation Trust. We additionally thank staff across the University of Oxford Institute of Biomedical Engineering, Research Services, and Clinical Trials and Research Group. In particular, we thank Dr Ravi Pattanshetty for clinical input and Jia Wei. This research was supported by grants from the Wellcome Trust (University of Oxford Medical and Life Sciences Translational Fund, award 0009350), the Engineering and Physical Sciences Research Council (EP/P009824/1 and EP/N020774/1), and the NIHR Oxford Biomedical Research Centre and NIHR Health Protection Research Unit in Healthcare Associated Infections and Antimicrobial Resistance at the University of Oxford (NIHR200915), in partnership with Public Health England (PHE). AASS is an NIHR Academic Clinical Fellow. DWE is a Robertson Foundation Fellow and an NIHR Oxford Biomedical Research Centre Senior Fellow. The views expressed are those of the authors and not necessarily those of the NHS, NIHR, PHE, Wellcome Trust, or the Department of Health. Wellcome Trust, University of Oxford, Engineering and Physical Sciences Research Council, National Institute for Health Research Oxford Biomedical Research Centre.</t>
  </si>
  <si>
    <t>[Soltan, Andrew A. S.; Peto, Tim; Brent, Andrew J.; Eyre, David W.] Oxford Univ Hosp NHS Fdn Trust, John Radcliffe Hosp, Oxford, England; [Soltan, Andrew A. S.] Univ Oxford, Div Cardiovasc Med, Radcliffe Dept Med, Oxford, England; [Kouchaki, Samaneh; Zhu, Tingting; Kiyasseh, Dani; Taylor, Thomas; Clifton, David A.] Univ Oxford, Inst Biomed Engn, Dept Engn Sci, Oxford, England; [Eyre, David W.] Univ Oxford, Big Data Inst, Nuffield Dept Populat Hlth, Oxford, England; [Peto, Tim; Brent, Andrew J.] Univ Oxford, Nuffield Dept Med, Oxford, England; [Hussain, Zaamin B.] Harvard Univ, Harvard Grad Sch Educ, Boston, MA 02115 USA; [Hussain, Zaamin B.] Harvard Univ, Harvard TH Chan Sch Publ Hlth, Boston, MA 02115 USA; [Kouchaki, Samaneh] Univ Surrey, Ctr Vis Speech &amp; Signal Proc, Guildford, Surrey, England; [Peto, Tim; Eyre, David W.] Univ Oxford, NIHR Hlth Protect Res Unit Healthcare Associated, Oxford, England; [Peto, Tim; Eyre, David W.] Publ Hlth England, Oxford, England</t>
  </si>
  <si>
    <t>University of Oxford; Oxford University Hospitals NHS Foundation Trust; University of Oxford; University of Oxford; University of Oxford; University of Oxford; Harvard University; Harvard University; Harvard T.H. Chan School of Public Health; University of Surrey; University of Oxford; Public Health England</t>
  </si>
  <si>
    <t>Rapid triage for COVID-19 using routine clinical data for patients attending hospital: development and prospective validation of an artificial intelligence screening test</t>
  </si>
  <si>
    <t>Hussain, Zaamin/O-8122-2016; Eyre, David/P-6887-2016; Zhu, Tingting/O-6989-2017</t>
  </si>
  <si>
    <t>Kouchaki, Samaneh/0000-0002-5870-4030; Taylor, Thomas/0000-0002-4017-7113; Eyre, David/0000-0001-5095-6367; Zhu, Tingting/0000-0002-1552-5630; Soltan, Andrew/0000-0003-2391-5361</t>
  </si>
  <si>
    <t>FEB 2021</t>
  </si>
  <si>
    <t>e78</t>
  </si>
  <si>
    <t>e87</t>
  </si>
  <si>
    <t>10.1016/S2589-7500(20)30274-0</t>
  </si>
  <si>
    <t>http://dx.doi.org/10.1016/S2589-7500(20)30274-0</t>
  </si>
  <si>
    <t>QC1XT</t>
  </si>
  <si>
    <t>33509388</t>
  </si>
  <si>
    <t>WOS:000614629400006</t>
  </si>
  <si>
    <t>Zhu, JH; Wu, LH; Liu, JX; Liang, YF; Zou, JY; Hao, XW; Huang, GN; Han, W</t>
  </si>
  <si>
    <t>Research question: Could objective embryo assessment using iDAScore Version 2.0 perform as well as conventional morphological assessment?Design: A retrospective cohort study of fresh day 3 embryo transfer cycles was conducted at a large reproductive medicine centre. In total, 7786 embryos from 4328 cycles with known implantation data were cultured in a time-lapse incubator and included in the study. Fetal heartbeat (FHB) rate was analysed retrospectively using iDAScore Version 2.0 and conventional morphological assessment associated with the transferred embryos. The pregnancy-prediction performance of the two assessment methods was compared using area under the curve (AUC) values for predicting FHB.Results: AUC values were significantly higher for iDAScore compared with morphological assessment for all cycles (0.62 versus 0.60; P = 0.005), single-embryo transfer cycles (0.63 versus 0.60; P = 0.043) and double-embryo transfer cycles (0.61 versus 0.59; P = 0.012). For the age subgroups, AUC values were significantly higher for iDAScore compared with morphological assessment in the &lt;35 years subgroup (0.62 versus 0.60; P = 0.009); however, no significant difference was found in the &gt;= 35 years subgroup. In terms of the number of blastomeres, AUC values were significantly higher for iDAScore compared with morphological assessment for both the &lt;8c subgroup (0.67 versus 0.56; P &lt; 0.001) and the &gt;= 8c subgroup (0.58 versus 0.55; P = 0.012).Conclusions: iDAScore Version 2.0 performed as well as, or better than, conventional morphological assessment in fresh day 3 embryo transfer cycles. iDAScore Version 2.0 may therefore constitute a promising tool for selecting embryos with the highest likelihood of implantation.</t>
  </si>
  <si>
    <t>Zhu, Jiahong; Wu, Lihong; Liu, Junxia; Liang, Yanfeng; Zou, Jiayi; Hao, Xiangwei; Huang, Guoning; Han, Wei</t>
  </si>
  <si>
    <t>Huang, GN; Han, W (corresponding author), Chongqing Hlth Ctr Women &amp; Children, Chongqing Clin Res Ctr Reprod Med, Chongqing, Peoples R China.; Huang, GN; Han, W (corresponding author), Chongqing Med Univ, Ctr Reprod Med, Chongqing Key Lab Human Embryo Engn, Women &amp; Childrens Hosp, Chongqing, Peoples R China.</t>
  </si>
  <si>
    <t>hw2012ivf@sina.com; gnhuang217@sina.com</t>
  </si>
  <si>
    <t>Chongqing Health Centre for Women and Children [2020YJQN09]; Basic Research and Frontier Exploration Project of Yuzhong District, Chongqing [20190143]; Chongqing Health Committee [2021MSXM108]</t>
  </si>
  <si>
    <t>Chongqing Health Centre for Women and Children; Basic Research and Frontier Exploration Project of Yuzhong District, Chongqing; Chongqing Health Committee</t>
  </si>
  <si>
    <t>This work was supported by Chongqing Health Centre for Women and Children (Grant No. 2020YJQN09) , Basic Research and Frontier Exploration Project of Yuzhong District, Chongqing (Grant No. 20190143) and Chongqing Health Committee (Grant No. 2021MSXM108)</t>
  </si>
  <si>
    <t>[Zhu, Jiahong; Wu, Lihong; Liu, Junxia; Liang, Yanfeng; Zou, Jiayi; Hao, Xiangwei; Huang, Guoning; Han, Wei] Chongqing Hlth Ctr Women &amp; Children, Chongqing Clin Res Ctr Reprod Med, Chongqing, Peoples R China; [Zhu, Jiahong; Wu, Lihong; Liu, Junxia; Liang, Yanfeng; Zou, Jiayi; Hao, Xiangwei; Huang, Guoning; Han, Wei] Chongqing Med Univ, Ctr Reprod Med, Chongqing Key Lab Human Embryo Engn, Women &amp; Childrens Hosp, Chongqing, Peoples R China</t>
  </si>
  <si>
    <t>External validation of a model for selecting day 3 embryos for transfer based upon deep learning and time-lapse imaging</t>
  </si>
  <si>
    <t>REPRODUCTIVE BIOMEDICINE ONLINE</t>
  </si>
  <si>
    <t>Conventional morphological assessment; Day 3 embryos; Deep learning; Objective embryo assessment; Pregnancy prediction</t>
  </si>
  <si>
    <t>BLASTOCYST TRANSFER; BLASTOMERE NUMBER; MORPHOLOGY; MORPHOKINETICS; FERTILIZATION; IMPLANTATION; RATES; AGE</t>
  </si>
  <si>
    <t>han, wei/JEZ-6426-2023</t>
  </si>
  <si>
    <t>zhu, jiahong/0000-0001-5301-0593</t>
  </si>
  <si>
    <t>1472-6483</t>
  </si>
  <si>
    <t>1472-6491</t>
  </si>
  <si>
    <t>REPROD BIOMED ONLINE</t>
  </si>
  <si>
    <t>Reprod. Biomed. Online</t>
  </si>
  <si>
    <t>103242</t>
  </si>
  <si>
    <t>10.1016/j.rbmo.2023.05.014</t>
  </si>
  <si>
    <t>http://dx.doi.org/10.1016/j.rbmo.2023.05.014</t>
  </si>
  <si>
    <t>Obstetrics &amp; Gynecology; Reproductive Biology</t>
  </si>
  <si>
    <t>S9DV4</t>
  </si>
  <si>
    <t>37429765</t>
  </si>
  <si>
    <t>WOS:001074108500001</t>
  </si>
  <si>
    <t>van Dijk, DPJ; Volmer, LF; Brecheisen, R; Martens, B; Dolan, RD; Bryce, AS; Chang, DK; McMillan, DC; Stoot, JHMB; West, MA; Rensen, SS; Dekker, A; Wee, L; Damink, SWMO</t>
  </si>
  <si>
    <t>Objectives Body composition assessment using CT images at the L3-level is increasingly applied in cancer research and has been shown to be strongly associated with long-term survival. Robust high-throughput automated segmentation is key to assess large patient cohorts and to support implementation of body composition analysis into routine clinical practice. We trained and externally validated a deep learning neural network (DLNN) to automatically segment L3-CT images.Methods Expert-drawn segmentations of visceral and subcutaneous adipose tissue (VAT/SAT) and skeletal muscle (SM) of L3-CT-images of 3187 patients undergoing abdominal surgery were used to train a DLNN. The external validation cohort was comprised of 2535 patients with abdominal cancer. DLNN performance was evaluated with (geometric) dice similarity (DS) and Lin's concordance correlation coefficient.Results There was a strong concordance between automatic and manual segmentations with median DS for SM, VAT, and SAT of 0.97 (IQR: 0.95-0.98), 0.98 (IQR: 0.95-0.98), and 0.95 (IQR: 0.92-0.97), respectively. Concordance correlations were excellent: SM 0.964 (0.959-0.968), VAT 0.998 (0.998-0.998), and SAT 0.992 (0.991-0.993). Bland-Altman metrics indicated only small and clinically insignificant systematic offsets; SM radiodensity: 0.23 Hounsfield units (0.5%), SM: 1.26 cm2.m-2 (2.8%), VAT: -1.02 cm2.m-2 (1.7%), and SAT: 3.24 cm2.m-2 (4.6%).Conclusion A robustly-performing and independently externally validated DLNN for automated body composition analysis was developed.Advances in knowledge This DLNN was successfully trained and externally validated on several large patient cohorts. The trained algorithm could facilitate large-scale population studies and implementation of body composition analysis into clinical practice.</t>
  </si>
  <si>
    <t>van Dijk, David P. J.; Volmer, Leroy F.; Brecheisen, Ralph; Martens, Bibi; Dolan, Ross D.; Bryce, Adam S.; Chang, David K.; McMillan, Donald C.; Stoot, Jan H. M. B.; West, Malcolm A.; Rensen, Sander S.; Dekker, Andre; Wee, Leonard; Damink, Steven W. M. Olde</t>
  </si>
  <si>
    <t>van Dijk, DPJ (corresponding author), Maastricht Univ, Med Ctr, Dept Surg, POB 616, NL-6200 MD Maastricht, Netherlands.</t>
  </si>
  <si>
    <t>d.vandijk@maastrichtuniversity.nl</t>
  </si>
  <si>
    <t>Cancer Research UK</t>
  </si>
  <si>
    <t>Cancer Research UK (Cancer Research UK)</t>
  </si>
  <si>
    <t>The New EPOC study was supported by Cancer Research UK.</t>
  </si>
  <si>
    <t>[van Dijk, David P. J.; Brecheisen, Ralph; Damink, Steven W. M. Olde] Maastricht Univ, Med Ctr, Dept Surg, POB 616, NL-6200 MD Maastricht, Netherlands; [van Dijk, David P. J.; Brecheisen, Ralph; Rensen, Sander S.; Damink, Steven W. M. Olde] Maastricht Univ, NUTRIM Sch Nutr &amp; Translat Res Metab, NL-6229 ER Maastricht, Netherlands; [van Dijk, David P. J.; Stoot, Jan H. M. B.] Zuyderland Med Ctr, Dept Surg, NL-6162 BG Geleen, Netherlands; [Volmer, Leroy F.; Dekker, Andre; Wee, Leonard] Maastricht Univ, Dept Radiotherapy MAASTRO, NL-6229 ET Maastricht, Netherlands; [Volmer, Leroy F.; Martens, Bibi; Dekker, Andre; Wee, Leonard] Maastricht Univ, GROW Sch Oncol &amp; Reprod, NL-6229 ER Maastricht, Netherlands; [Martens, Bibi] Maastricht Univ, Med Ctr, Dept Radiol, NL-6200 MD Maastricht, Netherlands; [Dolan, Ross D.; McMillan, Donald C.] Univ Glasgow, Glasgow Royal Infirm, Sch Med, Acad Unit Surg, Glasgow G31 2ER, Scotland; [Bryce, Adam S.; Chang, David K.] Univ Glasgow, Wolfson Wohl Canc Res Ctr, Sch Canc Sci, Glasgow G61 1BD, Scotland; [Bryce, Adam S.; Chang, David K.] Glasgow Royal Infirm, West Scotland Pancreat Unit, Glasgow G12 0YN, Scotland; [West, Malcolm A.] Univ Southampton, Fac Med, Acad Unit Canc Sci, Southampton SO16 6YD, Southampton, England; [Damink, Steven W. M. Olde] Univ Hosp Aachen, Dept Gen Visceral &amp; Transplant Surg, D-52074 Aachen, Germany</t>
  </si>
  <si>
    <t>Maastricht University; Maastricht University; Maastricht University Medical Centre (MUMC); Maastricht University; Maastricht University; Maastricht University Medical Centre (MUMC); Maastricht University; University of Glasgow; University of Glasgow; University of Glasgow; University of Southampton; RWTH Aachen University; RWTH Aachen University Hospital</t>
  </si>
  <si>
    <t>Body Composition Collaborative</t>
  </si>
  <si>
    <t>External validation of a deep learning model for automatic segmentation of skeletal muscle and adipose tissue on abdominal CT images</t>
  </si>
  <si>
    <t>BRITISH JOURNAL OF RADIOLOGY</t>
  </si>
  <si>
    <t>body composition; deep learning; convolutional neural networks; image segmentation; CT</t>
  </si>
  <si>
    <t>BODY-COMPOSITION; EVOLUTION; SURVIVAL; MASS</t>
  </si>
  <si>
    <t>Rensen, Sander/J-3224-2019; McMillan, Donald/A-4274-2008; Martens, Bibi/MSY-3160-2025; Dekker, Andre/AAE-4830-2019; Wee, Leonard/AAH-3548-2019</t>
  </si>
  <si>
    <t>Olde Damink, Steven/0000-0002-5202-9345; Rensen, Sander/0000-0001-5054-8400; West, Malcolm/0000-0002-0345-5356; Dolan, Ross/0000-0002-5272-5906; Dekker, Andre/0000-0002-0422-7996</t>
  </si>
  <si>
    <t>0007-1285</t>
  </si>
  <si>
    <t>1748-880X</t>
  </si>
  <si>
    <t>BRIT J RADIOL</t>
  </si>
  <si>
    <t>Br. J. Radiol.</t>
  </si>
  <si>
    <t>SEP 30 2024</t>
  </si>
  <si>
    <t>1164</t>
  </si>
  <si>
    <t>2015</t>
  </si>
  <si>
    <t>10.1093/bjr/tqae191</t>
  </si>
  <si>
    <t>http://dx.doi.org/10.1093/bjr/tqae191</t>
  </si>
  <si>
    <t>O4U5T</t>
  </si>
  <si>
    <t>39286936</t>
  </si>
  <si>
    <t>WOS:001322107400001</t>
  </si>
  <si>
    <t>Guo, DC; Gu, J; He, J; Chu, HR; Dong, N; Zheng, YF</t>
  </si>
  <si>
    <t>Background Hematoma expansion is an independent predictor of patient outcome and mortality. The early diagnosis of hematoma expansion is crucial for selecting clinical treatment options. This study aims to explore the value of a deep learning algorithm for the prediction of hematoma expansion from non-contrast computed tomography (NCCT) scan through external validation. Methods 102 NCCT images of hypertensive intracerebral hemorrhage (HICH) patients diagnosed in our hospital were retrospectively reviewed. The initial computed tomography (CT) scan images were evaluated by a commercial Artificial Intelligence (AI) software using deep learning algorithm and radiologists respectively to predict hematoma expansion and the corresponding sensitivity, specificity and accuracy of the two groups were calculated and compared. Comparisons were also conducted among gold standard hematoma expansion diagnosis time, AI software diagnosis time and doctors' reading time. Results Among 102 HICH patients, the sensitivity, specificity, and accuracy of hematoma expansion prediction in the AI group were higher than those in the doctor group(80.0% vs 66.7%, 73.6% vs 58.3%, 75.5% vs 60.8%), with statistically significant difference (p &lt; 0.05). The AI diagnosis time (2.8 +/- 0.3 s) and the doctors' diagnosis time (11.7 +/- 0.3 s) were both significantly shorter than the gold standard diagnosis time (14.5 +/- 8.8 h) (p &lt; 0.05), AI diagnosis time was significantly shorter than that of doctors (p &lt; 0.05). Conclusions Deep learning algorithm could effectively predict hematoma expansion at an early stage from the initial CT scan images of HICH patients after onset with high sensitivity and specificity and greatly shortened diagnosis time, which provides a new, accurate, easy-to-use and fast method for the early prediction of hematoma expansion.</t>
  </si>
  <si>
    <t>Guo, Dong Chuang; Gu, Jun; He, Jian; Chu, Hai Rui; Dong, Na; Zheng, Yi Feng</t>
  </si>
  <si>
    <t>Zheng, YF (corresponding author), Huzhou Univ, Affiliated Cent Hosp, Huzhou Cent Hosp, Dept Radiol, Huzhou 313000, Zhejiang, Peoples R China.</t>
  </si>
  <si>
    <t>2506861828@qq.com</t>
  </si>
  <si>
    <t>Public Welfare Applied Research Project of Huzhou Science and Technology Bureau [2020GY20]</t>
  </si>
  <si>
    <t>Public Welfare Applied Research Project of Huzhou Science and Technology Bureau</t>
  </si>
  <si>
    <t>This research was funded by the Public Welfare Applied Research Project of Huzhou Science and Technology Bureau (No. 2020GY20).</t>
  </si>
  <si>
    <t>[Guo, Dong Chuang; He, Jian; Chu, Hai Rui; Zheng, Yi Feng] Huzhou Univ, Affiliated Cent Hosp, Huzhou Cent Hosp, Dept Radiol, Huzhou 313000, Zhejiang, Peoples R China; [Gu, Jun; Dong, Na] Biomind Technol, Inst Clin Res, Beijing 100050, Peoples R China</t>
  </si>
  <si>
    <t>Huzhou Normal University</t>
  </si>
  <si>
    <t>External validation study on the value of deep learning algorithm for the prediction of hematoma expansion from noncontrast CT scans</t>
  </si>
  <si>
    <t>BMC MEDICAL IMAGING</t>
  </si>
  <si>
    <t>Artificial intelligence; Hypertensive intracerebral hemorrhage; Hematoma expansion; Early diagnosis</t>
  </si>
  <si>
    <t>PRIMARY INTRACEREBRAL HEMORRHAGE; BLACK-HOLE SIGN; SPOT SIGN; COMPUTED-TOMOGRAPHY; BLEND SIGN; GROWTH</t>
  </si>
  <si>
    <t>1471-2342</t>
  </si>
  <si>
    <t>BMC MED IMAGING</t>
  </si>
  <si>
    <t>BMC Med. Imag.</t>
  </si>
  <si>
    <t>MAR 14 2022</t>
  </si>
  <si>
    <t>10.1186/s12880-022-00772-y</t>
  </si>
  <si>
    <t>http://dx.doi.org/10.1186/s12880-022-00772-y</t>
  </si>
  <si>
    <t>ZT0JY</t>
  </si>
  <si>
    <t>35287616</t>
  </si>
  <si>
    <t>WOS:000768844600002</t>
  </si>
  <si>
    <t>Yang, YW; Huan, XY; Guo, DJ; Wang, XL; Niu, SW; Li, KH</t>
  </si>
  <si>
    <t>PurposeTo externally validate the performance of automated stenosis detection on head and neck CT angiography (CTA) and investigate the impact factors using an independent bi-center dataset with digital subtraction angiography (DSA) as the ground truth.Material and methodsPatients who underwent head and neck CTA and DSA between January 2019 and December 2021 were retrospectively included. The degree of stenosis was automatically evaluated using CerebralDoc based on CTA. The performance of CerebralDoc across levels (per-patient, per-region, per-vessel, and per-segment) and thresholds (&amp; GE; 50%, &amp; GE; 70%, and = 100%) was evaluated. Logistic regression was performed to identify independent factors associated with false negative results.Results296 patients were analyzed. Specificity across levels and thresholds was high, exceeding 92%. The area under the curve ranged from poor (0.615, 95% CI: 0.544, 0.686; at the region-based analysis for stenosis &amp; GE; 70%) to excellent (0.945, 95% CI: 0.905, 0.985; at the patient-based analysis for stenosis &amp; GE; 50%). Sensitivity ranged from 0.714 (95% CI: 0.675, 0.750) at the segment-based analysis for stenosis &amp; GE; 70% to 0.895 (95% CI: 0.849, 0.919) at the patient-based analysis for stenosis &amp; GE; 50%. The multiple logistic regression analysis revealed that false negative results were primarily more likely to specific stenosis locations (particularly the M2 segment and skull base segment of the internal carotid artery) and occlusion.ConclusionsCerebralDoc has the potential to automated stenosis detection on head and neck CTA, but further efforts are needed to optimize its performance.</t>
  </si>
  <si>
    <t>Yang, Yongwei; Huan, Xinyue; Guo, Dajing; Wang, Xiaolin; Niu, Shengwen; Li, Kunhua</t>
  </si>
  <si>
    <t>Li, KH (corresponding author), Chongqing Med Univ, Affiliated Hosp 2, Dept Radiol, 74 Linjiang Rd, Chongqing 400010, Peoples R China.</t>
  </si>
  <si>
    <t>likunhua@hospital.cqmu.edu.cn</t>
  </si>
  <si>
    <t>Chongqing medical scientific research project (Joint project of Chongqing Health Commission and Science and Technology Bureau) [2023MSXM014]; Chongqing medical scientific research project (Joint project of Chongqing Health Commission and Science and Technology Bureau) [2023MSXM014]</t>
  </si>
  <si>
    <t>Chongqing medical scientific research project (Joint project of Chongqing Health Commission and Science and Technology Bureau); Chongqing medical scientific research project (Joint project of Chongqing Health Commission and Science and Technology Bureau)</t>
  </si>
  <si>
    <t>This work was supported by the Chongqing medical scientific research project (Joint project of Chongqing Health Commission and Science and Technology Bureau) under Grant No.2023MSXM014.</t>
  </si>
  <si>
    <t>[Yang, Yongwei; Huan, Xinyue; Guo, Dajing; Wang, Xiaolin; Niu, Shengwen; Li, Kunhua] Chongqing Med Univ, Affiliated Hosp 2, Dept Radiol, 74 Linjiang Rd, Chongqing 400010, Peoples R China; [Yang, Yongwei] Fifth Peoples Hosp Chongqing, Dept Radiol, Chongqing, Peoples R China</t>
  </si>
  <si>
    <t>Performance of deep learning-based autodetection of arterial stenosis on head and neck CT angiography: an independent external validation study</t>
  </si>
  <si>
    <t>RADIOLOGIA MEDICA</t>
  </si>
  <si>
    <t>Computed tomography angiography; Artificial intelligence; Arteries; Stroke</t>
  </si>
  <si>
    <t>STROKE; MANAGEMENT</t>
  </si>
  <si>
    <t>Li, Kunhua/JHU-4880-2023</t>
  </si>
  <si>
    <t>Guo, Dajing/0000-0001-8655-6621; Li, Kunhua/0000-0002-2360-0397</t>
  </si>
  <si>
    <t>0033-8362</t>
  </si>
  <si>
    <t>1826-6983</t>
  </si>
  <si>
    <t>RADIOL MED</t>
  </si>
  <si>
    <t>Radiol. Med.</t>
  </si>
  <si>
    <t>128</t>
  </si>
  <si>
    <t>1103</t>
  </si>
  <si>
    <t>1115</t>
  </si>
  <si>
    <t>10.1007/s11547-023-01683-w</t>
  </si>
  <si>
    <t>http://dx.doi.org/10.1007/s11547-023-01683-w</t>
  </si>
  <si>
    <t>Q2HF5</t>
  </si>
  <si>
    <t>37464200</t>
  </si>
  <si>
    <t>WOS:001031580400002</t>
  </si>
  <si>
    <t>Liu, KL; Wu, TH; Chen, PT; Tsai, YM; Roth, H; Wu, MS; Liao, WC; Wang, WC</t>
  </si>
  <si>
    <t>Background The diagnostic performance of CT for pancreatic cancer is interpreter-dependent, and approximately 40% of tumours smaller than 2 cm evade detection. Convolutional neural networks (CNNs) have shown promise in image analysis, but the networks' potential for pancreatic cancer detection and diagnosis is unclear. We aimed to investigate whether CNN could distinguish individuals with and without pancreatic cancer on CT, compared with radiologist interpretation.Methods In this retrospective, diagnostic study, contrast-enhanced CT images of 370 patients with pancreatic cancer and 320 controls from a Taiwanese centre were manually labelled and randomly divided for training and validation (295 patients with pancreatic cancer and 256 controls) and testing (75 patients with pancreatic cancer and 64 controls; local test set 1). Images were preprocessed into patches, and a CNN was trained to classify patches as cancerous or non-cancerous. Individuals were classified as with or without pancreatic cancer on the basis of the proportion of patches diagnosed as cancerous by the CNN, using a cutoff determined using the training and validation set. The CNN was further tested with another local test set (101 patients with pancreatic cancers and 88 controls; local test set 2) and a US dataset (281 pancreatic cancers and 82 controls). Radiologist reports of pancreatic cancer images in the local test sets were retrieved for comparison.Findings Between Jan 1, 2006, and Dec 31, 2018, we obtained CT images. In local test set 1, CNN-based analysis had a sensitivity of 0.973, specificity of 1.000, and accuracy of 0.986 (area under the curve [AUC] 0.997 (95% CI 0.992-1.000). In local test set 2, CNN-based analysis had a sensitivity of 0.990, specificity of 0.989, and accuracy of 0.989 (AUC 0.999 [0.998-1.000]). In the US test set, CNN-based analysis had a sensitivity of 0.790, specificity of 0.976, and accuracy of 0.832 (AUC 0.920 [0.891-0.948)]. CNN-based analysis achieved higher sensitivity than radiologists did (0.983 vs 0.929, difference 0.054 [95% CI 0.011-0.098]; p = 0.014) in the two local test sets combined. CNN missed three (1.7%) of 176 pancreatic cancers (1.1-1.2 cm). Radiologists missed 12 (7%) of 168 pancreatic cancers (1.0-3.3 cm), of which 11 (92%) were correctly classified using CNN. The sensitivity of CNN for tumours smaller than 2 cm was 92.1% in the local test sets and 63.1% in the US test set.Interpretation CNN could accurately distinguish pancreatic cancer on CT, with acceptable generalisability to images of patients from various races and ethnicities. CNN could supplement radiologist interpretation. Copyright (C) 2020 The Author(s). Published by Elsevier Ltd.</t>
  </si>
  <si>
    <t>Liu, Kao-Lang; Wu, Tinghui; Chen, Po-Ting; Tsai, Yuhsiang M.; Roth, Holger; Wu, Ming-Shiang; Liao, Wei-Chih; Wang, Weichung</t>
  </si>
  <si>
    <t>Wang, WC (corresponding author), Natl Taiwan Univ, Inst Appl Math Sci, Taipei 10617, Taiwan.; Liao, WC (corresponding author), Natl Taiwan Univ Hosp, Dept Internal Med, Taipei 10002, Taiwan.</t>
  </si>
  <si>
    <t>david.ntuh@gmail.com; wwang@ntu.edu.tw</t>
  </si>
  <si>
    <t>Taiwan Ministry of Science and Technology</t>
  </si>
  <si>
    <t>[Liu, Kao-Lang] Natl Taiwan Univ, Canc Ctr, Dept Med Imaging, Taipei, Taiwan; [Liu, Kao-Lang; Chen, Po-Ting] Natl Taiwan Univ, Coll Med, Dept Med Imaging, Natl Taiwan Univ Hosp, Taipei, Taiwan; [Roth, Holger] NVIDIA, Bethesda, MD USA; [Wu, Tinghui; Tsai, Yuhsiang M.; Wang, Weichung] Natl Taiwan Univ, Inst Appl Math Sci, Taipei 10617, Taiwan; [Wu, Ming-Shiang; Liao, Wei-Chih] Natl Taiwan Univ, Natl Taiwan Univ Hosp, Dept Internal Med, Div Gastroenterol &amp; Hepatol, Taipei, Taiwan; [Wu, Ming-Shiang; Liao, Wei-Chih] Natl Taiwan Univ, Coll Med, Internal Med, Taipei, Taiwan</t>
  </si>
  <si>
    <t>National Taiwan University; National Taiwan University Hospital; National Taiwan University; National Taiwan University Hospital; Nvidia Corporation; National Taiwan University; National Taiwan University; National Taiwan University Hospital; National Taiwan University</t>
  </si>
  <si>
    <t>Deep learning to distinguish pancreatic cancer tissue from non-cancerous pancreatic tissue: a retrospective study with cross-racial external validation</t>
  </si>
  <si>
    <t>COMPUTED-TOMOGRAPHY; DIAGNOSIS; LIVER; CT</t>
  </si>
  <si>
    <t>wu, ming/PCH-3851-2025</t>
  </si>
  <si>
    <t>Wu, Tinghui/0000-0002-2926-5614; LIU, KAO-LANG/0000-0003-4100-8909</t>
  </si>
  <si>
    <t>E303</t>
  </si>
  <si>
    <t>E313</t>
  </si>
  <si>
    <t>LR0DI</t>
  </si>
  <si>
    <t>33328124</t>
  </si>
  <si>
    <t>WOS:000535366700015</t>
  </si>
  <si>
    <t>Du, Q; Kong, WJ; Chang, YH; Xin, ZJ; Shao, XX; Feng, LB; Zhou, JX; Zhang, YC; Li, XJ; Cao, GR; Fu, R; Wa, Q; Zhou, ZY</t>
  </si>
  <si>
    <t>Study design: A retrospective two-center external validation study was conducted at two medical centers, collecting cervical spine MRI data from patients suspected of degenerative cervical myelopathy (DCM) between March 2022 and August 2024, forming a consecutive series with external validation. Objective: To develop and validate a deep learning model utilizing YOLO11 architecture for automated detection of cervical spinal cord compression on MRI and evaluate its performance against expert annotations. Summary of background data: DCM represents the leading cause of nontraumatic spinal cord injury in adults. While MRI facilitates early detection and provides the foundation for timely intervention, image interpretation remains subjective and dependent on physician experience, resulting in diagnostic variability and challenges in clinical consistency. Materials and methods: A YOLO11-based deep learning model was implemented with a binary classification scheme (Normal vs . Compression). Five physicians annotated 1431 sagittal T2-weighted cervical MRI images from 735 patients using standardized protocols, achieving excellent interobserver agreement. The data set comprised training/validation sets (577 patients, 1141 images), an internal test set (64 patients, 115 images), and an external test set (94 patients, 175 images). Five-fold cross-validation assessed model robustness. Standardized preprocessing incorporating contrast enhancement, noise reduction, and normalization was applied. Gradient-weighted Class Activation Mapping enhanced model interpretability. Results: Five-fold cross-validation yielded consistent performance with mAP50 ranging from 0.917 to 0.970, precision from 0.897 to 0.923, and recall from 0.922 to 0.946. External testing demonstrated statistically superior agreement with expert annotations (mAP50=0.944, 95% CI: 0.934-0.953) compared with mid-level physician annotations (mAP50=0.912, 95% CI: 0.908-0.919), with the difference being statistically significant (95% CI of difference: 0.015-0.043, P &lt;0.05). Conclusion: The YOLO11-based model demonstrated stable two-center performance with close alignment to expert-level clinical standards. The rapid inference, high sensitivity, and integrated visualization system address key challenges related to efficiency and interpretability in clinical AI applications for cervical spinal cord compression assessment.</t>
  </si>
  <si>
    <t>Du, Qian; Kong, Weijun; Chang, Yonghu; Xin, Zhijun; Shao, Xinxin; Feng, Libo; Zhou, Jiaxiang; Zhang, Yuancheng; Li, Xinjuan; Cao, Guangru; Fu, Rao; Wa, Qingde; Zhou, Zhiyu</t>
  </si>
  <si>
    <t>Wa, Q (corresponding author), Zunyi Med Univ, Affiliated Hosp 2, Dept Orthopaed Surg, Zunyi, Guizhou, Peoples R China.; Zhou, ZY (corresponding author), Sun Yat Sen Univ, Affiliated Hosp 7, Dept Orthopaed Surg, Innovat Platform Regenerat &amp; Repair Spinal Cord &amp;, Shenzhen, Peoples R China.; Fu, R (corresponding author), Sun Yat Sen Univ, Sch Med, Dept Anat, Shenzhen Campus, Shenzhen, Guangdong, Peoples R China.</t>
  </si>
  <si>
    <t>duqian@zmu.edu.cn; furao5@mail.sysu.edu.cn; kong0526@sina.com; wqd887zsy@126.com; 171267491@qq.com; xinzhijun2008@163.com; zhoujx77@mail2.sysu.edu.cn; Caoguangru2003@163.com; 407114469@qq.com; 67106198@qq.com; 18798120251@163.com; zhouzhy23@mail.sysu.edu.cn; 571296901@qq.com</t>
  </si>
  <si>
    <t>Basic Research Program of Guizhou Provincial Department of Science and Technology [Qiankehe Foundation-ZK [2024], General-347]; Science and Technology Plan Projects of Zunyi City [Zunshi Kehe HZ (2024), 432, 442]; Science and Technology Fund Project of Guizhou Provincial Health Commission [gzwjkj2021-379]; Zunyi City Science and Technology Innovation Talent Team [[2024] 04]</t>
  </si>
  <si>
    <t>Basic Research Program of Guizhou Provincial Department of Science and Technology; Science and Technology Plan Projects of Zunyi City; Science and Technology Fund Project of Guizhou Provincial Health Commission; Zunyi City Science and Technology Innovation Talent Team</t>
  </si>
  <si>
    <t>This research was funded by the Basic Research Program of Guizhou Provincial Department of Science and Technology (Qiankehe Foundation-ZK [2024] General-347), the Science and Technology Plan Projects of Zunyi City (Zunshi Kehe HZ (2024) No. 432 and 442), the Science and Technology Fund Project of Guizhou Provincial Health Commission (gzwjkj2021-379), and the Zunyi City Science and Technology Innovation Talent Team (No. [2024] 04).</t>
  </si>
  <si>
    <t>[Du, Qian; Shao, Xinxin; Li, Xinjuan; Cao, Guangru; Wa, Qingde] Zunyi Med Univ, Affiliated Hosp 2, Dept Orthopaed Surg, Zunyi, Guizhou, Peoples R China; [Kong, Weijun] Zunyi Hosp Tradit Chinese Med, Dept Orthopaed Surg, Zunyi, Guizhou, Peoples R China; [Chang, Yonghu] Zunyi Med Univ, Sch Med Informat &amp; Engn, Zunyi, Guizhou, Peoples R China; [Xin, Zhijun] Zunyi Med Univ, Dept Orthopaed Surg, Affiliated Hosp, Zunyi, Guizhou, Peoples R China; [Feng, Libo; Zhang, Yuancheng] Jinsha Cty Peoples Hosp, Dept Orthopaed Surg, Zunyi, Guizhou, Peoples R China; [Zhou, Jiaxiang; Zhou, Zhiyu] Sun Yat Sen Univ, Affiliated Hosp 7, Dept Orthopaed Surg, Innovat Platform Regenerat &amp; Repair Spinal Cord &amp;, Shenzhen, Peoples R China; [Fu, Rao] Sun Yat Sen Univ, Sch Med, Dept Anat, Shenzhen Campus, Shenzhen, Guangdong, Peoples R China; [Zhou, Zhiyu] Sun Yat sen Univ, Affiliated Hosp 1, Guangdong Prov Key Lab Orthoped &amp; Traumatol, Guangzhou, Peoples R China</t>
  </si>
  <si>
    <t>Zunyi Medical University; Zunyi Medical University; Zunyi Medical University; Sun Yat Sen University; Sun Yat Sen University; Sun Yat Sen University</t>
  </si>
  <si>
    <t>Automated Detection of Cervical Spinal Cord Compression on MRI Using YOLO11 Deep Learning Architecture: A Two-Center External Validation Study</t>
  </si>
  <si>
    <t>SPINE</t>
  </si>
  <si>
    <t>deep learning; YOLO11; magnetic resonance imaging; spinal cord compression; automated detection; model interpretability</t>
  </si>
  <si>
    <t>Du, Qian/HCI-9515-2022; ZHOU, ZHIYU/AAU-5036-2021</t>
  </si>
  <si>
    <t>0362-2436</t>
  </si>
  <si>
    <t>1528-1159</t>
  </si>
  <si>
    <t>MAY 1 2026</t>
  </si>
  <si>
    <t>610</t>
  </si>
  <si>
    <t>621</t>
  </si>
  <si>
    <t>10.1097/BRS.0000000000005639</t>
  </si>
  <si>
    <t>http://dx.doi.org/10.1097/BRS.0000000000005639</t>
  </si>
  <si>
    <t>GG8GI</t>
  </si>
  <si>
    <t>41631492</t>
  </si>
  <si>
    <t>WOS:001736060200003</t>
  </si>
  <si>
    <t>Li, X; Zhang, SY; Luo, X; Gao, GM; Luo, XF; Wang, SS; Li, SL; Zhao, DC; Wang, YQ; Cui, XR; Liu, B; Tao, Y; Xiao, BF; Tang, L; Yan, S; Wu, N</t>
  </si>
  <si>
    <t>Background Anthropomorphic phantoms are used in surgical planning and intervention. Ideal accuracy and high efficiency are prerequisites for its clinical application. We aimed to develop a fully automated artificial intelligence-based three-dimensional (3D) reconstruction system (AI system) to assist thoracic surgery and to determine its accuracy, efficiency, and safety for clinical use.Methods This AI system was developed based on a 3D convolutional neural network (CNN) and optimized by gradient descent after training with 500 cases, achieving a Dice coefficient of 89.2%. Accuracy was verified by comparing virtual structures predicted by the AI system with anatomical structures of patients in retrospective (n = 113) and prospective cohorts (n = 139) who underwent lobectomy or segmentectomy at the Peking University Cancer Hospital. Operation time and blood loss were compared between the retrospective cohort (without AI assistance) and prospective cohort (with AI assistance) for safety evaluation. The time consumption for reconstruction and the quality score were compared between the AI system and manual reconstruction software (Mimics (R)) for efficiency validation. This study was registered at https://www.chictr.org.cn as ChiCTR2100050985.Findings The AI system reconstructed 13,608 pulmonary segmental branches from retrospective and prospective cohorts, and 1573 branches of interest corresponding to phantoms were detectable during the operation for verifi- cation, achieving 100% and 97% accuracy for segmental bronchi, 97.2% and 99.1% for segmental arteries, and 93.2% and 98.8% for segmental veins, respectively. With the assistance of the AI system, the operation time was shortened by 24.5 min for lobectomy (p &lt; 0.001) and 20 min for segmentectomy (p = 0.007). Compared to Mimics (R), the AI system reduced the model reconstruction time by 14.2 min (p &lt; 0.001), and it also outperformed Mimics (R) in model quality scores (p &lt; 0.001).Interpretation The AI system can accurately predict thoracic anatomical structures with higher efficiency than manual reconstruction software. Constant optimization and larger population validation are required.Funding This study was funded by the Beijing Natural Science Foundation (No. L222020) and other sources.Copyright (c) 2022 The Authors. Published by Elsevier B.V. This is an open access article under the CC BY-NC-ND license (http://creativecommons.org/licenses/by-nc-nd/4.0/).Keywords: Artificial intelligence; Three-dimensional reconstruction model; Anatomy; Accuracy; Safety; Efficiency</t>
  </si>
  <si>
    <t>Li, Xiang; Zhang, Shanyuan; Luo, Xiang; Gao, Guangming; Luo, Xiangfeng; Wang, Shansi; Li, Shaolei; Zhao, Dachuan; Wang, Yaqi; Cui, Xinrun; Liu, Bing; Tao, Ye; Xiao, Bufan; Tang, Lei; Yan, Shi; Wu, Nan</t>
  </si>
  <si>
    <t>Yan, S; Wu, N (corresponding author), Peking Univ Canc Hosp &amp; Inst, Dept Thorac Surg 2, Key Lab Carcinogenesis &amp; Translat Res, Minist Educ Beijing, 52 Fucheng Rd, Beijing, Peoples R China.</t>
  </si>
  <si>
    <t>nanwu@bjmu.edu.cn; yanshi@bjmu.edu.cn</t>
  </si>
  <si>
    <t>Beijing Natural Science Foundation [L222020]</t>
  </si>
  <si>
    <t>Beijing Natural Science Foundation (Beijing Natural Science Foundation)</t>
  </si>
  <si>
    <t>This study was funded by the Beijing Natural Science Foundation (No. L222020) and other sources.</t>
  </si>
  <si>
    <t>[Li, Xiang; Zhang, Shanyuan; Li, Shaolei; Zhao, Dachuan; Wang, Yaqi; Cui, Xinrun; Liu, Bing; Tao, Ye; Xiao, Bufan; Yan, Shi; Wu, Nan] Peking Univ Canc Hosp &amp; Inst, Dept Thorac Surg 2, Key Lab Carcinogenesis &amp; Translat Res, Minist Educ Beijing, Beijing, Peoples R China; [Luo, Xiang; Gao, Guangming; Luo, Xiangfeng; Wang, Shansi] Linkdoc Informat Technol Beijing Co Ltd, Linkdoc AI Res LAIR, Beijing, Peoples R China; [Tang, Lei] Peking Univ Canc Hosp &amp; Inst, Dept Radiol, Key Lab Carcinogenesis &amp; Translat Res, Beijing, Peoples R China; [Yan, Shi; Wu, Nan] Peking Univ Canc Hosp &amp; Inst, Dept Thorac Surg 2, Key Lab Carcinogenesis &amp; Translat Res, Minist Educ Beijing, 52 Fucheng Rd, Beijing, Peoples R China</t>
  </si>
  <si>
    <t>Peking University</t>
  </si>
  <si>
    <t>Accuracy and efficiency of an artificial intelligence-based pulmonary broncho-vascular three-dimensional reconstruction system supporting thoracic surgery: Retrospective and prospective validation study</t>
  </si>
  <si>
    <t>Artificial intelligence; Three-dimensional reconstruction model; Anatomy; Accuracy; Safety; Efficiency</t>
  </si>
  <si>
    <t>COMPUTED-TOMOGRAPHY; ANGIOGRAPHY</t>
  </si>
  <si>
    <t>xiao, bufan/AAB-9431-2022</t>
  </si>
  <si>
    <t>Yan, Shi/0000-0003-4119-3702; luo, xiangfeng/0000-0002-4732-944X</t>
  </si>
  <si>
    <t>104422</t>
  </si>
  <si>
    <t>10.1016/j.ebiom.2022.104422</t>
  </si>
  <si>
    <t>http://dx.doi.org/10.1016/j.ebiom.2022.104422</t>
  </si>
  <si>
    <t>7T5PH</t>
  </si>
  <si>
    <t>36565503</t>
  </si>
  <si>
    <t>WOS:000911497700001</t>
  </si>
  <si>
    <t>Zhang, XX; Wang, YC; Xu, XJ; Zhang, J; Sun, YY; Hu, MC; Wang, SC; Li, Y; Chen, Y; Zhao, XM</t>
  </si>
  <si>
    <t>PurposeTo investigate the influence of deep learning reconstruction (DLR) on bladder MRI, specifically examination time, image quality, and diagnostic performance of vesical imaging reporting and data system (VI-RADS) within a prospective clinical cohort.MethodsSeventy participants with bladder cancer who underwent MRI between August 2022 and February 2023 with a protocol containing standard T2-weighted imaging (T2WIS), standard diffusion-weighted imaging (DWIS), fast T2WI with DLR (T2WIDL), and fast DWI with DLR (DWIDL) were enrolled in this prospective study. Imaging quality was evaluated by measuring signal-to-noise ratio (SNR), contrast-to-noise ratio (CNR), and qualitative image quality scoring. Additionally, the apparent diffusion coefficient (ADC) of bladder lesions derived from DWIS and DWIDL was measured and VI-RADS scoring was performed. Paired t-test or paired Wilcoxon signed-rank test were performed to compare image quality score, SNR, CNR, and ADC between standard sequences and fast sequences with DLR. The diagnostic performance for VI-RADS was assessed using the area under the receiver operating characteristic curve (AUC).ResultsCompared to T2WIS and DWIS, T2WIDL and DWIDL reduced the acquisition time from 5:57 min to 3:13 min and showed significantly higher SNR, CNR, qualitative image quality score of overall image quality, image sharpness, and lesion conspicuity. There were no significant differences in ADC and AUC of VI-RADS between standard sequences and fast sequences with DLR.ConclusionsThe application of DLR to T2WI and DWI reduced examination time and significantly improved image quality, maintaining ADC and the diagnostic performance of VI-RADS for evaluating muscle invasion in bladder cancer.</t>
  </si>
  <si>
    <t>Zhang, Xinxin; Wang, Yichen; Xu, Xiaojuan; Zhang, Jie; Sun, Yuying; Hu, Mancang; Wang, Sicong; Li, Yi; Chen, Yan; Zhao, Xinming</t>
  </si>
  <si>
    <t>Chen, Y; Zhao, XM (corresponding author), Chinese Acad Med Sci &amp; Peking Union Med Coll, Canc Hosp, Dept Diagnost Radiol, Natl Canc Ctr,Natl Clin Res Ctr Canc, 17 Panjiayuan Nanli, Beijing 100021, Peoples R China.</t>
  </si>
  <si>
    <t>zhaoxinming202211@126.com; doctorchenyan626@sina.com</t>
  </si>
  <si>
    <t>[Zhang, Xinxin; Wang, Yichen; Xu, Xiaojuan; Zhang, Jie; Sun, Yuying; Hu, Mancang; Chen, Yan; Zhao, Xinming] Chinese Acad Med Sci &amp; Peking Union Med Coll, Canc Hosp, Dept Diagnost Radiol, Natl Canc Ctr,Natl Clin Res Ctr Canc, 17 Panjiayuan Nanli, Beijing 100021, Peoples R China; [Wang, Sicong] MR Res China, GE Healthcare, Tongji South Rd No1, Beijing 100176, Peoples R China; [Li, Yi] Nanjing Audit Univ, Sch Stat &amp; Math, Nanjing 211815, Peoples R China</t>
  </si>
  <si>
    <t>Chinese Academy of Medical Sciences - Peking Union Medical College; Cancer Institute &amp; Hospital - CAMS; Peking Union Medical College; General Electric; Nanjing Audit University</t>
  </si>
  <si>
    <t>Bladder MRI with deep learning-based reconstruction: a prospective evaluation of muscle invasiveness using VI-RADS</t>
  </si>
  <si>
    <t>Urinary bladder neoplasms; MRI; Deep learning reconstruction; VI-RADS</t>
  </si>
  <si>
    <t>PROGRESSION RATE</t>
  </si>
  <si>
    <t>Zhang, Xinxin/ABC-6731-2021; Wang, Sicong/HRA-4786-2023</t>
  </si>
  <si>
    <t>1615</t>
  </si>
  <si>
    <t>1625</t>
  </si>
  <si>
    <t>10.1007/s00261-024-04280-1</t>
  </si>
  <si>
    <t>http://dx.doi.org/10.1007/s00261-024-04280-1</t>
  </si>
  <si>
    <t>RO8X1</t>
  </si>
  <si>
    <t>38652125</t>
  </si>
  <si>
    <t>WOS:001207088700004</t>
  </si>
  <si>
    <t>Zhou, CA; Gao, YZ; Shan, JQ; Dai, YD; Zhuang, YF; Sun, DZ; Chi, XF</t>
  </si>
  <si>
    <t>Background Disorders of consciousness (DoC) after severe acquired brain injury are difficult to diagnose at the bedside. The Coma Recovery Scale-Revised (CRS-R) is the behavioral reference standard, but raw scores can be affected by arousal fluctuation, motor impairment, sensory deficits, sedation, language disturbance, and local assessment conditions. Objective This protocol describes a prospective validation study of a multimodal artificial intelligence (AI) system designed to standardize CRS-R scores by integrating routine electroencephalography (EEG), bedside CRS-R subscale scores, and selected clinical contextual variables against an adjudicated standardized reference. Methods and analysis The study includes retrospective model development followed by prospective, blinded clinical validation at Guangdong Second Traditional Chinese Medicine Hospital. The locked model will use subscale-specific ordinal prediction modules and a rule-constrained integration layer to generate AI-standardized CRS-R subscale scores, total scores, diagnostic categories, uncertainty estimates, and prespecified case-level explanations. Prospective participants will undergo two independent bedside CRS-R assessments and routine scalp EEG within target and maximum assessment windows. A blinded expert committee will generate the reference CRS-R score using paired behavioral records, available videos, nursing observations, medication and confounder records. The primary endpoint is the participant-level reduction in absolute CRS-R total-score error after AI-assisted standardization relative to the adjudicated reference. Secondary endpoints include subscale agreement, diagnostic-category agreement, inter-rater variability, uncertainty-flag performance, workflow feasibility, and exploratory day-14 consciousness improvement. Ethics and dissemination The protocol was approved by the Ethics Committee of Guangdong Second Traditional Chinese Medicine Hospital (approval number Z202603-004-01; review date March 25, 2026; approval validity March 27, 2026 to March 26, 2027). Results will be disseminated through peer-reviewed publication and academic presentations. aClinical Trial Registration https://www.chictr.org.cn, Chinese Clinical Trial Registry, ChiCTR2600124984.</t>
  </si>
  <si>
    <t>Zhou, Chuangan; Gao, Yuzhu; Shan, Jinqiu; Dai, Yida; Zhuang, Yanfei; Sun, Dazhong; Chi, Xiangfeng</t>
  </si>
  <si>
    <t>Zhuang, YF; Sun, DZ; Chi, XF (corresponding author), Guangdong Prov Second Hosp Tradit Chinese Med, Guangzhou, Guangdong, Peoples R China.; Chi, XF (corresponding author), Guangzhou Univ Chinese Med, Clin Coll 5, Guangzhou, Guangdong, Peoples R China.</t>
  </si>
  <si>
    <t>654060489@qq.com; 498845385@qq.com; 1109884975@qq.com</t>
  </si>
  <si>
    <t>Guangzhou University of Chinese Medicine [GZYSE2024C05]</t>
  </si>
  <si>
    <t>Guangzhou University of Chinese Medicine</t>
  </si>
  <si>
    <t>The author(s) declared that financial support was received for this work and/or its publication. This research was funded by the Guangzhou University of Chinese Medicine School-Hospital Joint Science and Technology Innovation Fund, grant number GZYSE2024C05, and the Top Talent Project of Guangdong Provincial Second Hospital of Traditional Chinese Medicine, grant number 20260417. The funders were not involved in the study design, collection, analysis, interpretation of data, the writing of this article, or the decision to submit it for publication.</t>
  </si>
  <si>
    <t>[Zhou, Chuangan; Gao, Yuzhu; Zhuang, Yanfei; Sun, Dazhong; Chi, Xiangfeng] Guangdong Prov Second Hosp Tradit Chinese Med, Guangzhou, Guangdong, Peoples R China; [Zhou, Chuangan; Gao, Yuzhu; Dai, Yida] Guangzhou Univ Chinese Med, Guangzhou, Guangdong, Peoples R China; [Shan, Jinqiu; Chi, Xiangfeng] Guangzhou Univ Chinese Med, Clin Coll 5, Guangzhou, Guangdong, Peoples R China</t>
  </si>
  <si>
    <t>Guangzhou University of Chinese Medicine; Guangzhou University of Chinese Medicine</t>
  </si>
  <si>
    <t>Prospective validation protocol for artificial intelligence-assisted standardization of Coma Recovery Scale-Revised scores using electroencephalography and clinical data in disorders of consciousness</t>
  </si>
  <si>
    <t>artificial intelligence; clinical validation; Coma Recovery Scale-Revised; disorders of consciousness; electroencephalography; SPIRIT-AI; study protocol</t>
  </si>
  <si>
    <t>AUG 3 2026</t>
  </si>
  <si>
    <t>1904678</t>
  </si>
  <si>
    <t>10.3389/fmed.2026.1904678</t>
  </si>
  <si>
    <t>http://dx.doi.org/10.3389/fmed.2026.1904678</t>
  </si>
  <si>
    <t>MU1HO</t>
  </si>
  <si>
    <t>WOS:001850927000001</t>
  </si>
  <si>
    <t>Grob, A; Loibl, M; Jamaludin, A; Winklhofer, S; Fairbank, JCT; Fekete, T; Porchet, F; Mannion, AF</t>
  </si>
  <si>
    <t>Background Magnetic resonance imaging (MRI) is used to detect degenerative changes of the lumbar spine. SpineNet (SN), a computer vision-based system, performs an automated analysis of degenerative features in MRI scans aiming to provide high accuracy, consistency and objectivity. This study evaluated SN's ratings compared with those of an expert radiologist. Method MRIs of 882 patients (mean age, 72 +/- 8.8 years) with degenerative spinal disorders from two previous trials carried out in our spine center between 2011 and 2019, were analyzed by an expert radiologist. Lumbar segments (L1/2-L5/S1) were graded for Pfirrmann Grades (PG), Spondylolisthesis (SL) and Central Canal Stenosis (CCS). SN's analysis for the equivalent parameters was generated. Agreement between methods was analyzed using kappa (kappa), Spearman correlation (rho) and Lin's concordance correlation (rho(c)) coefficients and class average accuracy (CAA). Results 4410 lumbar segments were analyzed. kappa statistics showed moderate to substantial agreement in PG between the radiologist and SN depending on spinal level (range kappa 0.63-0.77, all levels together 0.72; range CAA 45-68%, all levels 55%), slight to substantial agreement for SL (range kappa 0.07-0.60, all levels 0.63; range CAA 47-57%, all levels 56%) and CCS (range kappa 0.17-0.57, all levels 0.60; range CAA 35-41%, all levels 43%). SN tended to record more pathological features in PG than did the radiologist whereas the contrary was the case for CCS. SL showed an even distribution between methods. Conclusion SN is a robust and reliable tool with the ability to grade degenerative features such as PG, SL or CCS in lumbar MRIs with moderate to substantial agreement compared to the current gold-standard, the radiologist. It is a valuable alternative for analyzing MRIs from large cohorts for diagnostic and research purposes.</t>
  </si>
  <si>
    <t>Grob, Alexandra; Loibl, Markus; Jamaludin, Amir; Winklhofer, Sebastian; Fairbank, Jeremy C. T.; Fekete, Tamas; Porchet, Francois; Mannion, Anne F.</t>
  </si>
  <si>
    <t>Grob, A (corresponding author), Schulthess Klin, Dept Spine Surg &amp; Neurosurg, Zurich, Switzerland.; Grob, A (corresponding author), Univ Hosp Zurich, Dept Neurosurg, Ramistr 100, CH-8091 Zurich, Switzerland.</t>
  </si>
  <si>
    <t>grob.alexandra@gmx.ch</t>
  </si>
  <si>
    <t>Schulthess Clinic</t>
  </si>
  <si>
    <t>The work was funded internally by the Schulthess Clinic.</t>
  </si>
  <si>
    <t>[Grob, Alexandra; Loibl, Markus; Fekete, Tamas; Porchet, Francois] Schulthess Klin, Dept Spine Surg &amp; Neurosurg, Zurich, Switzerland; [Jamaludin, Amir] Univ Oxford, Dept Engn Sci, Oxford, England; [Winklhofer, Sebastian] Univ Hosp Zurich, Clin Neurosci Ctr, Dept Neuroradiol, Zurich, Switzerland; [Fairbank, Jeremy C. T.] Univ Oxford, Nuffield Dept Rheumatol Orthopaed &amp; Musculoskelet, Oxford, England; [Mannion, Anne F.] Schulthess Klin, Dept Teaching Res &amp; Dev, Zurich, Switzerland; [Grob, Alexandra] Univ Hosp Zurich, Dept Neurosurg, Ramistr 100, CH-8091 Zurich, Switzerland</t>
  </si>
  <si>
    <t>Schulthess Clinic; University of Oxford; University of Zurich; University Zurich Hospital; University of Oxford; Schulthess Clinic; University of Zurich; University Zurich Hospital</t>
  </si>
  <si>
    <t>External validation of the deep learning system "SpineNet" for grading radiological features of degeneration on MRIs of the lumbar spine</t>
  </si>
  <si>
    <t>Degenerative spinal disorders; Diagnostic imaging; Inter-rater agreement; Automated software; Machine learning; Disc degeneration</t>
  </si>
  <si>
    <t>WEIGHTED KAPPA; CORRELATION-COEFFICIENT; IMAGING FEATURES; BACK-PAIN; STENOSIS; CLASSIFICATION; AGREEMENT; RELIABILITY; PREVALENCE; SEVERITY</t>
  </si>
  <si>
    <t>Winklhofer, Sebastian/AAB-8987-2022; Grob, Alexandra/KMC-3242-2024; Fekete, Tamás F/A-8512-2011; Mannion, Anne Frances/AAN-5908-2020</t>
  </si>
  <si>
    <t>Grob, Alexandra/0000-0002-0850-783X; Fekete, Tamás F/0000-0001-5231-5600; Mannion, Anne Frances/0000-0002-1203-1096; Loibl, Markus/0000-0001-7631-0476</t>
  </si>
  <si>
    <t>2137</t>
  </si>
  <si>
    <t>2148</t>
  </si>
  <si>
    <t>10.1007/s00586-022-07311-x</t>
  </si>
  <si>
    <t>http://dx.doi.org/10.1007/s00586-022-07311-x</t>
  </si>
  <si>
    <t>35835892</t>
  </si>
  <si>
    <t>WOS:000825202800003</t>
  </si>
  <si>
    <t>Young, SR; Shono, Y; Hauner, K; Dworak, EM; Mansolf, M; Curtis, L; Benavente, JY; Batio, S; Gershon, RC; Wolf, MS; Nowinski, CJ</t>
  </si>
  <si>
    <t>Background Primary care offers ideal opportunities for early detection of cognitive impairment, yet clinics face significant barriers to routine screening. MyCog is an electronic health record-integrated tablet application self-administered during a primary care visit designed to overcome barriers to screening. Methods We compared MyCog performance between 65 adults age 65+ with diagnosed cognitive impairment and 80 cognitively normal adults. Five modeling approaches achieved consensus to select consistently discriminative variables for the final detection algorithm. Performance was primarily assessed via receiver operating characteristic area under the curve (AUC), sensitivity, specificity, and accuracy. Results All models demonstrated strong diagnostic performance (AUC 0.817 to 0.873). Memory accuracy and executive function efficiency scores were consistently selected as predictors of impairment across models. The final logistic regression achieved AUC 0.890, with sensitivity 0.723 to 0.831, specificity 0.788 to 0.912, and accuracy 0.807 to 0.828 depending on threshold. Discussion Findings suggest MyCog accurately detects cognitive impairment via a streamlined self-administered app that efficiently fits into primary care workflows.</t>
  </si>
  <si>
    <t>Young, Stephanie Ruth; Shono, Yusuke; Hauner, Katherina; Dworak, Elizabeth M.; Mansolf, Maxwell; Curtis, Laura; Benavente, Julia Yoshino; Batio, Stephanie; Gershon, Richard C.; Wolf, Michael S.; Nowinski, Cindy J.</t>
  </si>
  <si>
    <t>Young, SR (corresponding author), Northwestern Univ, Feinberg Sch Med, Dept Med Social Sci, 625 North Michigan Ave,Floor 27, Chicago, IL 60611 USA.</t>
  </si>
  <si>
    <t>stephanieruth.young@northwestern.edu</t>
  </si>
  <si>
    <t>National Institute of Neurological Disorders and Stroke (NINDS) [U01NS105562]; National Institute on Aging [R01AG069762]</t>
  </si>
  <si>
    <t>National Institute of Neurological Disorders and Stroke (NINDS) (United States Department of Health &amp; Human Services, National Institutes of Health (NIH) - USA, NIH National Institute of Neurological Disorders &amp; Stroke (NINDS)); National Institute on Aging (United States Department of Health &amp; Human Services, National Institutes of Health (NIH) - USA, NIH National Institute on Aging (NIA))</t>
  </si>
  <si>
    <t>This work was funded by a grant from the National Institutes of Health's National Institute on Aging (R01AG069762). The funding agency played no role in the study design, collection of data, analysis, or interpretation of data.</t>
  </si>
  <si>
    <t>[Young, Stephanie Ruth; Hauner, Katherina; Dworak, Elizabeth M.; Mansolf, Maxwell; Curtis, Laura; Batio, Stephanie; Gershon, Richard C.; Nowinski, Cindy J.] Northwestern Univ, Feinberg Sch Med, Dept Med Social Sci, 625 North Michigan Ave,Floor 27, Chicago, IL 60611 USA; [Shono, Yusuke] Claremont Grad Univ, Sch Community &amp; Global Hlth, Claremont, CA USA; [Hauner, Katherina] Northwestern Univ, Feinberg Sch Med, Dept Neurol, Chicago, IL USA; [Curtis, Laura; Benavente, Julia Yoshino; Batio, Stephanie; Wolf, Michael S.] Northwestern Univ, Feinberg Sch Med, Ctr Appl Hlth Res Aging, Chicago, IL USA</t>
  </si>
  <si>
    <t>Northwestern University; Feinberg School of Medicine; Claremont Colleges; Claremont Graduate University; Northwestern University; Feinberg School of Medicine; Northwestern University; Feinberg School of Medicine</t>
  </si>
  <si>
    <t>Clinical validation and machine learning optimization of MyCog: A self-administered cognitive screener for primary care settings</t>
  </si>
  <si>
    <t>ALZHEIMER'S &amp; DEMENTIA: DIAGNOSIS, ASSESSMENT &amp; DISEASE MONITORING</t>
  </si>
  <si>
    <t>Alzheimer's disease; cognitive impairment; primary care</t>
  </si>
  <si>
    <t>ALZHEIMERS-DISEASE; EXECUTIVE FUNCTION; EPISODIC MEMORY; MINI-COG; DEMENTIA; IMPAIRMENT; DIAGNOSIS; PERFORMANCE; MANAGEMENT; ACCURACY</t>
  </si>
  <si>
    <t>Young, Stephanie Ruth/AAY-9860-2020</t>
  </si>
  <si>
    <t>Curtis, Laura/0000-0003-2380-2201; Hauner, Katherina/0009-0008-5648-4979; Dworak, Elizabeth/0000-0003-4589-1663; Young, Stephanie Ruth/0000-0002-8205-9297; Shono, Yusuke/0000-0002-7006-1816; Gershon, Richard/0000-0003-0085-0112; Yoshino Benavente, Julia/0000-0003-0549-1809</t>
  </si>
  <si>
    <t>2352-8729</t>
  </si>
  <si>
    <t>ALZH DEMENT-DADM</t>
  </si>
  <si>
    <t>Alzheimers Dement.-Diagn. Assess. Dis. Monit.</t>
  </si>
  <si>
    <t>NOV 14 2025</t>
  </si>
  <si>
    <t>e70219</t>
  </si>
  <si>
    <t>10.1002/dad2.70219</t>
  </si>
  <si>
    <t>http://dx.doi.org/10.1002/dad2.70219</t>
  </si>
  <si>
    <t>9VW4J</t>
  </si>
  <si>
    <t>41246359</t>
  </si>
  <si>
    <t>WOS:001616268800001</t>
  </si>
  <si>
    <t>Zhu, D; Zhang, ZJ; Zou, YX; Zhang, GZ; Cheng, XF; Wan, DQ; Ai, ST</t>
  </si>
  <si>
    <t>Background: Low-dose following up computed tomography (CT) of percutaneous vertebroplasty (PVP) that involves the use of bone cement usually suffers from lightweight metal artifacts, where conventional techniques for CT metal artifact reduction are often not sufficiently effective. This study aimed to validate an artificial intelligence (AI)-based metal artifact correction (MAC) algorithm for use in low-dose following up CT for PVP. Methods: In experimental validation, an ovine vertebra phantom was designed to simulate the clinical scenario of PVP. With routine-dose images acquired prior to the cement introduction as the reference, low- dose CT scans were taken on the cemented phantom and processed with conventional MAC and AI-MAC. The resulting image quality was compared in CT attenuation, image noise, signal-to-noise ratio (SNR), and contrast-to-noise ratio (CNR), followed by a quantitative evaluation of the artifact correction accuracy based on adaptive segmentation of the paraspinal muscle. In clinical validation, ten cases of low-dose following up CT after PVP were enrolled to test the performance of diagnosing sarcopenia with measured CT attenuation per cemented vertebral segment, via receiver operating characteristic (ROC) analysis. Results: With respect to the reference image, no significant difference was found for AI-MAC in CT attenuation, image noise, SNRs, and CNR (all P&gt;0.05). The paraspinal muscle segmented on the AI-MAC image was 18.6% and 8.3% more complete to uncorrected and MAC images. Higher area under the curve (AUC) of the ROC analysis was found for AI-MAC (AUC =0.92) compared to the uncorrected (AUC =0.61) and MAC images (AUC =0.70). Conclusions: In low-dose following up CT for PVP, the AI-MAC has been fully validated for its superior ability compared to conventional MAC in suppressing artifacts and may be a reliable alternative for diagnosing sarcopenia.</t>
  </si>
  <si>
    <t>Zhu, Dan; Zhang, Zhengjia; Zou, Yixuan; Zhang, Guozhi; Cheng, Xiaofei; Wan, Daqian; Ai, Songtao</t>
  </si>
  <si>
    <t>Ai, ST (corresponding author), Shanghai Jiao Tong Univ, Sch Med, Shanghai Peoples Hosp 9, Dept Radiol, 639 Zhizaoju Rd, Shanghai 200011, Peoples R China.; Cheng, XF (corresponding author), Shanghai Jiao Tong Univ, Shanghai Peoples Hosp 9, Dept Orthopaed Surg, Shanghai Key Lab Orthopaed Implants,Sch Med, 639 Zhizaoju Rd, Shanghai 200011, Peoples R China.; Wan, DQ (corresponding author), Tongji Univ, Tongji Hosp, Sch Med, Dept Orthoped, 1239 Siping Rd, Shanghai, Peoples R China.; Wan, DQ (corresponding author), Minist Educ, Key Lab Spine &amp; Spinal Cord Injury Repair &amp; Regene, Shanghai, Peoples R China.</t>
  </si>
  <si>
    <t>wdqwdq1986@126.com; chengxf2015@163.com; aistss1024@sjtu.edu.cn</t>
  </si>
  <si>
    <t>Fundamental Research Funds for the Central Universities [YG2022QN060]; Clinical Research Program of Shanghai Ninth People's Hospital, Shanghai Jiao Tong University School of Medicine [JYLJ202122]; Project of Biobank from Shanghai Ninth People's Hospital, Shanghai Jiao Tong University School of Medicine [YBKB202116]; National Natural Science Foundation of China [81972136]; Osteoporosis and Bone Mineral Salt Disease Training Program for Young and Middle-Aged Doctors and Bethune Stone Medicine Osteoporosis Research Fund Project [GX2021D03]; Shanghai Municipal Health Commission Clinical Research Special Project for Health Industry [202340188]</t>
  </si>
  <si>
    <t>Fundamental Research Funds for the Central Universities (Fundamental Research Funds for the Central Universities); Clinical Research Program of Shanghai Ninth People's Hospital, Shanghai Jiao Tong University School of Medicine; Project of Biobank from Shanghai Ninth People's Hospital, Shanghai Jiao Tong University School of Medicine; National Natural Science Foundation of China (National Natural Science Foundation of China (NSFC)); Osteoporosis and Bone Mineral Salt Disease Training Program for Young and Middle-Aged Doctors and Bethune Stone Medicine Osteoporosis Research Fund Project; Shanghai Municipal Health Commission Clinical Research Special Project for Health Industry</t>
  </si>
  <si>
    <t>This study was supported by the Fundamental Research Funds for the Central Universities (No. YG2022QN060); the Clinical Research Program of Shanghai Ninth People's Hospital, Shanghai Jiao Tong University School of Medicine (No. JYLJ202122); the Project of Biobank from Shanghai Ninth People's Hospital, Shanghai Jiao Tong University School of Medicine (No. YBKB202116); the National Natural Science Foundation of China (No. 81972136); the Osteoporosis and Bone Mineral Salt Disease Training Program for Young and Middle-Aged Doctors and Bethune Stone Medicine Osteoporosis Research Fund Project (No. GX2021D03) and the Shanghai Municipal Health Commission Clinical Research Special Project for Health Industry (No. 202340188).</t>
  </si>
  <si>
    <t>[Zhu, Dan; Zhang, Zhengjia; Ai, Songtao] Shanghai Jiao Tong Univ, Sch Med, Shanghai Peoples Hosp 9, Dept Radiol, 639 Zhizaoju Rd, Shanghai 200011, Peoples R China; [Zou, Yixuan; Zhang, Guozhi] United Imaging Healthcare, Shanghai, Peoples R China; [Cheng, Xiaofei] Shanghai Jiao Tong Univ, Shanghai Peoples Hosp 9, Dept Orthopaed Surg, Shanghai Key Lab Orthopaed Implants,Sch Med, 639 Zhizaoju Rd, Shanghai 200011, Peoples R China; [Wan, Daqian] Tongji Univ, Tongji Hosp, Sch Med, Dept Orthoped, 1239 Siping Rd, Shanghai, Peoples R China; [Wan, Daqian] Minist Educ, Key Lab Spine &amp; Spinal Cord Injury Repair &amp; Regene, Shanghai, Peoples R China</t>
  </si>
  <si>
    <t>Shanghai Jiao Tong University; Shanghai Jiao Tong University; Tongji University</t>
  </si>
  <si>
    <t>Experimental and clinical validation of an artificial intelligence metal artifact correction algorithm for low-dose following up CT of percutaneous vertebroplasty</t>
  </si>
  <si>
    <t>Computed tomography (CT); metal artifacts; percutaneous vertebroplasty (PVP); bone cement; sarcopenia</t>
  </si>
  <si>
    <t>DUAL-ENERGY CT; SARC-F; REDUCTION; SARCOPENIA; KYPHOPLASTY; FRACTURES; OUTCOMES; CEMENT</t>
  </si>
  <si>
    <t>Wan, Daqian/HKF-0584-2023; Zou, Yixuan/NPJ-1605-2025</t>
  </si>
  <si>
    <t>Zou, Yixuan/0000-0003-2916-3180</t>
  </si>
  <si>
    <t>6843</t>
  </si>
  <si>
    <t>6855</t>
  </si>
  <si>
    <t>10.21037/qims-23-1645</t>
  </si>
  <si>
    <t>http://dx.doi.org/10.21037/qims-23-1645</t>
  </si>
  <si>
    <t>O4V3A</t>
  </si>
  <si>
    <t>39281161</t>
  </si>
  <si>
    <t>WOS:001371117200006</t>
  </si>
  <si>
    <t>Vidal-Alaball, J; Bonache, AA; Solé-Casals, J; Fibla, DR; Marin-Gomez, FX; Distéfano, LN; Boixadera, A; Casado-García, A; García-Domínguez, M; Inés, A; Heras, J; Zapata, MA</t>
  </si>
  <si>
    <t>The use of Artificial intelligence (AI) algorithms for detecting different ophthalmic diseases, especially diabetic retinopathy (DR), has become increasingly popular. In this paper, we evaluate the screening performance of different AI algorithms based on convolutional neural networks (CNNs) in a real-world scenario. To that aim, we conducted an observational and cross-sectional study on patients aged &gt;= 18 years with type-2 diabetes mellitus, who had undergone fundus examination for DR screening using a teleophthalmology program. We used the UPRETINA diagnostic system, which consists of 8 AI algorithms based on CNNs. A total of 1,652 eyes from 871 patients were analyzed. The AI algorithms had a sensitivity/specificity of 86.8%/95.6% for detecting DR; 94.9%/94.3% for detecting age-related macular degeneration (AMD); 82.7%/92.4% for detecting glaucomatous optic neuropathy (GON); 87.0%/87.5% for detecting epiretinal membrane; and 89.7%/98.0% for detecting nevus. Additionally, the sensitivity/specificity for correctly classifying images as right eye/left eye and to correctly classifying images gradeability (medium or high quality) were 100% /100 and 92.9%/90.5%, respectively. The AUROC of the AI algorithms ranged between 0.9777 (AMD) and 0.9122 (GON). UPRETINA system was capable of automatically and accurately classifying the screening retinographies, reducing workload and leading to a scenario of more efficient optimization of resources.Clinical trial registration https://clinicaltrials.gov/study/NCT04132401 NCT04132401.</t>
  </si>
  <si>
    <t>Vidal-Alaball, Josep; Bonache, Alba Arocas; Sole-Casals, Jordi; Fibla, Didac Royo; Marin-Gomez, Francesc Xavier; Distefano, Laura Natalia; Boixadera, Anna; Casado-Garcia, Angela; Garcia-Dominguez, Manuel; Ines, Adrian; Heras, Jonathan; Zapata, Miguel Angel</t>
  </si>
  <si>
    <t>Heras, J (corresponding author), Univ La Rioja, Dept Math &amp; Comp Sci, Logrono, Spain.</t>
  </si>
  <si>
    <t>jonathan.heras@unirioja.es</t>
  </si>
  <si>
    <t>Agencia de Desarrollo Economico de La Rioja [ADER 2022-I-IDI-00015]; Autonomous Community of La Rioja [INICIA 2023/01]; MICIU/AEI [PID2024-155834NB-I00]</t>
  </si>
  <si>
    <t>Agencia de Desarrollo Economico de La Rioja; Autonomous Community of La Rioja; MICIU/AEI (Spanish Government)</t>
  </si>
  <si>
    <t>The author(s) declared that financial support was received for this work and/or its publication. JH was supported by Agencia de Desarrollo Economico de La Rioja ADER 2022-I-IDI-00015, by project INICIA 2023/01 granted by the Autonomous Community of La Rioja, and by Grant PID2024-155834NB-I00 funded by MICIU/AEI/10.13039/501100011033.</t>
  </si>
  <si>
    <t>[Vidal-Alaball, Josep] Heath Catalan Inst, Innovat &amp; Res Unit, Manresa, Spain; [Vidal-Alaball, Josep; Bonache, Alba Arocas; Marin-Gomez, Francesc Xavier] Fdn Univ, Intelligence Primary Care Res Grp, Inst Primary Hlth Care Res Jordi Gol i Gurina, Manresa, Spain; [Vidal-Alaball, Josep] Univ Vic, Cent Univ Catalonia, Fac Med, Dept Med, Vic, Spain; [Bonache, Alba Arocas] Heath Catalan Inst, Primary Care Ctr SantPedor, Manresa, Spain; [Sole-Casals, Jordi] Univ Vic, Cent Univ Catalonia, Fac Sci Technol &amp; Engn, Data &amp; Signal Proc Grp, Vic, Spain; [Sole-Casals, Jordi] Univ Cambridge, Dept Psychiat, Cambridge, England; [Fibla, Didac Royo; Zapata, Miguel Angel] UPRetina, Barcelona, Spain; [Marin-Gomez, Francesc Xavier] Heath Catalan Inst, Primary Care Ctr Osona, Vic, Spain; [Distefano, Laura Natalia; Boixadera, Anna; Zapata, Miguel Angel] Univ Hosp Vall Hebron, Ophthalmol Dept, Barcelona, Spain; [Casado-Garcia, Angela; Garcia-Dominguez, Manuel; Ines, Adrian; Heras, Jonathan] Univ La Rioja, Dept Math &amp; Comp Sci, Logrono, Spain</t>
  </si>
  <si>
    <t>Universitat de Vic - Universitat Central de Catalunya (UVic-UCC); Universitat de Vic - Universitat Central de Catalunya (UVic-UCC); University of Cambridge; Hospital Universitari Vall d'Hebron; Universidad de La Rioja</t>
  </si>
  <si>
    <t>Clinical validation of artificial intelligence algorithms for the detection of different central-involved retinal pathologies and glaucoma from non-mydriatic images</t>
  </si>
  <si>
    <t>artificial intelligence; clinical validation; computer vision; retinal diseases; retinal fundus image</t>
  </si>
  <si>
    <t>OPTICAL COHERENCE TOMOGRAPHY; DIABETIC-RETINOPATHY; MACULAR DEGENERATION; COST-EFFECTIVENESS; PREVALENCE; TELEOPHTHALMOLOGY; IDENTIFICATION; MANAGEMENT; PROGRAM</t>
  </si>
  <si>
    <t>Vidal-Alaball, Josep/P-5975-2017; Heras, Jónathan/N-1633-2019; Solé-Casals, Jordi/B-7754-2008</t>
  </si>
  <si>
    <t>Zapata, Miguel Angel/0000-0002-0096-4569</t>
  </si>
  <si>
    <t>MAR 10 2026</t>
  </si>
  <si>
    <t>1754682</t>
  </si>
  <si>
    <t>10.3389/frai.2026.1754682</t>
  </si>
  <si>
    <t>http://dx.doi.org/10.3389/frai.2026.1754682</t>
  </si>
  <si>
    <t>FL5VY</t>
  </si>
  <si>
    <t>41883753</t>
  </si>
  <si>
    <t>WOS:001721649000001</t>
  </si>
  <si>
    <t>Nicolaes, J; Skjodt, MK; Raeymaeckers, S; Smith, CD; Abrahamsen, B; Fuerst, T; Debois, M; Vandermeulen, D; Libanati, C</t>
  </si>
  <si>
    <t>Vertebral fractures (VFs) are the hallmark of osteoporosis, being one of the most frequent types of fragility fracture and an early sign of the disease. They are associated with significant morbidity and mortality. VFs are incidentally found in one out of five imaging studies, however, more than half of the VFs are not identified nor reported in patient computed tomography (CT) scans. Our study aimed to develop a machine learning algorithm to identify VFs in abdominal/chest CT scans and evaluate its performance. We acquired two independent data sets of routine abdominal/chest CT scans of patients aged 50 years or older: a training set of 1011 scans from a non-interventional, prospective proof-of-concept study at the Universitair Ziekenhuis (UZ) Brussel and a validation set of 2000 subjects from an observational cohort study at the Hospital of Holb AE k. Both data sets were externally reevaluated to identify reference standard VF readings using the Genant semiquantitative (SQ) grading. Four independent models have been trained in a cross-validation experiment using the training set and an ensemble of four models has been applied to the external validation set. The validation set contained 15.3% scans with one or more VF (SQ2-3), whereas 663 of 24,930 evaluable vertebrae (2.7%) were fractured (SQ2-3) as per reference standard readings. Comparison of the ensemble model with the reference standard readings in identifying subjects with one or more moderate or severe VF resulted in an area under the receiver operating characteristic curve (AUROC) of 0.88 (95% confidence interval [CI], 0.85-0.90), accuracy of 0.92 (95% CI, 0.91-0.93), kappa of 0.72 (95% CI, 0.67-0.76), sensitivity of 0.81 (95% CI, 0.76-0.85), and specificity of 0.95 (95% CI, 0.93-0.96). We demonstrated that a machine learning algorithm trained for VF detection achieved strong performance on an external validation set. It has the potential to support healthcare professionals with the early identification of VFs and prevention of future fragility fractures. (c) 2023 UCB S.A. and The Authors. Journal of Bone and Mineral Research published by Wiley Periodicals LLC on behalf of American Society for Bone and Mineral Research (ASBMR).</t>
  </si>
  <si>
    <t>Nicolaes, Joeri; Skjodt, Michael Kriegbaum; Raeymaeckers, Steven; Smith, Christopher Dyer; Abrahamsen, Bo; Fuerst, Thomas; Debois, Marc; Vandermeulen, Dirk; Libanati, Cesar</t>
  </si>
  <si>
    <t>Nicolaes, J (corresponding author), Katholieke Univ Leuven, Ctr Proc Speech &amp; Images, Dept Elect Engn ESAT, Leuven, Belgium.</t>
  </si>
  <si>
    <t>joeri.nicolaes@ucb.com</t>
  </si>
  <si>
    <t>This study was funded by UCB Pharma and Amgen Inc. The external validation set originates from a cohort study that was funded by UCB/Amgen and Region Zealand Health Scientific Research Foundation. This manuscript was reviewed by UCB Pharma and Amgen Inc. p; UCB Pharma; Amgen Inc. - Region Zealand Health Scientific Research Foundation</t>
  </si>
  <si>
    <t>This study was funded by UCB Pharma and Amgen Inc. The external validation set originates from a cohort study that was funded by UCB/Amgen and Region Zealand Health Scientific Research Foundation. This manuscript was reviewed by UCB Pharma and Amgen Inc. p; UCB Pharma (UCB Pharma SA); Amgen Inc. - Region Zealand Health Scientific Research Foundation (Amgen)</t>
  </si>
  <si>
    <t>This study was funded by UCB Pharma and Amgen Inc. The external validation set originates from a cohort study that was funded by UCB/Amgen and Region Zealand Health Scientific Research Foundation. This manuscript was reviewed by UCB Pharma and Amgen Inc. prior to submission.</t>
  </si>
  <si>
    <t>[Nicolaes, Joeri; Vandermeulen, Dirk] Katholieke Univ Leuven, Ctr Proc Speech &amp; Images, Dept Elect Engn ESAT, Leuven, Belgium; [Nicolaes, Joeri; Debois, Marc; Libanati, Cesar] UCB Pharm, Brussels, Belgium; [Skjodt, Michael Kriegbaum; Abrahamsen, Bo] Hosp Holbaek, Dept Med, Holbaek, Denmark; [Skjodt, Michael Kriegbaum; Smith, Christopher Dyer; Abrahamsen, Bo] Univ Southern Denmark, Dept Clin Res, OPEN Open Patient Data Explorat Network, Odense, Denmark; [Skjodt, Michael Kriegbaum; Smith, Christopher Dyer; Abrahamsen, Bo] Odense Univ Hosp, Odense, Denmark; [Raeymaeckers, Steven] Univ Ziekenhuis Brussel, Dept Radiol, Brussels, Belgium; [Abrahamsen, Bo] Oxford Univ Hosp, Nuffield Dept Orthopaed Rheumatol &amp; Musculoskeleta, NDORMS, Oxford, England; [Fuerst, Thomas] Clario, Princeton, NJ USA</t>
  </si>
  <si>
    <t>KU Leuven; UCB Pharma SA; Holbaek Hospital; University of Southern Denmark; University of Southern Denmark; Odense University Hospital; Universite Libre de Bruxelles; Vrije Universiteit Brussel; University Hospital Brussels</t>
  </si>
  <si>
    <t>Towards Improved Identification of Vertebral Fractures in Routine Computed Tomography (CT) Scans: Development and External Validation of a Machine Learning Algorithm</t>
  </si>
  <si>
    <t>OSTEOPOROSIS; SPINAL FRACTURES; MACHINE LEARNING; TOMOGRAPHY; X-RAY COMPUTED; HUMANS</t>
  </si>
  <si>
    <t>AUTOMATIC DETECTION; OSTEOPOROSIS; TRENDS</t>
  </si>
  <si>
    <t>Abrahamsen, Bo/B-8920-2008; Libanati, Cesar/LGZ-1518-2024; Raeymaeckers, Steven/ABC-8625-2020; Kriegbaum Skjødt, Michael/AAH-4851-2020; Nicolaes, Joeri/KCK-3598-2024</t>
  </si>
  <si>
    <t>Abrahamsen, Bo/0000-0002-2730-6080; Libanati, Cesar/0000-0003-1427-7839; Raeymaeckers, Steven/0000-0003-0822-1919; Kriegbaum Skjødt, Michael/0000-0002-2109-8989; Nicolaes, Joeri/0000-0003-2789-8781</t>
  </si>
  <si>
    <t>1856</t>
  </si>
  <si>
    <t>1866</t>
  </si>
  <si>
    <t>10.1002/jbmr.4916</t>
  </si>
  <si>
    <t>http://dx.doi.org/10.1002/jbmr.4916</t>
  </si>
  <si>
    <t>IN5X3</t>
  </si>
  <si>
    <t>37747147</t>
  </si>
  <si>
    <t>WOS:001084774300001</t>
  </si>
  <si>
    <t>hybrid; Green Accepted</t>
  </si>
  <si>
    <t>Lieslehto, J; Tiihonen, J; Lähteenvuo, M; Kautzky, A; Akhtar, A; Amin, R; Armannsdóttir, B; Leucht, S; Correll, CU; Mittendorfer-Rutz, E; Tanskanen, A; Taipale, H</t>
  </si>
  <si>
    <t>There are no established prognostic tools for predicting relapse risk in first-episode bipolar disorder (FEBD), limiting the use of personalized treatment approaches. We aimed to develop and validate a machine learning (ML) model to predict relapse in FEBD patients and assess whether pharmacotherapy effectiveness varies across predicted risk strata. We used nationwide registry data from Sweden (n = 30,402; follow-up = 2006-2021) and Finland (n = 13,790; follow-up = 1996-2018). The developed ML model achieved an area under the receiver operating characteristic curve (AUROC) of 0.71 (95% CI = 0.69-0.72, highest for relapse due to psychotic mania [AUROC = 0.85, 95% CI = 0.80-0.89]) in the Swedish cohort (internal validation) and 0.68 (95% CI = 0.66-0.69, highest for nonpsychotic mania [AUROC = 0.74, 95% CI = 0.69-0.78]) in the Finnish cohort (external validation). The model incorporated only seven accessible predictors, including pharmacotherapies during the first 30 days post-FEBD (lithium, combination treatments, and antipsychotics), outpatient follow-up within 30 days post-FEBD, prolonged initial hospitalization for FEBD, history of prior psychiatric hospitalizations, and sickness absence days. Among high-risk patients (N = 10,119, 31.77%), long-acting injectable (LAI) antipsychotics were associated with the greatest reduction in psychiatric rehospitalization risk (HR = 0.44, 95% CI 0.29-0.67). In the low-risk group (n = 21,736, 68.23%), only combinations of quetiapine with valproate (HR = 0.79, 95% CI = 0.65-0.95) or lamotrigine (HR = 0.86, 95% CI = 0.74-0.99) were associated with reduced rehospitalization risk. Available online for research purposes, our internally and externally validated prognostic model may inform clinical decision-making by identifying high-risk individuals who could benefit from early initiation of LAI antipsychotics, promoting a shift toward proactive, risk-guided treatment in FEBD patients.</t>
  </si>
  <si>
    <t>Lieslehto, Johannes; Tiihonen, Jari; Lahteenvuo, Markku; Kautzky, Alexander; Akhtar, Aemal; Amin, Ridwanul; Armannsdottir, Bergny; Leucht, Stefan; Correll, Christoph U.; Mittendorfer-Rutz, Ellenor; Tanskanen, Antti; Taipale, Heidi</t>
  </si>
  <si>
    <t>Lieslehto, J (corresponding author), Univ Eastern Finland, Niuvanniemi Hosp, Dept Forens Psychiat, Kuopio, Finland.; Lieslehto, J (corresponding author), Karolinska Inst, Dept Clin Neurosci, Stockholm, Sweden.; Lieslehto, J (corresponding author), Univ Helsinki, Inst Mol Med Finland, Helsinki, Finland.</t>
  </si>
  <si>
    <t>Swedish Research Council for Health, Working Life and Welfare, FORTE [2021-01079]; Finnish Medical Association [7709]; Sigrid Juselius Foundation; Swedish Research Council [2021-00154]; Finnish Ministry of Social Affairs and Health through the developmental fund for Niuvanniemi Hospital; Karolinska Institute; Formas [2021-01079] Funding Source: Formas; Forte [2021-01079] Funding Source: Forte</t>
  </si>
  <si>
    <t>Swedish Research Council for Health, Working Life and Welfare, FORTE; Finnish Medical Association; Sigrid Juselius Foundation (Sigrid Juselius Foundation); Swedish Research Council (Swedish Research Council); Finnish Ministry of Social Affairs and Health through the developmental fund for Niuvanniemi Hospital; Karolinska Institute (Karolinska Institutet); Formas (Swedish Research Council Formas); Forte (Swedish Research Council for Health Working Life &amp; Welfare (Forte))</t>
  </si>
  <si>
    <t>This work was supported by The Swedish Research Council for Health, Working Life and Welfare, FORTE (2021-01079). JL was funded by the Finnish Medical Association (grant 7709), and HT was funded by the Sigrid Juselius Foundation. The study's funders had no role in the study design, data collection, data analysis, data interpretation, or writing of the report. We utilized data from the REWHARD consortium supported by the Swedish Research Council (grant number 2021-00154). The Finnish data were funded by the Finnish Ministry of Social Affairs and Health through the developmental fund for Niuvanniemi Hospital. Open access funding provided by Karolinska Institute.</t>
  </si>
  <si>
    <t>[Lieslehto, Johannes; Tiihonen, Jari; Lahteenvuo, Markku; Tanskanen, Antti; Taipale, Heidi] Univ Eastern Finland, Niuvanniemi Hosp, Dept Forens Psychiat, Kuopio, Finland; [Lieslehto, Johannes; Tiihonen, Jari; Kautzky, Alexander; Akhtar, Aemal; Amin, Ridwanul; Armannsdottir, Bergny; Mittendorfer-Rutz, Ellenor; Tanskanen, Antti; Taipale, Heidi] Karolinska Inst, Dept Clin Neurosci, Stockholm, Sweden; [Lieslehto, Johannes] Univ Helsinki, Inst Mol Med Finland, Helsinki, Finland; [Tiihonen, Jari; Tanskanen, Antti; Taipale, Heidi] Stockholm City Council, Ctr Psychiat Res, Stockholm, Sweden; [Amin, Ridwanul] Karolinska Inst, Dept Med, Solna, Stockholm, Sweden; [Leucht, Stefan] Tech Univ Munich, Sch Med, Dept Psychiat &amp; Psychotherapy, Munich, Germany; [Correll, Christoph U.] Northwell Hlth, Zucker Hillside Hosp, Dept Psychiat, Glen Oaks, NY USA; [Correll, Christoph U.] Donald &amp; Barbara Zucker Sch Med Hofstra Northwell, Dept Psychiat &amp; Mol Med, Hempstead, NY USA; [Correll, Christoph U.] Charite Univ Med Berlin, Dept Child &amp; Adolescent Psychiat, Berlin, Germany; [Correll, Christoph U.] German Ctr Mental Hlth DZPG, Partner Site, Berlin, Germany; [Mittendorfer-Rutz, Ellenor] Karolinska Inst, Dept Clin Neurosci, Div Insurance Med, Stockholm, Sweden; [Taipale, Heidi] Univ Eastern Finland, Sch Pharm, Kuopio, Finland</t>
  </si>
  <si>
    <t>University of Eastern Finland; Karolinska Institutet; University of Helsinki; Karolinska Institutet; Northwell Health; Free University of Berlin; Humboldt University of Berlin; Charite Universitatsmedizin Berlin; Karolinska Institutet; University of Eastern Finland</t>
  </si>
  <si>
    <t>Relapse risk prediction in patients with first-episode bipolar disorder: development, external validation, and pharmacotherapy associations of a machine learning model</t>
  </si>
  <si>
    <t>MOLECULAR PSYCHIATRY</t>
  </si>
  <si>
    <t>RECURRENCE; DEPRESSION; QUETIAPINE; EPISODES</t>
  </si>
  <si>
    <t>Lähteenvuo, Markku/AAG-7816-2020; Tiihonen, Jari/G-3078-2012; Leucht, Stefan/Y-2408-2019; AMIN, RIDWANUL/AAN-2943-2020</t>
  </si>
  <si>
    <t>Lähteenvuo, Markku/0000-0002-7244-145X; Tiihonen, Jari/0000-0002-0400-6798; Leucht, Stefan/0000-0002-4934-4352; Akhtar, Aemal/0000-0002-8510-3636; Taipale, Heidi/0000-0002-3281-934X; Lieslehto, Johannes/0000-0001-6030-0249; Kautzky, Alexander/0000-0001-9251-8285</t>
  </si>
  <si>
    <t>THE CAMPUS, 4 CRINAN ST, LONDON, N1 9XW, ENGLAND</t>
  </si>
  <si>
    <t>1359-4184</t>
  </si>
  <si>
    <t>1476-5578</t>
  </si>
  <si>
    <t>MOL PSYCHIATR</t>
  </si>
  <si>
    <t>Mol. Psychiatr.</t>
  </si>
  <si>
    <t>5722</t>
  </si>
  <si>
    <t>5730</t>
  </si>
  <si>
    <t>10.1038/s41380-025-03316-2</t>
  </si>
  <si>
    <t>http://dx.doi.org/10.1038/s41380-025-03316-2</t>
  </si>
  <si>
    <t>Biochemistry &amp; Molecular Biology; Neurosciences; Psychiatry</t>
  </si>
  <si>
    <t>Biochemistry &amp; Molecular Biology; Neurosciences &amp; Neurology; Psychiatry</t>
  </si>
  <si>
    <t>9WV6U</t>
  </si>
  <si>
    <t>41131281</t>
  </si>
  <si>
    <t>WOS:001598697700001</t>
  </si>
  <si>
    <t>Zou, XC; Rao, XP; Huang, JB; Zhou, J; Chao, HC; Zeng, T</t>
  </si>
  <si>
    <t>Background and purpose Distant metastasis in bladder cancer is linked to poor prognosis and significant mortality. Machine learning (ML), a key area of artificial intelligence, has shown promise in the diagnosis, staging, and treatment of bladder cancer. This study aimed to employ various ML techniques to predict distant metastasis in patients with bladder cancer.Patients and methods Patients diagnosed with bladder cancer in the Surveillance, Epidemiology, and End Results (SEER) database from 2000 to 2021 were included in this study. After a rigorous screening process, a total of 4,108 patients were selected for further analysis, divided in a 7:3 ratio into a training cohort and an internal validation cohort. In addition, 118 patients treated at the Second Affiliated Hospital of Nanchang University were included as an external validation cohort. Features were filtered using the least absolute shrinkage and selection operator (LASSO) regression algorithm. Based on the significant features identified, three ML algorithms were utilized to develop prediction models: logistic regression, support vector machine (SVM), and linear discriminant analysis (LDA). The predictive performance of the three models was evaluated by obtaining the area under the receiver operating characteristic (ROC) curve (AUC), the precision, the accuracy, and the F1 score.Results According to the statistical results, the final probability of distant metastasis in the population was 12.0% (n = 495). LASSO regression analysis revealed that age, chemotherapy, tumor size, the examination of non-regional lymph nodes, and regional lymph node evaluation were significantly associated with distant metastasis of bladder cancer. In the internal validation cohort, the prediction accuracy rates for logistic regression, SVM, and LDA were 0.874, 0.877, and 0.845, respectively. The precision rates were 0.805, 0.769, and 0.827, respectively, and the F1 scores were 0.821, 0.819, and 0.835, respectively. The ROC curve demonstrated that the AUC for all models was greater than 0.7. In the external validation cohort, the prediction accuracy rates for logistic regression, SVM, and LDA were 0.856, 0.848, and 0.797, respectively, with the ROC curve indicating that the AUC also exceeded 0.7. The precision rates were 0.877, 0.718, and 0.736, respectively, and the F1 scores were 0.797, 0.778, and 0.762, respectively. Among the algorithms used, logistic regression demonstrated better predictive efficiency than the other two methods. The top three variables with the highest importance scores in the logistic regression were non-regional lymph nodes, age, and chemotherapy.Conclusion The prediction model developed using three ML algorithms demonstrated strong accuracy and discriminative capability in predicting distant metastasis in patients with bladder cancer. This might help clinicians in understanding patient prognosis and in formulating personalized treatment strategies, ultimately improving the overall prognosis of patients with bladder cancer.</t>
  </si>
  <si>
    <t>Zou, Xin Chang; Rao, Xue Peng; Huang, Jian Biao; Zhou, Jie; Chao, Hai Chao; Zeng, Tao</t>
  </si>
  <si>
    <t>Zeng, T (corresponding author), Nanchang Univ, Affiliated Hosp 2, Dept Urol, Nanchang, Peoples R China.</t>
  </si>
  <si>
    <t>taozeng40709@sina.com</t>
  </si>
  <si>
    <t>National Natural Science Foundation of China [82260598]; Jiangxi Provincial Academic and Technical Leader Training Program in Major Disciplines [20225BCJ22009]</t>
  </si>
  <si>
    <t>National Natural Science Foundation of China (National Natural Science Foundation of China (NSFC)); Jiangxi Provincial Academic and Technical Leader Training Program in Major Disciplines</t>
  </si>
  <si>
    <t>The author(s) declare that financial support was received for the research, authorship, and/or publication of this article. This research was funded by the National Natural Science Foundation of China (no. 82260598) and the Jiangxi Provincial Academic and Technical Leader Training Program in Major Disciplines (no. 20225BCJ22009).</t>
  </si>
  <si>
    <t>[Zou, Xin Chang; Rao, Xue Peng; Huang, Jian Biao; Zhou, Jie] Nanchang Univ, Affiliated Hosp 2, Jiangxi Med Coll, Nanchang, Peoples R China; [Chao, Hai Chao; Zeng, Tao] Nanchang Univ, Affiliated Hosp 2, Dept Urol, Nanchang, Peoples R China</t>
  </si>
  <si>
    <t>Nanchang University; Nanchang University</t>
  </si>
  <si>
    <t>Predicting distant metastasis of bladder cancer using multiple machine learning models: a study based on the SEER database with external validation</t>
  </si>
  <si>
    <t>machine learning; bladder cancer; SEER database; distant metastasis; predictive value</t>
  </si>
  <si>
    <t>DEC 13 2024</t>
  </si>
  <si>
    <t>1477166</t>
  </si>
  <si>
    <t>10.3389/fonc.2024.1477166</t>
  </si>
  <si>
    <t>http://dx.doi.org/10.3389/fonc.2024.1477166</t>
  </si>
  <si>
    <t>Q2W6A</t>
  </si>
  <si>
    <t>39735606</t>
  </si>
  <si>
    <t>WOS:001383351600001</t>
  </si>
  <si>
    <t>Pan, GH; Fan, JL; Wang, WH; Yang, G; Su, JL; Liu, HN</t>
  </si>
  <si>
    <t>Background/Objectives: Intensive Care Unit (ICU) patients with pneumothorax face an elevated risk of developing Acute Kidney Injury (AKI) due to compromised hemodynamics and increased intrathoracic pressure. Early identification is crucial but challenging. This study aimed to develop and externally validate an interpretable machine learning (ML) framework to predict pneumothorax-associated AKI. Methods: This multicenter retrospective study utilized data from the MIMIC-IV database (development), alongside a temporal validation cohort (MIMIC-III) and an independent external validation cohort (eICU). A tri-algorithm intersection strategy-comprising Boruta, Least Absolute Shrinkage and Selection Operator (LASSO), and Recursive Feature Elimination (RFE)-was applied to extract optimal predictors. We systematically evaluated nine supervised ML algorithms. Shapley Additive exPlanations (SHAP) and Restricted Cubic Spline (RCS) analyses were integrated to unveil decision-making mechanics and non-linear dynamics. The optimal model was deployed as a web-based dynamic nomogram. Results: The hybrid feature selection strategy identified a parsimonious consensus of 7 core predictors (BUN, SOFA score, CKD, PEEP, Heart Failure, Albumin, and Age). Following comprehensive evaluation, the Logistic Regression model demonstrated favorable discriminative performance [Area Under the Curve (AUC) = 0.839 (95% CI: 0.786-0.891), Sensitivity = 81.5%, Specificity = 76.0%] and external generalizability (eICU AUC = 0.869; MIMIC-III AUC = 0.854). SHAP analysis delineated the individual contribution of each feature. RCS analysis revealed significant non-linear, dose-response relationships, highlighting an exponential AKI risk escalation driven by elevated BUN and higher PEEP levels. Decision Curve Analysis (DCA) suggested the potential net clinical benefit of the model across all validation cohorts. Conclusions: We developed a transparent, externally validated ML framework for predicting pneumothorax-associated AKI. The resulting web-based nomogram provides intensive care physicians with a practical, data-driven bedside tool to assist in personalized risk stratification. However, given the substantial calibration drift observed in the external cohort, local recalibration is essential prior to its use outside the MIMIC-derived population, and prospective cohort validation remains necessary before routine clinical implementation.</t>
  </si>
  <si>
    <t>Pan, Guanghao; Fan, Jingli; Wang, Wenhao; Yang, Guang; Su, Jianling; Liu, Huining</t>
  </si>
  <si>
    <t>Liu, HN (corresponding author), Hebei Med Univ, Hosp 1, Dept Thorac Surg, Shijiazhuang 050031, Peoples R China.; Su, JL (corresponding author), Hebei Med Univ, Hosp 1, Dept Crit Care Med 4, Shijiazhuang 050031, Peoples R China.</t>
  </si>
  <si>
    <t>57203982@hebmu.edu.cn; fanjingli2025@163.com; yangguangsurgeon@163.com; wangwenhao2026@163.com; lhnydyy@hebmu.edu.cn; 25034100949@stu.hebmu.edu.cn</t>
  </si>
  <si>
    <t>Department of Thoracic Surgery, First Hospital of Hebei Medical University</t>
  </si>
  <si>
    <t>This research was funded by the Department of Thoracic Surgery, First Hospital of Hebei Medical University. The APC was funded by the Department of Thoracic Surgery, First Hospital of Hebei Medical University.</t>
  </si>
  <si>
    <t>[Pan, Guanghao; Fan, Jingli; Wang, Wenhao; Yang, Guang; Liu, Huining] Hebei Med Univ, Hosp 1, Dept Thorac Surg, Shijiazhuang 050031, Peoples R China; [Su, Jianling] Hebei Med Univ, Hosp 1, Dept Crit Care Med 4, Shijiazhuang 050031, Peoples R China</t>
  </si>
  <si>
    <t>Hebei Medical University</t>
  </si>
  <si>
    <t>Development and External Validation of an Interpretable Machine Learning Framework for Predicting Pneumothorax-Associated Acute Kidney Injury: A Multicenter Retrospective Study</t>
  </si>
  <si>
    <t>pneumothorax; acute kidney injury; machine learning; intensive care unit; predictive model; restricted cubic spline; explainable artificial intelligence; nomogram</t>
  </si>
  <si>
    <t>SELECTION; FAILURE</t>
  </si>
  <si>
    <t>Pan, Guanghao/OFN-2773-2025</t>
  </si>
  <si>
    <t>Pan, Guanghao/0009-0004-9203-1775</t>
  </si>
  <si>
    <t>JUL 16 2026</t>
  </si>
  <si>
    <t>5599</t>
  </si>
  <si>
    <t>10.3390/jcm15145599</t>
  </si>
  <si>
    <t>http://dx.doi.org/10.3390/jcm15145599</t>
  </si>
  <si>
    <t>LS4ZY</t>
  </si>
  <si>
    <t>42513513</t>
  </si>
  <si>
    <t>WOS:001832171200001</t>
  </si>
  <si>
    <t>Ajuwon, BI; Richardson, A; Roper, K; Lidbury, BA</t>
  </si>
  <si>
    <t>HepB LiveTest is a machine learning decision support system developed for the early detection of hepatitis B virus (HBV). However, there is a lack of evidence on its generalisability. In this study, we aimed to externally assess the clinical validity and portability of HepB LiveTest in predicting HBV infection among independent patient cohorts from Nigeria and Australia. The performance of HepB LiveTest was evaluated by constructing receiver operating characteristic curves and estimating the area under the curve. Delong's method was used to estimate the 95% confidence interval (CI) of the area under the receiver-operating characteristic curve (AUROC). Compared to the Australian cohort, patients in the derivation cohort of HepB LiveTest and the hospital-based Nigerian cohort were younger (mean age, 45.5 years vs. 38.8 years vs. 40.8 years, respectively; p &lt; 0.001) and had a higher incidence of HBV infection (1.9% vs. 69.4% vs. 57.3%). In the hospital-based Nigerian cohort, HepB LiveTest performed optimally with an AUROC of 0.94 (95% CI, 0.91-0.97). The model provided tailored predictions that ensured most cases of HBV infection did not go undetected. However, its discriminatory measure dropped to 0.60 (95% CI, 0.56-0.64) in the Australian cohort. These findings indicate that HepB LiveTest exhibits adequate cross-site transportability and clinical validity in the hospital-based Nigerian patient cohort but shows limited performance in the Australian cohort. Whilst HepB LiveTest holds promise for reducing HBV prevalence in underserved populations, caution is warranted when implementing the model in older populations, particularly in regions with low incidence of HBV infection.</t>
  </si>
  <si>
    <t>Ajuwon, Busayo I.; Richardson, Alice; Roper, Katrina; Lidbury, Brett A.</t>
  </si>
  <si>
    <t>Ajuwon, BI (corresponding author), Australian Natl Univ, ANU Coll Hlth &amp; Med, Natl Ctr Epidemiol &amp; Populat Hlth, Canberra, ACT 2601, Australia.; Ajuwon, BI (corresponding author), Kwara State Univ, Fac Pure &amp; Appl Sci, Dept Biosci &amp; Biotechnol, Malete 241103, Nigeria.</t>
  </si>
  <si>
    <t>katrina.roper@anu.edu.au; alice.richardson@anu.edu.au; brett.lidbury@anu.edu.au; busayo.ajuwon@anu.edu.au</t>
  </si>
  <si>
    <t>We are grateful to Ibraheem Katibi and Muyiwa Bojuwoye for facilitating access to the hospital-based Nigerian data for this work. We also acknowledge the University of Ilorin Teaching Hospital (Kwara State, Nigeria), Sullivan Nicolaides Pathology (Queensla; University of Ilorin Teaching Hospital; Sullivan Nicolaides Pathology (Queensland, Australia)</t>
  </si>
  <si>
    <t>We are grateful to Ibraheem Katibi and Muyiwa Bojuwoye for facilitating access to the hospital-based Nigerian data for this work. We also acknowledge the University of Ilorin Teaching Hospital (Kwara State, Nigeria), Sullivan Nicolaides Pathology (Queensland, Australia), and the custodians of all datasets used in this study.</t>
  </si>
  <si>
    <t>[Ajuwon, Busayo I.; Roper, Katrina; Lidbury, Brett A.] Australian Natl Univ, ANU Coll Hlth &amp; Med, Natl Ctr Epidemiol &amp; Populat Hlth, Canberra, ACT 2601, Australia; [Ajuwon, Busayo I.] Kwara State Univ, Fac Pure &amp; Appl Sci, Dept Biosci &amp; Biotechnol, Malete 241103, Nigeria; [Richardson, Alice] Australian Natl Univ, Stat Support Network, Sci Rd, Canberra, ACT 2601, Australia</t>
  </si>
  <si>
    <t>Australian National University; Australian National University</t>
  </si>
  <si>
    <t>Clinical Validity of a Machine Learning Decision Support System for Early Detection of Hepatitis B Virus: A Binational External Validation Study</t>
  </si>
  <si>
    <t>VIRUSES-BASEL</t>
  </si>
  <si>
    <t>HepB LiveTest; hepatitis B virus; machine learning decision support system; clinical validity; external validation</t>
  </si>
  <si>
    <t>MULTIVARIABLE PREDICTION MODEL; INDIVIDUAL PROGNOSIS; DIAGNOSIS TRIPOD; HARMONIZATION; ALGORITHM</t>
  </si>
  <si>
    <t>Ajuwon, Busayo Israel/AAH-6116-2020</t>
  </si>
  <si>
    <t>Lidbury, Brett/0000-0003-2211-989X; Ajuwon, Busayo Israel/0000-0003-4034-3617; Richardson, Alice/0000-0001-7084-1524</t>
  </si>
  <si>
    <t>1999-4915</t>
  </si>
  <si>
    <t>Viruses-Basel</t>
  </si>
  <si>
    <t>1735</t>
  </si>
  <si>
    <t>10.3390/v15081735</t>
  </si>
  <si>
    <t>http://dx.doi.org/10.3390/v15081735</t>
  </si>
  <si>
    <t>Virology</t>
  </si>
  <si>
    <t>Q3JC9</t>
  </si>
  <si>
    <t>37632077</t>
  </si>
  <si>
    <t>WOS:001056501700001</t>
  </si>
  <si>
    <t>Park, JS; Kim, K; Kim, JH; Choi, YJ; Kim, K; Suh, DI</t>
  </si>
  <si>
    <t>Auscultation, a cost-effective and non-invasive part of physical examination, is essential to diagnose pediatric respiratory disorders. Electronic stethoscopes allow transmission, storage, and analysis of lung sounds. We aimed to develop a machine learning model to classify pediatric respiratory sounds. Lung sounds were digitally recorded during routine physical examinations at a pediatric pulmonology outpatient clinic from July to November 2019 and labeled as normal, crackles, or wheezing. Ensemble support vector machine models were trained and evaluated for four classification tasks (normal vs. abnormal, crackles vs. wheezing, normal vs. crackles, and normal vs. wheezing) using K-fold cross-validation (K = 10). Model performance on a prospective validation set (June to July 2021) was compared with those of pediatricians and non-pediatricians. Total 680 clips were used for training and internal validation. The model accuracies during internal validation for normal vs. abnormal, crackles vs. wheezing, normal vs. crackles, and normal vs. wheezing were 83.68%, 83.67%, 80.94%, and 90.42%, respectively. The prospective validation (n = 90) accuracies were 82.22%, 67.74%, 67.80%, and 81.36%, respectively, which were comparable to pediatrician and non-pediatrician performance. An automated classification model of pediatric lung sounds is feasible and maybe utilized as a screening tool for respiratory disorders in this pandemic era.</t>
  </si>
  <si>
    <t>Park, Ji Soo; Kim, Kyungdo; Kim, Ji Hye; Choi, Yun Jung; Kim, Kwangsoo; Suh, Dong In</t>
  </si>
  <si>
    <t>Suh, DI (corresponding author), Seoul Natl Univ, Coll Med, Dept Pediat, Seoul, South Korea.; Kim, K (corresponding author), Seoul Natl Univ Hosp, Transdisciplinary Dept Med &amp; Adv Technol, 101 Daehak Ro, Seoul 03080, South Korea.; Suh, DI (corresponding author), Seoul Natl Univ, Seoul Natl Univ Hosp, Coll Med, Dept Pediat, 101 Daehak Ro, Seoul 03080, South Korea.</t>
  </si>
  <si>
    <t>dongins0@snu.ac.kr; kwangsookim@snu.ac.kr</t>
  </si>
  <si>
    <t>[Park, Ji Soo; Kim, Ji Hye; Choi, Yun Jung; Suh, Dong In] Seoul Natl Univ, Coll Med, Dept Pediat, Seoul, South Korea; [Kim, Kyungdo] Duke Univ, Dept Biomed Engn, Durham, NC USA; [Kim, Kwangsoo] Seoul Natl Univ Hosp, Transdisciplinary Dept Med &amp; Adv Technol, 101 Daehak Ro, Seoul 03080, South Korea; [Suh, Dong In] Seoul Natl Univ, Seoul Natl Univ Hosp, Coll Med, Dept Pediat, 101 Daehak Ro, Seoul 03080, South Korea</t>
  </si>
  <si>
    <t>Seoul National University (SNU); Duke University; Seoul National University (SNU); Seoul National University Hospital; Seoul National University (SNU); Seoul National University Hospital</t>
  </si>
  <si>
    <t>A machine learning approach to the development and prospective evaluation of a pediatric lung sound classification model</t>
  </si>
  <si>
    <t>AUSCULTATION; BREATH</t>
  </si>
  <si>
    <t>Kim, Ji/AAN-5655-2021; Park, Ji Soo/JMR-4351-2023</t>
  </si>
  <si>
    <t>Kim, Kyungdo/0000-0001-7194-2984; Park, Ji Soo/0000-0002-0522-7736</t>
  </si>
  <si>
    <t>JAN 23 2023</t>
  </si>
  <si>
    <t>1289</t>
  </si>
  <si>
    <t>10.1038/s41598-023-27399-5</t>
  </si>
  <si>
    <t>http://dx.doi.org/10.1038/s41598-023-27399-5</t>
  </si>
  <si>
    <t>A4AM5</t>
  </si>
  <si>
    <t>36690658</t>
  </si>
  <si>
    <t>WOS:000954571900038</t>
  </si>
  <si>
    <t>Jawad, BN; Altintas, I; Eugen-Olsen, J; Niazi, S; Mansouri, A; Rasmussen, LJH; Schultz, M; Iversen, K; Holm, NN; Kallemose, T; Andersen, O; Nehlin, JO</t>
  </si>
  <si>
    <t>Background: Predicting mortality in emergency departments (EDs) using machine learning models presents challenges, particularly in balancing simplicity with performance. This study aims to develop models that are both simple and effective for predicting short- and long-term mortality in ED patients. Our approach uses a minimal set of variables derived from one single blood sample obtained at admission. Methods: Data from three cohorts at two large Danish university hospitals were analyzed, including one retrospective and two prospective cohorts where prognostic models were applied to predict individual mortality risk, spanning the years 2013-2022. Routine biochemistry analyzed in blood samples collected at admission was the primary data source for the prediction models. The outcomes were mortality at 10, 30, 90, and 365 days after admission to the ED. The models were developed using Light Gradient Boosting Machines. The evaluation of mortality predictions involved metrics such as Area Under the Receiver Operating Characteristic Curve (AUC), sensitivity, specificity, negative predictive values, positive predictive values, and Matthews correlation coefficient (MCC). Results: A total of 43,648 unique patients with 65,484 admissions were analyzed. The models showed high accuracy, with very good to excellent AUC values between 0.87 and 0.93 across different time intervals. Conclusions: This study demonstrates that a single assessment of routine clinical biochemistry upon admission can serve as a powerful predictor for both short-term and long-term mortality in ED admissions.</t>
  </si>
  <si>
    <t>Jawad, Baker Nawfal; Altintas, Izzet; Eugen-Olsen, Jesper; Niazi, Siar; Mansouri, Abdullah; Rasmussen, Line Jee Hartmann; Schultz, Martin; Iversen, Kasper; Holm, Nikolaj Normann; Kallemose, Thomas; Andersen, Ove; Nehlin, Jan O.</t>
  </si>
  <si>
    <t>Jawad, BN (corresponding author), Copenhagen Univ Hosp Amager &amp; Hvidovre, Dept Clin Res, DK-2650 Hvidovre, Denmark.; Jawad, BN (corresponding author), Univ Copenhagen, Dept Clin Med, DK-2200 Copenhagen, Denmark.</t>
  </si>
  <si>
    <t>baker.jawad@regionh.dk; jan.nehlin@regionh.dk</t>
  </si>
  <si>
    <t>[Jawad, Baker Nawfal; Altintas, Izzet; Eugen-Olsen, Jesper; Rasmussen, Line Jee Hartmann; Holm, Nikolaj Normann; Kallemose, Thomas; Andersen, Ove; Nehlin, Jan O.] Copenhagen Univ Hosp Amager &amp; Hvidovre, Dept Clin Res, DK-2650 Hvidovre, Denmark; [Jawad, Baker Nawfal; Altintas, Izzet; Iversen, Kasper; Andersen, Ove] Univ Copenhagen, Dept Clin Med, DK-2200 Copenhagen, Denmark; [Altintas, Izzet; Andersen, Ove] Copenhagen Univ Hosp Amager &amp; Hvidovre, Emergency Dept, DK-2650 Hvidovre, Denmark; [Niazi, Siar] North Zealand Hosp, Dept Cardiol, DK-3400 Hillerod, Denmark; [Mansouri, Abdullah] Emergency Med Serv, DK-2750 Ballerup, Capital Region, Denmark; [Schultz, Martin] Copenhagen Univ Hosp Amager &amp; Hvidovre, Dept Geriatr, DK-2650 Hvidovre, Denmark; [Iversen, Kasper] Copenhagen Univ Hosp Herlev &amp; Gentofte, Dept Emergency Med, DK-2730 Herlev, Denmark; [Iversen, Kasper] Copenhagen Univ Hosp Herlev &amp; Gentofte, Dept Cardiol, DK-2730 Herlev, Denmark; [Holm, Nikolaj Normann] Tech Univ Denmark, Dept Appl Math &amp; Comp Sci, Lyngby 2800, Denmark</t>
  </si>
  <si>
    <t>University of Copenhagen; Technical University of Denmark</t>
  </si>
  <si>
    <t>Prospective and External Validation of Machine Learning Models for Short- and Long-Term Mortality in Acutely Admitted Patients Using Blood Tests</t>
  </si>
  <si>
    <t>machine learning models; mortality prediction; emergency department; clinical biochemistry; biomarkers; short-term mortality; long-term mortality; explainable artificial intelligence (XAI)</t>
  </si>
  <si>
    <t>Holm, Nikolaj Normann/KXR-1482-2024; Iversen, Kasper/K-7863-2019; Nehlin, Jan/AAR-8721-2020; Jawad, Baker Nawfal/MFZ-8800-2025</t>
  </si>
  <si>
    <t>Rasmussen, Line Jee Hartmann/0000-0001-6613-2469; Iversen, Kasper/0000-0003-0504-8487; Eugen-Olsen, Jesper/0000-0002-4630-4275; Jawad, Baker Nawfal/0000-0002-6915-744X; Niazi, Siar/0009-0008-1699-7788</t>
  </si>
  <si>
    <t>6437</t>
  </si>
  <si>
    <t>10.3390/jcm13216437</t>
  </si>
  <si>
    <t>http://dx.doi.org/10.3390/jcm13216437</t>
  </si>
  <si>
    <t>L5P1C</t>
  </si>
  <si>
    <t>39518575</t>
  </si>
  <si>
    <t>WOS:001351226700001</t>
  </si>
  <si>
    <t>Su, CC; Lin, YP; Yen, HK; Pan, YT; Zijlstra, H; Verlaan, JJ; Schwab, JH; Lai, CY; Hu, MH; Yang, SH; Groot, OQ</t>
  </si>
  <si>
    <t>Introduction: There are predictive algorithms for predicting 3-month and 1-year survival in patients with spinal metastasis. However, advance in surgical technique, immunotherapy, and advanced radiation therapy has enabled shortening of postoperative recovery, which returns dividends to the overall quality-adjusted life-year. As such, the Skeletal Oncology Research Group machine learning algorithm (SORG-MLA) was proposed to predict 6-week survival in patients with spinal metastasis, whereas its utility for patients treated with nonsurgical treatment was untested externally. This study aims to validate the survival prediction of the 6-week SORG-MLA for patients with spinal metastasis and provide the measurement of model consistency (MC).Methods: Discrimination using area under the receiver operating characteristic curve, calibration, Brier score, and decision curve analysis were conducted to assess the model's performance in the Taiwanese-based cohort. MC was also applied to detect the proportion of paradoxical predictions among 6-week, 3-month, and 1-year survival predictions. The long-term prognosis should not be better than the shorter-term prognosis in that of an individual.Results: The 6-week survival rate was 84.2%. The SORG-MLA retained good discrimination with an area under the receiver operating characteristic curve of 0.78 (95% confidence interval, 0.75 to 0.80) and good prediction accuracy with a Brier score of 0.11 (null model Brier score 0.13). There is an underestimation of the 6-week survival rate when the predicted survival rate is less than 50%. Decision curve analysis showed that the model was suitable for use over all threshold probabilities. MC showed suboptimal consistency between 6-week and 90-day survival prediction (78%).Conclusions: Theresults of this study supported the utility of the algorithm. The online tool (https://sorg-apps.shinyapps.io/spinemetssurvival/) can be used by both clinicians and patients in informative decision-making discussion before management of spinal metastasis.</t>
  </si>
  <si>
    <t>Su, Chih-Chi; Lin, Yen-Po; Yen, Hung-Kuan; Pan, Yu-Ting; Zijlstra, Hester; Verlaan, Jorrit-Jan; Schwab, Joseph H.; Lai, Cheng-Yo; Hu, Ming-Hsiao; Yang, Shu-Hua; Groot, Olivier Q.</t>
  </si>
  <si>
    <t>Lai, CY (corresponding author), Natl Taiwan Univ Hosp, Dept Orthopaed Surg, Hsin Chu Branch, Hsinchu, Taiwan.</t>
  </si>
  <si>
    <t>HZIJLSTRA@mgh.harvard.edu; jhschwab@mgh.harvard.edu; minghsiaohu@yahoo.com.tw; j.j.Verlaan@umcutrecht.nl; chengyo.lai@gmail.com; jimmysu0302@gmail.com; oqgroot@gmail.com; b97401065@ntu.edu.tw; b04401122@ntu.edu.tw; yuting310947@gmail.com; shuhuayang@ntu.edu.tw</t>
  </si>
  <si>
    <t>[Su, Chih-Chi; Lin, Yen-Po; Hu, Ming-Hsiao; Yang, Shu-Hua] Natl Taiwan Univ Hosp, Dept Orthopaed Surg, Taipei City, Taiwan; [Su, Chih-Chi; Pan, Yu-Ting] Natl Taiwan Univ Hosp, Dept Med Educ, Taipei City, Taiwan; [Yen, Hung-Kuan] Natl Taiwan Univ Hosp, Dept Med Educ, Hsin Chu Branch, Hsinchu, Taiwan; [Lai, Cheng-Yo] Natl Taiwan Univ Hosp, Dept Orthopaed Surg, Hsin Chu Branch, Hsinchu, Taiwan; [Zijlstra, Hester; Schwab, Joseph H.; Groot, Olivier Q.] Massachusetts Gen Hosp, Dept Orthopaed Surg, Boston, MA USA; [Zijlstra, Hester; Verlaan, Jorrit-Jan; Groot, Olivier Q.] Univ Med Ctr Utrecht, Dept Orthopaed, Utrecht, Netherlands</t>
  </si>
  <si>
    <t>National Taiwan University; National Taiwan University Hospital; National Taiwan University; National Taiwan University Hospital; National Taiwan University; National Taiwan University Hospital; National Taiwan University; National Taiwan University Hospital; Harvard University; Harvard University Medical Affiliates; Massachusetts General Hospital; Utrecht University; Utrecht University Medical Center</t>
  </si>
  <si>
    <t>A Machine Learning Algorithm for Predicting 6-Week Survival in Spinal Metastasis: An External Validation Study Using 2,768 Taiwanese Patients</t>
  </si>
  <si>
    <t>JOURNAL OF THE AMERICAN ACADEMY OF ORTHOPAEDIC SURGEONS</t>
  </si>
  <si>
    <t>SURGERY; CLASSIFICATION; MANAGEMENT; CURVE; MODEL; SCORE</t>
  </si>
  <si>
    <t>YANG, SHU-HUA/AAT-1243-2020</t>
  </si>
  <si>
    <t>Schwab, Joseph/0000-0002-2059-7559; YANG, SHU-HUA/0000-0002-9879-0164; Pan, Yu-Ting/0009-0007-2038-1524; HUITRON, EFREN/0009-0008-2046-3359; HU, MING-HSIAO/0000-0001-8920-2052</t>
  </si>
  <si>
    <t>1067-151X</t>
  </si>
  <si>
    <t>1940-5480</t>
  </si>
  <si>
    <t>J AM ACAD ORTHOP SUR</t>
  </si>
  <si>
    <t>J. Am. Acad. Orthop. Surg.</t>
  </si>
  <si>
    <t>SEP 1 2023</t>
  </si>
  <si>
    <t>E645</t>
  </si>
  <si>
    <t>E656</t>
  </si>
  <si>
    <t>10.5435/JAAOS-D-23-00091</t>
  </si>
  <si>
    <t>http://dx.doi.org/10.5435/JAAOS-D-23-00091</t>
  </si>
  <si>
    <t>P3YK8</t>
  </si>
  <si>
    <t>37192422</t>
  </si>
  <si>
    <t>WOS:001050034100007</t>
  </si>
  <si>
    <t>Kang, YX; Chang, LL; Lin, HQ; Liu, J; Wang, C; Lu, HW; Xu, Q</t>
  </si>
  <si>
    <t>BackgroundSmall cell neuroendocrine cervical carcinoma (SCNECC) is a rare malignancy with a poor prognosis. The prognostic factors influencing SCNECC remain unclear. This study aimed to develop a prognostic model for SCNECC using machine learning (ML) techniques. MethodsWe collected 487 patients diagnosed with SCNECC in the SEER database from 2004 to 2021, dividing them into a training set and an internal validation set at a 7:3 ratio. Additionally, we gathered 300 SCNECC patients from 3 Chinese registries between 2005 and 2023 as an external validation set. Initially, we performed univariate Cox regression analyses on 22 candidate variables using the Mime package. Variables with a p-value &lt; 0.05 were included. Subsequently, to determine the optimal prognostic model, a total of 10 commonly used ML algorithms were collected and subsequently combined into 117 unique combinations. Finally, we validated the best model's performance using multiple independent cohorts, assessing metrics such as the concordance index (C-index), calibration curves, time-dependent receiver operating characteristic curves (ROC curves), and decision curve analyses (DCA). ResultsThe Stepwise Cox (StepCox) [forward] + Random Survival Forest (RSF) (SCR) model demonstrated the best predictive performance, with a C-index of 0.84 in the development set, 0.75 in the internal validation set, and 0.68 in the external validation set. It showed high prognostic value for 1-, 3-, and 5-year survival in SCNECC patients. SHAP-based interpretability analysis identified twenty key predictors that collectively enhanced the model's robustness. ConclusionThe SCR model has potential in predicting the prognosis of SCNECC, providing clinicians with decision support to identify high-risk patients, optimize treatment strategies, and ultimately improve clinical outcomes.</t>
  </si>
  <si>
    <t>Kang, Yaxin; Chang, Lele; Lin, Huaqin; Liu, Jing; Wang, Cong; Lu, Huaiwu; Xu, Qin</t>
  </si>
  <si>
    <t>Xu, Q (corresponding author), Fujian Med Univ, Fujian Canc Hosp, Clin Oncol Sch, Dept Gynecol,NHC Key Lab Canc Metab, Fuzhou 350014, Fujian, Peoples R China.; Lu, HW (corresponding author), Sun Yat Sen Mem Hosp, Dept Gynecol Oncol, Guangzhou 510000, Guangdong, Peoples R China.; Xu, Q (corresponding author), Fujian Canc Hosp, Fujian Key Lab Adv Technol Canc Screening &amp; Early, Fuzhou 350014, Fujian, Peoples R China.</t>
  </si>
  <si>
    <t>xuqin@fjmu.edu.cn; luhuaiwu@mail.sysu.edu.cn</t>
  </si>
  <si>
    <t>oint Funds for the innovation of science and Technology, Fujian province [2023Y9449]; Natural Science Foundation of Fujian Province [2023J011273, 2024J011099]; Joint Funds for the National Clinical Key Specialty Construction Program [F2326Y-YZK08-01]</t>
  </si>
  <si>
    <t>oint Funds for the innovation of science and Technology, Fujian province; Natural Science Foundation of Fujian Province (Natural Science Foundation of Fujian Province); Joint Funds for the National Clinical Key Specialty Construction Program</t>
  </si>
  <si>
    <t>This work was supported by Joint Funds for the National Clinical Key Specialty Construction Program (Grant number: F2326Y-YZK08-01), Joint Funds for the innovation of science and Technology, Fujian province (Grant number: 2023Y9449), Natural Science Foundation of Fujian Province (Grant number: 2024J011099 and 2023J011273).</t>
  </si>
  <si>
    <t>[Kang, Yaxin; Chang, Lele; Lin, Huaqin; Liu, Jing; Xu, Qin] Fujian Med Univ, Fujian Canc Hosp, Clin Oncol Sch, Dept Gynecol,NHC Key Lab Canc Metab, Fuzhou 350014, Fujian, Peoples R China; [Wang, Cong] Shandong First Med Univ &amp; Shandong Acad Med Sci, Shandong Canc Hosp &amp; Inst, Dept Gynecol Oncol, Jinan 250117, Shandong, Peoples R China; [Lu, Huaiwu] Sun Yat Sen Mem Hosp, Dept Gynecol Oncol, Guangzhou 510000, Guangdong, Peoples R China; [Xu, Qin] Fujian Canc Hosp, Fujian Key Lab Adv Technol Canc Screening &amp; Early, Fuzhou 350014, Fujian, Peoples R China</t>
  </si>
  <si>
    <t>Fujian Medical University; Shandong First Medical University &amp; Shandong Academy of Medical Sciences; Sun Yat Sen University</t>
  </si>
  <si>
    <t>Development and external validation of a machine learning-based prognostic model for small cell neuroendocrine cervical carcinoma: a multi-center study</t>
  </si>
  <si>
    <t>Machine learning; Prognostic model; SCNECC; Multi-center study; SEER database</t>
  </si>
  <si>
    <t>UTERINE CERVIX; TUMORS</t>
  </si>
  <si>
    <t>NOV 24 2025</t>
  </si>
  <si>
    <t>1926</t>
  </si>
  <si>
    <t>10.1186/s12885-025-15338-8</t>
  </si>
  <si>
    <t>http://dx.doi.org/10.1186/s12885-025-15338-8</t>
  </si>
  <si>
    <t>AL8UT</t>
  </si>
  <si>
    <t>41286748</t>
  </si>
  <si>
    <t>WOS:001651209100001</t>
  </si>
  <si>
    <t>Jung, C; Mamandipoor, B; Fjolner, J; Bruno, RR; Wernly, B; Artigas, A; Pinto, BB; Schefold, JC; Wolff, G; Kelm, M; Beil, M; Sviri, S; van Heerden, P; Szczeklik, W; Czuczwar, M; Elhadi, M; Joannidis, M; Oeyen, S; Zafeiridis, T; Marsh, B; Andersen, FH; Moreno, R; Cecconi, M; Leaver, S; De Lange, DW; Guidet, B; Flaatten, H; Osmani, V</t>
  </si>
  <si>
    <t>Background: The COVID-19 pandemic caused by SARS-CoV-2 is challenging health care systems globally. The disease disproportionately affects the elderly population, both in terms of disease severity and mortality risk.Objective: The aim of this study was to evaluate machine learning-based prognostication models for critically ill elderly COVID-19 patients, which dynamically incorporated multifaceted clinical information on evolution of the disease.Methods: This multicenter cohort study (COVIP study) obtained patient data from 151 intensive care units (ICUs) from 26 countries. Different models based on the Sequential Organ Failure Assessment (SOFA) score, logistic regression (LR), random forest (RF), and extreme gradient boosting (XGB) were derived as baseline models that included admission variables only. We subsequently included clinical events and time-to-event as additional variables to derive the final models using the same algorithms and compared their performance with that of the baseline group. Furthermore, we derived baseline and final models on a European patient cohort, which were externally validated on a non-European cohort that included Asian, African, and US patients.Results: In total, 1432 elderly (&gt;= 70 years old) COVID-19-positive patients admitted to an ICU were included for analysis. Of these, 809 (56.49%) patients survived up to 30 days after admission. The average length of stay was 21.6 (SD 18.2) days. Final models that incorporated clinical events and time-to-event information provided superior performance (area under the receiver operating characteristic curve of 0.81; 95% CI 0.804-0.811), with respect to both the baseline models that used admission variables only and conventional ICU prediction models (SOFA score, P&lt;.001). The average precision increased from 0.65 (95% CI 0.650-0.655) to 0.77 (95% CI 0.759-0.770).Conclusions: Integrating important clinical events and time-to-event information led to a superior accuracy of 30-day mortality prediction compared with models based on the admission information and conventional ICU prediction models. This study shows that machine-learning models provide additional information and may support complex decision-making in critically ill elderly COVID-19 patients.</t>
  </si>
  <si>
    <t>Jung, Christian; Mamandipoor, Behrooz; Fjolner, Jesper; Bruno, Raphael Romano; Wernly, Bernhard; Artigas, Antonio; Pinto, Bernardo Bollen; Schefold, Joerg C.; Wolff, Georg; Kelm, Malte; Beil, Michael; Sviri, Sigal; van Heerden, Peter, V; Szczeklik, Wojciech; Czuczwar, Miroslaw; Elhadi, Muhammed; Joannidis, Michael; Oeyen, Sandra; Zafeiridis, Tilemachos; Marsh, Brian; Andersen, Finn H.; Moreno, Rui; Cecconi, Maurizio; Leaver, Susannah; De Lange, Dylan W.; Guidet, Bertrand; Flaatten, Hans; Osmani, Venet</t>
  </si>
  <si>
    <t>Jung, C (corresponding author), Heinrich Heine Univ Duesseldorf, Univ Hosp Duesseldorf, Med Fac, Div Cardiol Pulmonol &amp; Vasc Med, Moorenstr 5, Dusseldorf, Germany.</t>
  </si>
  <si>
    <t>christian.jung@med.uni-duesseldorf.de</t>
  </si>
  <si>
    <t>Fondation Assistance Publique-Hopitaux de Paris Pour la Recherche; Health Region West; European Union [831644]; Forschungskommission of the Medical Faculty of Heinrich-Heine-University Dusseldorf [2018-32, 2020-21]</t>
  </si>
  <si>
    <t>Fondation Assistance Publique-Hopitaux de Paris Pour la Recherche; Health Region West; European Union (European Union (EU)); Forschungskommission of the Medical Faculty of Heinrich-Heine-University Dusseldorf</t>
  </si>
  <si>
    <t>The support of the study in France by a grant from Fondation Assistance Publique-Hopitaux de Paris Pour la Recherche is greatly appreciated. In Norway, the study was supported by a grant from Health Region West. In addition, EOSCsecretariat.eu provided support and has received funding from the European Union's Horizon Programme call H2020-INFRAEOSC-05-2018-2019, grant agreement number 831644. This work was supported by the Forschungskommission of the Medical Faculty of Heinrich-Heine-University Dusseldorf (grant 2018-32 to GW and grant 2020-21 to RB for a Clinician Scientist Track) . The complete list of COVIP collaborators is provided in Multimedia Appendix 10.</t>
  </si>
  <si>
    <t>[Jung, Christian; Bruno, Raphael Romano; Wolff, Georg; Kelm, Malte] Heinrich Heine Univ Duesseldorf, Univ Hosp Duesseldorf, Med Fac, Div Cardiol Pulmonol &amp; Vasc Med, Moorenstr 5, Dusseldorf, Germany; [Mamandipoor, Behrooz; Osmani, Venet] Fdn Bruno Kessler Res Inst, Trento, Italy; [Fjolner, Jesper] Aarhus Univ Hosp, Dept Intens Care, Aarhus, Denmark; [Wernly, Bernhard] Paracelsus Med Univ, Dept Anaesthesiol, Salzburg, Austria; [Artigas, Antonio] Autonomous Univ Barcelona, Dept Intens Care Med, Corp Sanitaria Unive Sitaria Parc Tauli, CIBER Enfermedades Respiratorias, Sabadell, Spain; [Pinto, Bernardo Bollen] Geneva Univ Hosp, Dept Acute Med, Geneva, Switzerland; [Schefold, Joerg C.] Univ Bern, Univ Spital, Dept Intens Care Med, Inselspital, Bern, Switzerland; [Beil, Michael; Sviri, Sigal] Hebrew Univ Jerusalem, Hadassah Univ Med Ctr, Fac Med, Dept Med Intens Care, Jerusalem, Israel; [van Heerden, Peter, V] Hebrew Univ Jerusalem, Dept Anesthesia Intens Care &amp; Pain Med, Hadassah Med Ctr, Jerusalem, Israel; [van Heerden, Peter, V] Hebrew Univ Jerusalem, Fac Med, Jerusalem, Israel; [Szczeklik, Wojciech] Jagiellonian Univ Med Coll, Ctr Intens Care &amp; Perioperat Med, Krakow, Poland; [Czuczwar, Miroslaw] Med Univ Lublin, Dept Anesthesiol &amp; Intens Care 2, Lublin, Poland; [Elhadi, Muhammed] Univ Tripoli, Fac Med, Tripoli, Libya; [Joannidis, Michael] Med Univ Innsbruck, Dept Internal Med, Div Intens Care &amp; Emergency Med, Innsbruck, Austria; [Oeyen, Sandra] Ghent Univ Hosp, Dept Intens Care 1K12IC, Ghent, Belgium; [Zafeiridis, Tilemachos] Gen Hosp Larissa, Intens Care Unit, Larisa, Greece; [Marsh, Brian] Mater Misericordiae Univ Hosp, Dublin, Ireland; [Andersen, Finn H.] Alesund Hosp, Dept Anaesthesia &amp; Intens Care, Alesund, Norway; [Andersen, Finn H.] Norwegian Univ Sci &amp; Technol, Dept Circulat &amp; Med Imaging, Trondheim, Norway; [Moreno, Rui] Ctr Hosp Univ Lisboa Cent, Hosp Sao Jose, Lisbon, Portugal; [Moreno, Rui] Univ Beira Interior, Fac Ciencias Med, Fac Ciencias Med Lisboa, Nova Med Sch, Lisbon, Portugal; [Cecconi, Maurizio] Humanitas Univ, IRCCS Inst Clin Humanitas, Dept Anaesthesia, Milan, Italy; [Leaver, Susannah] NHS Fdn Trust, Gen Intens Care, St Georges Univ Hosp, London, England; [De Lange, Dylan W.] Univ Utrecht, Univ Med Ctr, Dept Intens Care Med, Utrecht, Belgium; [Guidet, Bertrand] Sorbonne Univ, Epidemiol Hosp Qualite &amp; Org Soins, Inst Pierre Louis Epidemiol &amp; Sante Publ, UPMC Univ Paris 06,INSERM,UMR S 1136, Paris, France; [Guidet, Bertrand] Hop St Antoine, Assistance Publ Hop Paris, Serv Reanimat Med, Paris, France; [Flaatten, Hans] Univ Bergen, Dept Clin Med, Bergen, Norway; [Flaatten, Hans] Haukeland Hosp, Dept Anesthesia &amp; Intens Care, Bergen, Norway</t>
  </si>
  <si>
    <t>Heinrich Heine University Dusseldorf; Fondazione Bruno Kessler; Aarhus University; Paracelsus Private Medical University; CIBER - Centro de Investigacion Biomedica en Red; Autonomous University of Barcelona; CIBERES; University of Geneva; University of Bern; Hebrew University of Jerusalem; Hadassah University Hospital; Hadassah University Medical Center; Hebrew University of Jerusalem; Hadassah University Hospital; Hadassah University Medical Center; Hebrew University of Jerusalem; Jagiellonian University; Collegium Medicum Jagiellonian University; Medical University of Lublin; University of Tripoli; Medical University of Innsbruck; Ghent University; Ghent University Hospital; University College Dublin; Mater Misericordiae University Hospital; Norwegian University of Science &amp; Technology (NTNU); Universidade Nova de Lisboa; Universidade da Beira Interior; Universidade de Lisboa; Humanitas University; City St Georges, University of London; Oxford University Hospitals NHS Foundation Trust; Sorbonne Universite; Institut National de la Sante et de la Recherche Medicale (Inserm); Assistance Publique Hopitaux Paris (APHP); Universite Paris Cite; Sorbonne Universite; Hopital Universitaire Saint-Louis - APHP; Hopital Universitaire Saint-Antoine - APHP; University of Bergen; University of Bergen; Haukeland University Hospital</t>
  </si>
  <si>
    <t>Disease-Course Adapting Machine Learning Prognostication Models in Elderly Patients Critically III With COVID-19: Multicenter Cohort Study With External Validation</t>
  </si>
  <si>
    <t>machine-based learning; outcome prediction; COVID-19; pandemic; machine learning; prediction models; clinical informatics; patient data; elderly population</t>
  </si>
  <si>
    <t>CARE</t>
  </si>
  <si>
    <t>Wolff, Georg/J-8597-2019; Jung, Christian/NRB-3249-2025; antonio, artigas/AFM-1343-2022; Andersen, Finn/H-9381-2019; Fjølner, Jesper/AAC-1269-2020; Flaatten, Hans/AAG-7030-2020; Cecconi, Maurizio/HDN-8785-2022; Oeyen, Sandra/AAE-2838-2021; Bollen Pinto, Bernardo/E-1884-2018; De Lange, Dylan/ABB-8172-2020; Szczeklik, Wojciech/N-8096-2014; Elhadi, Muhammed/AAU-5641-2020; Czuczwar, Miroslaw/AAH-5398-2019; van Heerden, Peter Vernon/JMB-9385-2023</t>
  </si>
  <si>
    <t>Wernly, Bernhard/0000-0003-4024-0220; Wolff, Georg/0000-0002-1734-6177; Osmani, Venet/0000-0001-7306-2972; Jung, Christian/0000-0001-8325-250X; Mamandipoor, Behrooz/0000-0001-9441-3815; antonio, artigas/0000-0002-8029-1017; Fjølner, Jesper/0000-0003-3371-0503; Flaatten, Hans/0000-0001-9186-3482; Cecconi, Maurizio/0000-0002-4376-6538; Schefold, Joerg C/0000-0001-9162-5724; Kelm, Malte/0000-0003-0060-1052; Bollen Pinto, Bernardo/0000-0002-1281-543X; De Lange, Dylan/0000-0002-0191-7270; Szczeklik, Wojciech/0000-0002-1349-1123; Bruno, Raphael Romano/0000-0003-3776-3530; Czuczwar, Miroslaw/0000-0002-9025-6717; van Heerden, Peter Vernon/0000-0003-0621-0626</t>
  </si>
  <si>
    <t>e32949</t>
  </si>
  <si>
    <t>10.2196/32949</t>
  </si>
  <si>
    <t>http://dx.doi.org/10.2196/32949</t>
  </si>
  <si>
    <t>0K8GN</t>
  </si>
  <si>
    <t>35099394</t>
  </si>
  <si>
    <t>WOS:000781027400007</t>
  </si>
  <si>
    <t>Mei, PC; Ying, T; Wu, J; Wang, H</t>
  </si>
  <si>
    <t>Background Sarcopenia is common in patients with cardiovascular disease (CVD) and is associated with functional decline and adverse clinical outcomes. However, practical tools for early risk stratification in this population remain limited, particularly those incorporating composite metabolic biomarkers.Objective To identify the most informative composite biomarker and the optimal machine learning (ML) algorithm for the development and validation of a sarcopenia risk stratification system in patients with CVD.Methods We analyzed data from the China Health and Retirement Longitudinal Study (CHARLS, 2011-2015), the English Longitudinal Study of Ageing (ELSA, 2004-2013), and a hospital-based clinical cohort enrolled between 2023 and 2024. Cross-sectional analyses in CHARLS (n = 1,343) were used to examine the associations between candidate composite biomarkers and sarcopenia. Nine ML models were developed in a longitudinal CHARLS sub-cohort free of sarcopenia at baseline (n = 887), with hyperparameters optimized by 10-fold cross-validation. The best-performing CatBoost model incorporating TyG-BMI was further interpreted using Shapley Additive Explanations (SHAP) and externally validated in ELSA (n = 823) and the clinical cohort (n = 2,497), on the basis of which the Cardiovascular Disease-Sarcopenia Risk Score (CVD-SRS) was derived.Results Among the evaluated composite biomarkers, TyG-BMI showed the highest discriminative ability for sarcopenia (AUC = 0.938). The CatBoost model showed good discrimination across cohorts, with AUCs of 0.982 in the training set, 0.907 in the internal validation set, 0.891 in ELSA, and 0.900 in the clinical cohort. The CVD-SRS provided consistent risk stratification across the internal and external validation cohorts.Conclusions A CatBoost model integrating TyG-BMI showed good performance for sarcopenia risk stratification in patients with CVD. The CVD-SRS may facilitate early screening and help identify individuals who warrant further sarcopenia assessment in clinical practice.</t>
  </si>
  <si>
    <t>Mei, Pengcheng; Ying, Tao; Wu, Jing; Wang, Han</t>
  </si>
  <si>
    <t>Wu, J (corresponding author), Southwest Jiaotong Univ, Affiliated Hosp, Peoples Hosp Chengdu 3, Coll Med, Chengdu, Sichuan, Peoples R China.; Wang, H (corresponding author), Southwest Jiaotong Univ, Affiliated Hosp, Peoples Hosp Chengdu 3, Coll Med, Chengdu, Sichuan, Peoples R China.</t>
  </si>
  <si>
    <t>wujing1@swjtu.edu.cn; wanghan@swjtu.edu.cn</t>
  </si>
  <si>
    <t>[Mei, Pengcheng; Ying, Tao; Wu, Jing] Southwest Jiaotong Univ, Affiliated Hosp, Peoples Hosp Chengdu 3, Coll Med, Chengdu, Sichuan, Peoples R China; [Wang, Han] Southwest Jiaotong Univ, Affiliated Hosp, Peoples Hosp Chengdu 3, Coll Med, Chengdu, Sichuan, Peoples R China</t>
  </si>
  <si>
    <t>Southwest Jiaotong University; Southwest Jiaotong University</t>
  </si>
  <si>
    <t>Development and external validation of a composite biomarker-based machine learning model for sarcopenia risk stratification in patients with cardiovascular disease</t>
  </si>
  <si>
    <t>cardiovascular diseases; composite biomarkers; machine learning; risk stratification; sarcopenia</t>
  </si>
  <si>
    <t>ASIAN WORKING GROUP; COHORT PROFILE; PREDICTION; CONSENSUS; UPDATE; HEALTH</t>
  </si>
  <si>
    <t>JUL 9 2026</t>
  </si>
  <si>
    <t>1814149</t>
  </si>
  <si>
    <t>10.3389/fcvm.2026.1814149</t>
  </si>
  <si>
    <t>http://dx.doi.org/10.3389/fcvm.2026.1814149</t>
  </si>
  <si>
    <t>LM3VZ</t>
  </si>
  <si>
    <t>42495075</t>
  </si>
  <si>
    <t>WOS:001828019500001</t>
  </si>
  <si>
    <t>Wang, XX; Li, YF; Cao, ZX; Li, YN; Cao, JY; Wang, Y; Li, M; Zheng, J; Peng, SQ; Shi, W; Wu, QQ; Yang, JL; Fang, YP; Zhang, AQ; Zhang, XL; Wang, B</t>
  </si>
  <si>
    <t>BackgroundCardiac valve calcification (CVC) is common in dialysis patients and associated with increased cardiovascular risk. However, early screening has been limited by cost concerns. This study aimed to develop and validate a machine learning model to enhance early detection of CVC.MethodsData were collected at four centers between 2020 and 2023, including 852 dialysis patients in the development dataset and 661 in the external validation dataset. Predictive factors were selected using LASSO regression combined with univariate and multivariate analyses. Machine learning models including CatBoost, XGBoost, decision tree, support vector machine, random forest, and logistic regression were used to develop the CVC risk model. Model performance was evaluated in both validation sets. Risk thresholds were defined using the Youden index and validated in the external dataset.ResultsIn the development dataset, 32.9% of patients were diagnosed with CVC. Age, dialysis duration, alkaline phosphatase, apolipoprotein A1, and intact parathyroid hormone were selected to construct the CVC risk prediction model. CatBoost exhibited the best performance in the training dataset. The logistic regression model demonstrated the best predictive performance in both internal and external validation sets, with AUROCs of 0.806 (95% CI 0.750-0.863) and 0.757 (95% CI 0.720-0.793), respectively. Calibration curves and decision curves confirmed its predictive accuracy and clinical applicability. The logistic regression model was selected as the optimal model and achieved excellent risk stratification in CVC risk prediction.ConclusionThe predictive model effectively identifies CVC risk in dialysis patients and offers a robust tool for early detection and improved management.</t>
  </si>
  <si>
    <t>Wang, Xiaoxu; Li, Yinfang; Cao, Zixin; Li, Yunuo; Cao, Jingyuan; Wang, Yao; Li, Min; Zheng, Jing; Peng, Siqi; Shi, Wen; Wu, Qianqian; Yang, Junlan; Fang, Yaping; Zhang, Aiqing; Zhang, Xiaoliang; Wang, Bin</t>
  </si>
  <si>
    <t>Zhang, XL; Wang, B (corresponding author), Southeast Univ, Zhongda Hosp, Dept Nephrol, Sch Med, 87 Ding Jia Qiao Rd, Nanjing, Jiangsu, Peoples R China.; Zhang, AQ (corresponding author), Nanjing Med Univ, Affiliated Hosp 4, Dept Pediat, 298 Nan Pu Rd, Nanjing, Jiangsu, Peoples R China.</t>
  </si>
  <si>
    <t>Young Scholars of yangtze River Scholar Professor Program; National natural Science Foundation of China [82470769]; Jiangsu Provincial Key Research and development Program [BE2023770]; Research Personnel Cultivation Programme of Zhongda Hospital Southeast university [CZXM-GSP-RC150]; Zhongda Hospital affiliated to Southeast university, Jiangsu Province High-level Hospital Pairing assistance Construction Funds [zdlyg02]; Foundation of Jiangsu Commission of Health [M2021048]; Basic Research Program of taizhou Clinical College of nanjing Medical university [tZKy20230101]; Changzhou Scitech Program [CJ20235084]; Science and technology Project of Changzhou Health Commission [Qy202304]; Top talent of Changzhou "the 14th Five-year Plan" High-level Health talents training Project [2024CZBJ005]; Changzhou Key Medical discipline [CZXK202204]; Leading talent of Changzhou "the 14th Five-year Plan" High-level Health talents training Project [2024CZlJ010]</t>
  </si>
  <si>
    <t>Young Scholars of yangtze River Scholar Professor Program; National natural Science Foundation of China (National Natural Science Foundation of China (NSFC)); Jiangsu Provincial Key Research and development Program; Research Personnel Cultivation Programme of Zhongda Hospital Southeast university; Zhongda Hospital affiliated to Southeast university, Jiangsu Province High-level Hospital Pairing assistance Construction Funds; Foundation of Jiangsu Commission of Health; Basic Research Program of taizhou Clinical College of nanjing Medical university; Changzhou Scitech Program; Science and technology Project of Changzhou Health Commission; Top talent of Changzhou "the 14th Five-year Plan" High-level Health talents training Project; Changzhou Key Medical discipline; Leading talent of Changzhou "the 14th Five-year Plan" High-level Health talents training Project</t>
  </si>
  <si>
    <t>this work was supported by young Scholars of yangtze River Scholar Professor Program (2023 BW); the national natural Science Foundation of China (no.82470769); Jiangsu Provincial Key Research and development Program (BE2023770); Research Personnel Cultivation Programme of Zhongda Hospital Southeast university (CZXM-GSP-RC150); Zhongda Hospital affiliated to Southeast university, Jiangsu Province High-level Hospital Pairing assistance Construction Funds (zdlyg02); the Foundation of Jiangsu Commission of Health (M2021048); Basic Research Program of taizhou Clinical College of nanjing Medical university (tZKy20230101); the Changzhou Sci&amp;tech Program (CJ20235084); the Science and technology Project of Changzhou Health Commission (Qy202304); the top talent of Changzhou "the 14th Five-year Plan" High-level Health talents training Project (2024CZBJ005); the Changzhou Key Medical discipline (CZXK202204); and the leading talent of Changzhou "the 14th Five-year Plan" High-level Health talents training Project (2024CZlJ010).</t>
  </si>
  <si>
    <t>[Wang, Xiaoxu; Cao, Zixin; Li, Yunuo; Zheng, Jing; Peng, Siqi; Shi, Wen; Wu, Qianqian; Yang, Junlan; Fang, Yaping; Zhang, Xiaoliang; Wang, Bin] Southeast Univ, Zhongda Hosp, Dept Nephrol, Sch Med, 87 Ding Jia Qiao Rd, Nanjing, Jiangsu, Peoples R China; [Li, Yinfang] Nanjing Med Univ, Affiliated Hosp 2, Sch Pediat, Dept Pediat, Nanjing, Peoples R China; [Cao, Jingyuan] Nanjing Med Univ, Affiliated Taizhou Peoples Hosp, Taizhou Sch Clin Med, Dept Nephrol, Nanjing, Peoples R China; [Wang, Yao] Yangzhou Univ, Dept Nephrol, Affiliated Hosp, Yangzhou, Peoples R China; [Li, Min] Soochow Univ, Affiliated Hosp 3, Dept Nephrol, Changzhou, Peoples R China; [Zheng, Jing] Southeast Univ, Sch Med, Zhongda Hosp, Dept Gerontol, Nanjing, Peoples R China; [Zhang, Aiqing] Nanjing Med Univ, Affiliated Hosp 4, Dept Pediat, 298 Nan Pu Rd, Nanjing, Jiangsu, Peoples R China</t>
  </si>
  <si>
    <t>Southeast University - China; Nanjing Medical University; Nanjing Medical University; Yangzhou University; Soochow University - China; Southeast University - China; Nanjing Medical University</t>
  </si>
  <si>
    <t>Development and external validation of a machine learning model for cardiac valve calcification early screening in dialysis patients: a multicenter study</t>
  </si>
  <si>
    <t>RENAL FAILURE</t>
  </si>
  <si>
    <t>Cardiac valve calcification; prediction; machine learning; independent risk factors; dialysis; cardiovascular</t>
  </si>
  <si>
    <t>CHRONIC KIDNEY-DISEASE; APOLIPOPROTEIN-A-I; C-REACTIVE PROTEIN; HEMODIALYSIS-PATIENTS; AORTIC-STENOSIS; RISK-FACTORS; CARDIOVASCULAR-DISEASE; PROGRESSION; MORTALITY; NOMOGRAM</t>
  </si>
  <si>
    <t>Wang, Bin/OCL-2838-2025; Wu, Qianqian/GSN-0298-2022</t>
  </si>
  <si>
    <t>TAYLOR &amp; FRANCIS LTD</t>
  </si>
  <si>
    <t>ABINGDON</t>
  </si>
  <si>
    <t>2-4 PARK SQUARE, MILTON PARK, ABINGDON OR14 4RN, OXON, ENGLAND</t>
  </si>
  <si>
    <t>0886-022X</t>
  </si>
  <si>
    <t>1525-6049</t>
  </si>
  <si>
    <t>Ren. Fail.</t>
  </si>
  <si>
    <t>DEC 31 2025</t>
  </si>
  <si>
    <t>2491656</t>
  </si>
  <si>
    <t>10.1080/0886022X.2025.2491656</t>
  </si>
  <si>
    <t>http://dx.doi.org/10.1080/0886022X.2025.2491656</t>
  </si>
  <si>
    <t>1XH7H</t>
  </si>
  <si>
    <t>40275572</t>
  </si>
  <si>
    <t>WOS:001475860300001</t>
  </si>
  <si>
    <t>Vattipally, VN; Kramer, P; Hao, CR; Elshareif, M; Khalilullah, T; Jo, J; Suarez, JI; Sakran, JV; Haut, ER; Huang, JDY; Bettegowda, C; Azad, TD</t>
  </si>
  <si>
    <t>Background: Surgical decisions for severe traumatic brain injury (TBI) are often made under prognostic uncertainty. Existing prognostic models predict overall outcomes but do not estimate how an individual's outcome might change with the decision to operate. Moreover, physiologic data such as vital signs are often collected but rarely used for such decision support. We aimed to develop and externally validate a machine learning-based decision model including vital sign data to estimate individualized benefit from cranial surgery and simulate patient-level outcomes. Methods: Adults with severe TBI (Glasgow Coma Scale &lt;= 8) were retrospectively identified in the TQIP database. The primary exposure was cranial surgery, and outcomes were favorable discharge disposition and inpatient mortality. Causal forest models estimated individualized treatment effects (ITEs) of surgery on favorable discharge, incorporating demographics, injury characteristics, and prehospital and emergency department vital signs. Random forest classifiers predicted counterfactual outcomes under surgery versus no surgery. Model discrimination, calibration, and optimism-corrected performance were assessed using nested cross-validation and bootstrap resampling. The optimal surgical decision threshold was identified by maximizing favorable discharge. External validation was performed using the Resuscitation Outcomes Consortium (ROC) TBI dataset. Results: Among 10,782 TQIP patients with severe TBI (median age, 48 years), 23% underwent cranial surgery. Incorporating vital signs into the causal forest model allowed for the estimation of more clearly-defined individualized treatment effects. Random forest models showed strong discrimination (favorable discharge AUC = 0.845; inpatient mortality AUC = 0.890) and good calibration. Implementing the surgical decision model increased simulated favorable discharge by 4.1% and reduced inpatient mortality by 13.1%. External validation in 182 ROC patients with TBI showed similar improvements (favorable discharge, 10.6% increase; inpatient mortality, 43.4% decrease). Conclusions: A causal forest-based decision model incorporating physiologic data enabled individualized surgical benefit estimation and improved simulated outcomes in severe TBI, supporting its potential for personalized, data-driven neurosurgical decision support.</t>
  </si>
  <si>
    <t>Vattipally, Vikas N.; Kramer, Patrick; Hao, Claire; Elshareif, Mazin; Khalilullah, Taha; Jo, Jacob; Suarez, Jose I.; Sakran, Joseph, V; Haut, Elliott R.; Huang, Judy; Bettegowda, Chetan; Azad, Tej D.</t>
  </si>
  <si>
    <t>Azad, TD (corresponding author), Johns Hopkins Univ, Sch Med, Dept Neurosurg, Baltimore, MD 21205 USA.</t>
  </si>
  <si>
    <t>tazad1@jhmi.edu</t>
  </si>
  <si>
    <t>[Vattipally, Vikas N.; Kramer, Patrick; Hao, Claire; Elshareif, Mazin; Khalilullah, Taha; Jo, Jacob; Huang, Judy; Bettegowda, Chetan; Azad, Tej D.] Johns Hopkins Univ, Sch Med, Dept Neurosurg, Baltimore, MD 21205 USA; [Suarez, Jose I.] Johns Hopkins Univ, Sch Med, Dept Anesthesiol &amp; Crit Care Med Neurol &amp; Neurosur, Div Neurosci Crit Care, Baltimore, MD USA; [Haut, Elliott R.] Johns Hopkins Univ, Sch Med, Dept Surg, Div Acute Care Surg, Baltimore, MD 21205 USA</t>
  </si>
  <si>
    <t>Johns Hopkins University; Johns Hopkins Medicine; Johns Hopkins University; Johns Hopkins Medicine; Johns Hopkins University; Johns Hopkins Medicine</t>
  </si>
  <si>
    <t>Physiology-informed machine learning for patient-level surgical decision-making in severe traumatic brain injury: Multicenter model development with external validation</t>
  </si>
  <si>
    <t>Traumatic brain injury; Machine learning; Causal forest; Surgical decision support; Personalized medicine</t>
  </si>
  <si>
    <t>PROGNOSTIC MODELS; COHORT</t>
  </si>
  <si>
    <t>112014</t>
  </si>
  <si>
    <t>10.1016/j.jocn.2026.112014</t>
  </si>
  <si>
    <t>http://dx.doi.org/10.1016/j.jocn.2026.112014</t>
  </si>
  <si>
    <t>GK0IQ</t>
  </si>
  <si>
    <t>41935444</t>
  </si>
  <si>
    <t>WOS:001738238800001</t>
  </si>
  <si>
    <t>Lu, JL; Yu, CT; Li, HB; Li, QX; Gao, Y; Wang, W; Wang, LW</t>
  </si>
  <si>
    <t>Background Non-variceal upper gastrointestinal bleeding (NVUGIB) poses significant mortality risk in critically ill patients, necessitating accurate early prognostic assessment for timely interventions. Recent advances in machine learning have demonstrated potential to significantly improve predictive performance compared to conventional clinical scores. Accordingly, this study aims to establish a machine learning model named NVUPreM to predict 30-day NVUGIB mortality and validate its superiority over traditional scoring systems. Methods This retrospective study derived data from the Medical Information Mart for Intensive Care IV (n = 2912) and the eICU Collaborative Research Database (n = 7,742) for model development and external validation, respectively. Predictors were selected via least absolute shrinkage and selection operator regression to minimize multicollinearity. Thirty-six machine learning algorithms were evaluated using tenfold cross-validation. The optimal model (NVUPreM) was compared against eight clinical scoring systems (AIMS65, Charlson, GBS, GCS, Admission-Rockall, SAPS II, SOFA) using the area under the receiver operating characteristic curve (AUC), calibration, decision curve analysis, and SHapley Additive exPlanations (SHAP) for interpretability. Results Among 2,329 eligible NVUGIB patients, 489 (21.0%) died within 30 days. The NVUPreM model demonstrated good discrimination (AUC= 0.876, [95% CI 0.846-0.907]) and sensitivity (0.86), showing consistently strong predictive performance among all models. In internal validation, the NVUPreM model outperformed all clinical scores as evidenced by superior AUCs (AIMS65: AUC = 0.693; Charlson: AUC = 0.636; GBS: AUC = 0.575; GCS: AUC = 0.707; NVUPreM: AUC = 0.876; Admission-Rockall: AUC = 0.633; SAPS II: AUC = 0.777; SOFA: AUC = 0.665), decision curve analysis and calibration curve. External validation in eICU confirmed the robustness of the NVUPreM model in terms of discrimination (AUC = 0.82, [95% CI 0.803-0.837]), calibration, and clinical application.The interpretability analysis illustrated the relative importance of individual predictors and their directional associations with 30-day mortality risk. Conclusion The NVUPreM model significantly outperforms existing clinical scores in predicting 30-day NVUGIB mortality, offering both accuracy and interpretability, which could assist clinicians in early high-risk patient identification and personalized intervention.</t>
  </si>
  <si>
    <t>Lu, Jialin; Yu, Chuting; Li, Hangbang; Li, Qiuxin; Gao, Ye; Wang, Wei; Wang, Luowei</t>
  </si>
  <si>
    <t>Wang, W; Wang, LW (corresponding author), Naval Med Univ, Mil Med Univ 2, Changhai Hosp, Dept Gastroenterol, 168 Changhai Rd, Shanghai 200433, Peoples R China.</t>
  </si>
  <si>
    <t>wangluoweimd@126.com; smmuww1981@163.com</t>
  </si>
  <si>
    <t>Shanghai Municipal Health Commission [202240357]</t>
  </si>
  <si>
    <t>Shanghai Municipal Health Commission</t>
  </si>
  <si>
    <t>[Lu, Jialin; Yu, Chuting; Li, Hangbang; Li, Qiuxin; Gao, Ye; Wang, Wei; Wang, Luowei] Naval Med Univ, Mil Med Univ 2, Changhai Hosp, Dept Gastroenterol, 168 Changhai Rd, Shanghai 200433, Peoples R China</t>
  </si>
  <si>
    <t>Explainable machine learning predicts mortality in critically ill patients with nonvariceal upper gastrointestinal bleeding: a MIMIC-IV study with external validation</t>
  </si>
  <si>
    <t>BMC GASTROENTEROLOGY</t>
  </si>
  <si>
    <t>Non-variceal upper gastrointestinal bleeding; Machine learning; Mortality prediction; Intensive care unit; Explainable artificial intelligence</t>
  </si>
  <si>
    <t>MISSING DATA; HEMORRHAGE; OUTCOMES; SCORE; CARE</t>
  </si>
  <si>
    <t>1471-230X</t>
  </si>
  <si>
    <t>BMC GASTROENTEROL</t>
  </si>
  <si>
    <t>BMC Gastroenterol.</t>
  </si>
  <si>
    <t>MAR 2 2026</t>
  </si>
  <si>
    <t>10.1186/s12876-026-04709-5</t>
  </si>
  <si>
    <t>http://dx.doi.org/10.1186/s12876-026-04709-5</t>
  </si>
  <si>
    <t>GE9WV</t>
  </si>
  <si>
    <t>41772438</t>
  </si>
  <si>
    <t>WOS:001734811000001</t>
  </si>
  <si>
    <t>Yi, XL; Zhang, YH; Cai, J; Hu, Y; Wen, K; Xie, P; Yin, N; Zhou, XD; Luo, H</t>
  </si>
  <si>
    <t>The accuracy of indices widely used to evaluate lung metastasis (LM) in patients with kidney cancer (KC) is insufficient. Therefore, we aimed at developing a model to estimate the risk of developing LM in KC based on a large population size and machine learning algorithms. Demographic and clinicopathologic variables of patients with KC diagnosed between 2004 and 2017 were retrospectively analyzed. We performed a univariate logistic regression analysis to identify risk factors for LM in patients with KC. Six machine learning (ML) classifiers were established and tuned using the ten-fold cross-validation method. External validation was performed using clinicopathologic information from 492 patients from the Southwest Hospital, Chongqing, China. Algorithm performance was estimated by analyzing the area under the receiver operating characteristic curve (AUC), accuracy, sensitivity, specificity, precision, recall, F1 score, clinical decision analysis (DCA), and clinical utility curve (CUC). A total of 52,714 eligible patients diagnosed with KC were enrolled, of whom 2,618 developed LM. Variables of age, sex, race, T stage, N stage, tumor size, histology, and grade were identified as important for the prediction of LM. The extreme gradient boosting (XGB) algorithm performed better than other models in both the internal validation (AUC: 0.913, sensitivity: 0.873, specificity: 0.809, and F1 score: 0.325) and the external validation (AUC: 0.904, sensitivity: 0.750, specificity: 0.878, and F1 score: 0.364). This study established a predictive model for LM in KC patients based on ML algorithms which showed high accuracy and applicative value. A web-based predictor was built using the XGB model to help clinicians make more rational and personalized decisions.</t>
  </si>
  <si>
    <t>Yi, Xinglin; Zhang, Yuhan; Cai, Juan; Hu, Yu; Wen, Kai; Xie, Pan; Yin, Na; Zhou, Xiangdong; Luo, Hu</t>
  </si>
  <si>
    <t>Luo, H (corresponding author), Army Med Univ, Affiliated Hosp 1, Dept Resp &amp; Crit Care Med, Chongqing, Peoples R China.</t>
  </si>
  <si>
    <t>814894773@qq.com; 670299083@qq.com; xiangdongzhou@126.com; 4893508@qq.com; 3125645173@qq.com; 13485545@qq.com; 731936287@qq.com; 502654405@qq.com; luohucy@163.com</t>
  </si>
  <si>
    <t>National Natural Science Foundation of China [81873606]; Chongqing Medical Scientific Research Project [2020FYYX012]</t>
  </si>
  <si>
    <t>National Natural Science Foundation of China (National Natural Science Foundation of China (NSFC)); Chongqing Medical Scientific Research Project</t>
  </si>
  <si>
    <t>AcknowledgmentsThe authors sincerely thank all authors who took part in this study. This work was supported by the National Natural Science Foundation of China (no. 81873606) and Chongqing Medical Scientific Research Project (no. 2020FYYX012).</t>
  </si>
  <si>
    <t>[Yi, Xinglin; Zhou, Xiangdong; Luo, Hu] Army Med Univ, Affiliated Hosp 1, Dept Resp &amp; Crit Care Med, Chongqing, Peoples R China; [Zhang, Yuhan; Cai, Juan; Hu, Yu; Wen, Kai; Xie, Pan; Yin, Na] Army Med Univ, Affiliated Hosp 1, Dept Renal Dialysis Ctr, Chongqing, Peoples R China</t>
  </si>
  <si>
    <t>Army Medical University; Army Medical University</t>
  </si>
  <si>
    <t>Development and External Validation of Machine Learning-Based Models for Predicting Lung Metastasis in Kidney Cancer: A Large Population-Based Study</t>
  </si>
  <si>
    <t>INTERNATIONAL JOURNAL OF CLINICAL PRACTICE</t>
  </si>
  <si>
    <t>CELL CARCINOMA PATIENTS; SURVIVAL</t>
  </si>
  <si>
    <t>Yi, Xinglin/0000-0001-9675-9043; Luo, Hu/0000-0002-2542-4024</t>
  </si>
  <si>
    <t>1368-5031</t>
  </si>
  <si>
    <t>1742-1241</t>
  </si>
  <si>
    <t>INT J CLIN PRACT</t>
  </si>
  <si>
    <t>Int. J. Clin. Pract.</t>
  </si>
  <si>
    <t>JUN 20 2023</t>
  </si>
  <si>
    <t>8001899</t>
  </si>
  <si>
    <t>10.1155/2023/8001899</t>
  </si>
  <si>
    <t>http://dx.doi.org/10.1155/2023/8001899</t>
  </si>
  <si>
    <t>Medicine, General &amp; Internal; Pharmacology &amp; Pharmacy</t>
  </si>
  <si>
    <t>General &amp; Internal Medicine; Pharmacology &amp; Pharmacy</t>
  </si>
  <si>
    <t>K6QY1</t>
  </si>
  <si>
    <t>37383704</t>
  </si>
  <si>
    <t>WOS:001017678400001</t>
  </si>
  <si>
    <t>Abudoubari, S; Tuersun, A; Mutailipu, S; Chen, WB; Li, QE; Nijiati, M; Zou, XG</t>
  </si>
  <si>
    <t>Objective We developed interpretable machine learning(ML) models to predict overall survival in bladder cancer patients. This approach aims to improve the interpretability and transparency of our modeling results.Methods We collected clinical and pathological information on bladder cancer patients from the SEER database, allocating it to training and validation sets in a 7:3 ratio. At the same time, we obtained an external validation cohort from Kashgar First People's Hospital in Xinjiang, China. We performed LASSO regression and Cox regression analyses to identify relevant risk factors and then combined these to develop CoxPH and six ML models: Random Survival Forest(RSF), Gradient Boosting with Component Linear(GLMboost), decision tree(dt), boosted tree(bt), DeepSurv, and neural multi-task logistic regression(NMTLR). We evaluated the predictive performance of these ML models using the consistency index (C-index), the area under the cumulative/dynamic curve (AUC) and the integrated Brier score and Kolmogorov-Smirnov(KS). For interpretability assessment, we employed three complementary methods: (1)time-dependent variable importance to quantify feature contribution across follow-up periods; (2)partial correlation survival plots to visualize individual variable effects; and (3)aggregated survival SHapley additive interpretation(SurvSHAP) plots with mean absolute deviation metrics to validate feature impact stability at both individual and population levels.Results The final ML model consists of 14 factors: the patient's age, AJCCStage, chemotherapy, Mstage, marital, Tstage, bone metastasis(BoneMets), stage, radiation, histology, liverMets, Nstage, sex. Our predictive models demonstrates significant discriminative ability, with the boosting tree model performing the best. The AUC for 1-year, 3-year, and 5-year overall survival (OS) was above 0.770 for the training set, validation set, and external validation set, respectively, with the overall Brier score consistently below 0.180. The interpretability analysis of the boosting trees model further indicated that AJCCStage, age, chemotherapy, stage, Mstage, marital were the most influential predictors via quantifiable SurvSHAP values and time-dependent importance weights, with their effects visually validated through partial correlation survival curves.Conclusions The boosting trees model prognostic model has the best performance and can be used to predict OS in bladder cancer patients, helping physicians to accurately assess patients' overall survival rates, and providing valuable and important references for patient diagnosis, treatment, and prognosis evaluation.</t>
  </si>
  <si>
    <t>Abudoubari, Saimaitikari; Tuersun, Abudouresuli; Mutailipu, Sailidan; Chen, Wenbin; Li, Qiange; Nijiati, Mayidili; Zou, Xiaoguang</t>
  </si>
  <si>
    <t>Nijiati, M; Zou, XG (corresponding author), First Peoples Hosp Kashi Prefecture, Xinjiang Key Lab Artificial Intelligence Assisted, 120, Yingbing Rd, Kashi, Xinjiang, Peoples R China.; Nijiati, M (corresponding author), First Peoples Hosp Kashi Prefecture, Dept Radiol, Kashi, Peoples R China.</t>
  </si>
  <si>
    <t>zxgks@163.com; 17399336301@163.com</t>
  </si>
  <si>
    <t>Xinjiang Key Laboratory of Artificial intelligence Assisted lmaging Diagnosis Fund [XJRGZN2024011]; National Natural Science Foundation of China Project [82360359]; National Science and Technology Innovation 2030- Major Project of "New Generation Artificial Intelligence" -Robust, Fair, and Trustworthy Comprehensive Evaluation System for Models [2022ZD0160705]; National Science and Technology Innovation 2030- Major Project of "New Generation Artificial Intelligence" [2022ZD0160700]</t>
  </si>
  <si>
    <t>Xinjiang Key Laboratory of Artificial intelligence Assisted lmaging Diagnosis Fund; National Natural Science Foundation of China Project (National Natural Science Foundation of China (NSFC)); National Science and Technology Innovation 2030- Major Project of "New Generation Artificial Intelligence" -Robust, Fair, and Trustworthy Comprehensive Evaluation System for Models; National Science and Technology Innovation 2030- Major Project of "New Generation Artificial Intelligence"</t>
  </si>
  <si>
    <t>This work was supported by The second group of the Tianshan Talent Training Program: The Youth Support Talent Project [grant number 2023TSYCQNTJ0009] Special Fund Project for Central Government-Guided Local Science and Technology Development [grant number 2024B0202010005, XW]; National Science and Technology Innovation 2030- Major Project of "New Generation Artificial Intelligence" [grant number 2022ZD0160700]; Robust, Fair, and Trustworthy Comprehensive Evaluation System for Models [grant number 2022ZD0160705]; National Natural Science Foundation of China Project [grant number 82360359]; Xinjiang Key Laboratory of Artificial intelligence Assisted lmaging Diagnosis Fund [grant number XJRGZN2024011].</t>
  </si>
  <si>
    <t>[Abudoubari, Saimaitikari; Tuersun, Abudouresuli; Nijiati, Mayidili; Zou, Xiaoguang] First Peoples Hosp Kashi Prefecture, Xinjiang Key Lab Artificial Intelligence Assisted, 120, Yingbing Rd, Kashi, Xinjiang, Peoples R China; [Abudoubari, Saimaitikari; Tuersun, Abudouresuli; Mutailipu, Sailidan; Nijiati, Mayidili] First Peoples Hosp Kashi Prefecture, Dept Radiol, Kashi, Peoples R China; [Chen, Wenbin] Shule Cty Peoples Hosp Kashgar Prefecture, Dept Radiol, Kashi, Peoples R China; [Li, Qiange] Dis Prevent &amp; Control Ctr Shache Cty, Kashi, Peoples R China</t>
  </si>
  <si>
    <t>Interpretable machine learning models for bladder cancer overall survival prediction development and external validation via SEER database and Chinese cohort analysis</t>
  </si>
  <si>
    <t>Bladder cancer; Interpretable machine learning; Overall survival; SurvSHAP</t>
  </si>
  <si>
    <t>Abudoubari, Saimaitikari/OTH-4862-2025</t>
  </si>
  <si>
    <t>MAY 20 2026</t>
  </si>
  <si>
    <t>1091</t>
  </si>
  <si>
    <t>10.1007/s12672-026-05099-6</t>
  </si>
  <si>
    <t>http://dx.doi.org/10.1007/s12672-026-05099-6</t>
  </si>
  <si>
    <t>LT4OY</t>
  </si>
  <si>
    <t>42159834</t>
  </si>
  <si>
    <t>WOS:001832821500001</t>
  </si>
  <si>
    <t>Chen, SF; Su, CC; Huang, CC; Ogink, PT; Yen, HK; Groot, OQ; Hu, MH</t>
  </si>
  <si>
    <t>Background/Purpose: Identifying patients at risk of prolonged opioid use after surgery prompts appropriate prescription and personalized treatment plans. The Skeletal Oncology Research Group machine learning algorithm (SORG-MLA) was developed to predict the risk of prolonged opioid use in opioid-naive patients after lumbar spine surgery. However, its utility in a distinct country remains unknown. Methods: A Taiwanese cohort containing 2795 patients who were 20 years or older undergoing primary surgery for lumbar decompression from 2010 to 2018 were used to validate the SORG-MLA. Discrimination (area under receiver operating characteristic curve [AUROC] and area under precision-recall curve [AUPRC]), calibration, overall performance (Brier score), and decision curve analysis were applied.Results: Among 2795 patients, the prolonged opioid prescription rate was 5.2%. The validation cohort were older, more inpatient disposition, and more common pharmaceutical history of NSAIDs. Despite the differences, the SORG-MLA provided a good discriminative ability (AUROC of 0.71 and AURPC of 0.36), a good overall performance (Brier score of 0.044 compared to that of 0.039 in the developmental cohort). However, the probability of prolonged opioid prescrip-tion tended to be overestimated (calibration intercept of-0.07 and calibration slope of 1.45). Decision curve analysis suggested greater clinical net benefit in a wide range of clinical scenarios.Conclusion: The SORG-MLA retained good discriminative abilities and overall performances in a geologically and medicolegally different region. It was suitable for predicting patients in risk of prolonged postoperative opioid use in Taiwan.Copyright 2023, Formosan Medical Association. Published by Elsevier Taiwan LLC. This is an open access article under the CC BY-NC-ND license (http://creativecommons.org/licenses/by-nc-nd/4.0/).</t>
  </si>
  <si>
    <t>Chen, Shin-Fu; Su, Chih-Chi; Huang, Chuan-Ching; Ogink, Paul T.; Yen, Hung-Kuan; Groot, Olivier Q.; Hu, Ming-Hsiao</t>
  </si>
  <si>
    <t>Hu, MH (corresponding author), Natl Taiwan Univ Hosp, Dept Orthopaed Surg, Touliu, Taiwan.</t>
  </si>
  <si>
    <t>ptogink@gmail.com; minghsiaohu@yahoo.com.tw; jimmysu0302@gmail.com; d06548023@ntu.edu.tw; oqgroot@gmail.com; b04401122@ntu.edu.tw; b05401016@ntu.edu.tw</t>
  </si>
  <si>
    <t>[Chen, Shin-Fu; Su, Chih-Chi; Huang, Chuan-Ching; Hu, Ming-Hsiao] Natl Taiwan Univ Hosp, Dept Orthopaed Surg, Touliu, Taiwan; [Chen, Shin-Fu; Su, Chih-Chi] Natl Taiwan Univ Hosp, Dept Med Educ, Taipei City, Taiwan; [Huang, Chuan-Ching] Natl Taiwan Univ, Coll Med, Dept Biomed Engn, Taipei, Taiwan; [Huang, Chuan-Ching] Natl Taiwan Univ, Coll Engn, Taipei, Taiwan; [Ogink, Paul T.; Groot, Olivier Q.] Univ Med Ctr Utrecht, Dept Orthopaed, Utrecht, Netherlands; [Yen, Hung-Kuan] Natl Taiwan Univ Hosp, Dept Orthopaed Surg, Hsin Chu Branch, Hsinchu, Taiwan; [Yen, Hung-Kuan] Natl Taiwan Univ Hosp, Dept Med Educ, Hsin Chu Branch, Hsinchu, Taiwan; [Groot, Olivier Q.] Massachusetts Gen Hosp, Dept Orthopaed Surg, Boston, MA 02114 USA; [Hu, Ming-Hsiao] Natl Taiwan Univ, Coll Med, Dept Orthoped, Taipei, Taiwan</t>
  </si>
  <si>
    <t>National Taiwan University; National Taiwan University Hospital; National Taiwan University; National Taiwan University Hospital; National Taiwan University; National Taiwan University; Utrecht University; Utrecht University Medical Center; National Taiwan University; National Taiwan University Hospital; National Taiwan University; National Taiwan University Hospital; Harvard University; Harvard University Medical Affiliates; Massachusetts General Hospital; National Taiwan University</t>
  </si>
  <si>
    <t>External validation of machine learning algorithm predicting prolonged opioid prescriptions in opioid-naive lumbar spine surgery patients using a Taiwanese cohort</t>
  </si>
  <si>
    <t>Asians; Machine learning; Opioid-related; Orthopedic; Validation study</t>
  </si>
  <si>
    <t>NONCANCER PAIN; MODELS; RISK; PERFORMANCE; ANALGESICS</t>
  </si>
  <si>
    <t>Huang, Chuan-Ching/0000-0002-8184-9860; SU, CHIH-CHI/0000-0002-0449-7400; HU, MING-HSIAO/0000-0001-8920-2052</t>
  </si>
  <si>
    <t>1321</t>
  </si>
  <si>
    <t>10.1016/j.jfma.2023.06.027</t>
  </si>
  <si>
    <t>http://dx.doi.org/10.1016/j.jfma.2023.06.027</t>
  </si>
  <si>
    <t>DN1W0</t>
  </si>
  <si>
    <t>37453900</t>
  </si>
  <si>
    <t>WOS:001132642300001</t>
  </si>
  <si>
    <t>Skalitzky, MK; Gulbrandsen, TR; Groot, OQ; Karhade, AV; Verlaan, JJ; Schwab, JH; Miller, BJ</t>
  </si>
  <si>
    <t>Background The prediction of survival is valuable to optimize treatment of metastatic long-bone disease. The Skeletal Oncology Research Group (SORG) machine-learning (ML) algorithm has been previously developed and internally validated. The purpose of this study was to determine if the SORG ML algorithm accurately predicts 90-day and 1-year survival in an external metastatic long-bone disease patient cohort. Methods A retrospective review of 264 patients who underwent surgery for long-bone metastases between 2003 and 2019 was performed. Variables used in the stochastic gradient boosting SORG algorithm were age, sex, primary tumor type, visceral/brain metastases, systemic therapy, and 10 preoperative laboratory values. Model performance was calculated by discrimination, calibration, and overall performance. Results The SORG ML algorithms retained good discriminative ability (area under the cure [AUC]: 0.83; 95% confidence interval [CI]: 0.76-0.88 for 90-day mortality and AUC: 0.84; 95% CI: 0.79-0.88 for 1-year mortality), calibration, overall performance, and decision curve analysis. Conclusion The previously developed ML algorithms demonstrated good performance in the current study, thereby providing external validation. The models were incorporated into an accessible application () that may be freely utilized by clinicians in helping predict survival for individual patients and assist in informative decision-making discussion before operative management of long bone metastatic lesions.</t>
  </si>
  <si>
    <t>Skalitzky, Mary Kate; Gulbrandsen, Trevor R.; Groot, Olivier Q.; Karhade, Aditya, V; Verlaan, Jorrit-Jan; Schwab, Joseph H.; Miller, Benjamin J.</t>
  </si>
  <si>
    <t>Gulbrandsen, TR (corresponding author), Univ Iowa Hosp &amp; Clin, Dept Orthopaed &amp; Rehabil, 200 Hawkins Dr, Iowa City, IA 52242 USA.</t>
  </si>
  <si>
    <t>trevor-gulbrandsen@uiowa.edu</t>
  </si>
  <si>
    <t>[Skalitzky, Mary Kate; Gulbrandsen, Trevor R.; Miller, Benjamin J.] Univ Iowa Hosp &amp; Clin, Dept Orthopaed &amp; Rehabil, 200 Hawkins Dr, Iowa City, IA 52242 USA; [Groot, Olivier Q.; Karhade, Aditya, V; Schwab, Joseph H.] Massachusetts Gen Hosp, Dept Orthopaed Surg, Orthopaed Oncol Serv, Boston, MA 02114 USA; [Groot, Olivier Q.; Verlaan, Jorrit-Jan] Univ Med Ctr Utrecht, Dept Orthopaed Surg, Utrecht, Netherlands</t>
  </si>
  <si>
    <t>University of Iowa; Massachusetts General Hospital; Harvard University; Harvard University Medical Affiliates; Massachusetts General Hospital; Utrecht University; Utrecht University Medical Center</t>
  </si>
  <si>
    <t>The preoperative machine learning algorithm for extremity metastatic disease can predict 90-day and 1-year survival: An external validation study</t>
  </si>
  <si>
    <t>JOURNAL OF SURGICAL ONCOLOGY</t>
  </si>
  <si>
    <t>bone metastases; machine learning; prognostication; survival</t>
  </si>
  <si>
    <t>CALIBRATION; MODELS; PROGNOSTICATION</t>
  </si>
  <si>
    <t>Miller, Benjamin/0000-0002-9319-1795; Schwab, Joseph/0000-0002-2059-7559; Gulbrandsen, Trevor/0000-0002-6108-3351; HUITRON, EFREN/0009-0008-2046-3359</t>
  </si>
  <si>
    <t>0022-4790</t>
  </si>
  <si>
    <t>1096-9098</t>
  </si>
  <si>
    <t>J SURG ONCOL</t>
  </si>
  <si>
    <t>J. Surg. Oncol.</t>
  </si>
  <si>
    <t>289</t>
  </si>
  <si>
    <t>10.1002/jso.26708</t>
  </si>
  <si>
    <t>http://dx.doi.org/10.1002/jso.26708</t>
  </si>
  <si>
    <t>YE3UB</t>
  </si>
  <si>
    <t>34608991</t>
  </si>
  <si>
    <t>WOS:000703451400001</t>
  </si>
  <si>
    <t>Van Dung, H; Tan, VM; Dieu, NT; Van Linh, P; Van Khai, N; Ngan, TT; Phuong, NTT</t>
  </si>
  <si>
    <t>BackgroundDrug-induced immune thrombocytopenia (DITP) is a rare but potentially life-threatening adverse drug reaction, often underrecognized due to its nonspecific presentation and the lack of real-time diagnostic tools. Early identification of at-risk patients is critical to improving medication safety and preventing severe complications.ObjectiveTo develop and externally validate a machine learning model for predicting the risk of DITP using routinely collected hospital data, and to optimize its clinical applicability through threshold adjustment.MethodsWe conducted a retrospective cohort study using electronic medical records from Hai Phong International Hospital (2018-2024) for model development and internal validation. An independent cohort from Hai Phong International Hospital - Vinh Bao (2024) served as external validation. Eligible patients received at least one drug previously implicated in DITP and had serial platelet counts. A Light Gradient Boosting Machine (LightGBM) model was trained on demographic, clinical, laboratory, and pharmacological features. Model performance was assessed using area under the ROC curve (AUC), accuracy, recall, and F1-score. Shapley Additive explanations (SHAP) were used to interpret feature contributions. Threshold tuning and decision curve analysis (DCA) supported clinical applicability.ResultsAmong 17,546 patients in the training cohort and 1,403 in the external cohort, DITP occurred in 432 (2.46%) and 70 (4.99%) patients, respectively. In internal validation, LightGBM achieved an AUC of 0.860, recall of 0.392, and F1-score of 0.310. External validation confirmed model robustness with an AUC of 0.813 and an F1-score of 0.341 at the optimized threshold (0.09). SHAP analysis identified AST, baseline platelet count, and renal function as key contributors. DCA and clinical impact curves demonstrated potential benefit in supporting real-time risk stratification. Clopidogrel and vancomycin were frequently associated with suspected DITP cases.ConclusionThis externally validated machine learning model enables early identification of hospitalized patients at risk of DITP using data available in routine care. Its integration into electronic medical records may support clinical decision-making, reduce diagnostic delays, and improve pharmacovigilance practices in hospital settings.</t>
  </si>
  <si>
    <t>Van Dung, Hoang; Tan, Vu Manh; Dieu, Nguyen Thi; Van Linh, Pham; Van Khai, Nguyen; Ngan, Tran Thi; Phuong, Nguyen Thi Thu</t>
  </si>
  <si>
    <t>Phuong, NTT (corresponding author), Hai Phong Univ Med &amp; Pharm, Fac Pharm, 72A Nguyen Binh Khiem, Haiphong 180000, Vietnam.; Phuong, NTT (corresponding author), Hai Phong Int Hosp, Dept Pharm, Haiphong 180000, Vietnam.</t>
  </si>
  <si>
    <t>nttphuong@hpmu.edu.vn</t>
  </si>
  <si>
    <t>Hai Phong University of Medicine and Pharmacy for our Biomedical - Pharmaceutical Sciences Research Group</t>
  </si>
  <si>
    <t>The authors would like to express their gratitude to the clinical pharmacology and hematology teams at Hai Phong International Hospital and Hai Phong International Hospital-Vinh Bao for their expert adjudication of DITP cases. We also acknowledge the support of the Hospital IT Department in facilitating access to electronic medical records for research purposes. Furthermore, we greatly appreciate the invaluable support provided by Hai Phong University of Medicine and Pharmacy for our Biomedical - Pharmaceutical Sciences Research Group in this endeavor.</t>
  </si>
  <si>
    <t>[Van Dung, Hoang] Hai Phong Int Hosp, Dept Internal Med, Haiphong 180000, Vietnam; [Van Dung, Hoang; Tan, Vu Manh] Hai Phong Univ Med &amp; Pharm, Dept Internal Med, Haiphong 180000, Vietnam; [Tan, Vu Manh] Viet Tiep Friendship Hosp, Dept Cardiol, Haiphong 180000, Vietnam; [Dieu, Nguyen Thi] Hai Phong Int Hosp Vinh Bao, Dept Pharm, Haiphong 180000, Vietnam; [Van Linh, Pham] Hai Phong Univ Med &amp; Pharm, Dept Pathol &amp; Immunol, Haiphong 180000, Vietnam; [Van Khai, Nguyen] Hai Phong Univ Med &amp; Pharm, Fac Publ Hlth, Haiphong 180000, Vietnam; [Ngan, Tran Thi; Phuong, Nguyen Thi Thu] Hai Phong Univ Med &amp; Pharm, Fac Pharm, 72A Nguyen Binh Khiem, Haiphong 180000, Vietnam; [Ngan, Tran Thi; Phuong, Nguyen Thi Thu] Hai Phong Int Hosp, Dept Pharm, Haiphong 180000, Vietnam</t>
  </si>
  <si>
    <t>Development and external validation of a machine learning model for predicting drug-induced immune thrombocytopenia in a real-world hospital cohort</t>
  </si>
  <si>
    <t>Drug-induced immune thrombocytopenia (DITP); Machine learning; LightGBM; External validation; Pharmacovigilance; Clinical prediction model; Adverse drug reaction</t>
  </si>
  <si>
    <t>Thi Thu Phuong, Nguyen/IUM-3045-2023</t>
  </si>
  <si>
    <t>Thi Thu Phuong, Nguyen/0000-0003-0523-0852</t>
  </si>
  <si>
    <t>JUL 15 2025</t>
  </si>
  <si>
    <t>265</t>
  </si>
  <si>
    <t>10.1186/s12911-025-03107-3</t>
  </si>
  <si>
    <t>http://dx.doi.org/10.1186/s12911-025-03107-3</t>
  </si>
  <si>
    <t>4YT2I</t>
  </si>
  <si>
    <t>40665302</t>
  </si>
  <si>
    <t>WOS:001529864500006</t>
  </si>
  <si>
    <t>van den Berg, I; Soeterik, TFW; van der Hoeven, EJRJ; Claassen, B; Brink, WM; Baas, DJH; Sedelaar, JPM; Heine, L; Tol, J; van Zyp, JRNV; van den Berg, CAT; van den Bergh, RCN; van Basten, JPA; van Melick, HHE</t>
  </si>
  <si>
    <t>Simple Summary The use of artificial intelligence algorithms can improve the prediction of lesion-specific histopathological extraprostatic extension (EPE) on MRI in prostate cancer patients. A lesion-specific prediction model can be helpful in counseling patients for radical prostatectomy and adequate preoperative information of the exact location of EPE may contribute to a total removal of the prostate cancer.Abstract Adequate detection of the histopathological extraprostatic extension (EPE) of prostate cancer (PCa) remains a challenge using conventional radiomics on 3 Tesla multiparametric magnetic resonance imaging (3T mpMRI). This study focuses on the assessment of artificial intelligence (AI)-driven models with innovative MRI radiomics in predicting EPE of prostate cancer (PCa) at a lesion-specific level. With a dataset encompassing 994 lesions from 794 PCa patients who underwent robot-assisted radical prostatectomy (RARP) at two Dutch hospitals, the study establishes and validates three classification models. The models were validated on an internal validation cohort of 162 lesions and an external validation cohort of 189 lesions in terms of discrimination, calibration, net benefit, and comparison to radiology reporting. Notably, the achieved AUCs ranged from 0.86 to 0.91 at the lesion-specific level, demonstrating the superior accuracy of the random forest model over conventional radiological reporting. At the external test cohort, the random forest model was the best-calibrated model and demonstrated a significantly higher accuracy compared to radiological reporting (83% vs. 67%, p = 0.02). In conclusion, an AI-powered model that includes both existing and novel MRI radiomics improves the detection of lesion-specific EPE in prostate cancer.</t>
  </si>
  <si>
    <t>van den Berg, Ingeborg; Soeterik, Timo F. W.; van der Hoeven, Erik J. R. J.; Claassen, Bart; Brink, Wyger M.; Baas, Diederik J. H.; Sedelaar, J. P. Michiel; Heine, Lizette; Tol, Jim; van Zyp, Jochem R. N. van der Voort; van den Berg, Cornelis A. T.; van den Bergh, Roderick C. N.; van Basten, Jean-Paul A.; van Melick, Harm H. E.</t>
  </si>
  <si>
    <t>van den Berg, I (corresponding author), St Antonius Hosp, Dept Urol, NL-3435 CM Nieuwegein, Netherlands.; van den Berg, I (corresponding author), Univ Med Ctr Utrecht, Dept Radiat Oncol, Div Imaging &amp; Oncol, NL-3584 CX Utrecht, Netherlands.; van den Berg, I (corresponding author), Univ Twente, Tech Med Ctr, Magnet Detect &amp; Imaging Grp, NL-7522 NH Enschede, Netherlands.</t>
  </si>
  <si>
    <t>i.vandenberg-8@umcutrecht.nl</t>
  </si>
  <si>
    <t>[van den Berg, Ingeborg; Soeterik, Timo F. W.; van den Bergh, Roderick C. N.; van Melick, Harm H. E.] St Antonius Hosp, Dept Urol, NL-3435 CM Nieuwegein, Netherlands; [van den Berg, Ingeborg; Soeterik, Timo F. W.; van Zyp, Jochem R. N. van der Voort; van den Berg, Cornelis A. T.] Univ Med Ctr Utrecht, Dept Radiat Oncol, Div Imaging &amp; Oncol, NL-3584 CX Utrecht, Netherlands; [van den Berg, Ingeborg; Brink, Wyger M.] Univ Twente, Tech Med Ctr, Magnet Detect &amp; Imaging Grp, NL-7522 NH Enschede, Netherlands; [van der Hoeven, Erik J. R. J.] St Antonius Hosp, Dept Radiol, NL-3435 CM Nieuwegein, Netherlands; [Claassen, Bart] Canisius Wilhelmina Hosp, Dept Radiol, NL-7522 NH Nijmegen, Netherlands; [Baas, Diederik J. H.; van Basten, Jean-Paul A.] Canisius Wilhelmina Hosp, Dept Urol, NL-7522 NH Nijmegen, Netherlands; [Sedelaar, J. P. Michiel; van Basten, Jean-Paul A.] Radboud Univ Nijmegen, Med Ctr, Dept Urol, NL-6525 GA Nijmegen, Netherlands; [Heine, Lizette; Tol, Jim] RadNets Div, Quantib BV, NL-3012 KM Rotterdam, Netherlands</t>
  </si>
  <si>
    <t>St. Antonius Hospital Utrecht; Utrecht University; Utrecht University Medical Center; University of Twente; St. Antonius Hospital Utrecht; Canisius-Wilhelmina Hospital; Canisius-Wilhelmina Hospital; Radboud University Nijmegen</t>
  </si>
  <si>
    <t>The Development and External Validation of Artificial Intelligence-Driven MRI-Based Models to Improve Prediction of Lesion-Specific Extraprostatic Extension in Patients with Prostate Cancer</t>
  </si>
  <si>
    <t>artificial intelligence; extraprostatic extension (EPE); machine learning; magnetic resonance imaging (MRI); prostate cancer (PCa); radiomics</t>
  </si>
  <si>
    <t>RADICAL PROSTATECTOMY; RISK</t>
  </si>
  <si>
    <t>Sedelaar, Michiel/L-4643-2015; van den Bergh, Roderick/AAP-7811-2021</t>
  </si>
  <si>
    <t>Baas, Diederik/0000-0003-0505-4449; Heine, Lizette/0000-0003-1369-8199; Soeterik, Timo/0000-0002-0259-8750; Sedelaar, Michiel/0000-0002-3768-7374; Brink, Wyger/0000-0001-9974-7662; , jochem/0000-0002-9070-9878</t>
  </si>
  <si>
    <t>5452</t>
  </si>
  <si>
    <t>10.3390/cancers15225452</t>
  </si>
  <si>
    <t>http://dx.doi.org/10.3390/cancers15225452</t>
  </si>
  <si>
    <t>AJ5B2</t>
  </si>
  <si>
    <t>38001712</t>
  </si>
  <si>
    <t>WOS:001118101400001</t>
  </si>
  <si>
    <t>Spina, AC; Yang, CD; Jain, A; Ha, C; Chen, LE; Yee, P; Lin, KY</t>
  </si>
  <si>
    <t>Objective: To clinically validate a convolutional neural network (CNN)-based Android smartphone app in the identification of topical glaucoma medications for patients with glaucoma and impaired vision. Design: Nonrandomized prospective crossover study. Participants: The study population included a total of 20 non-English-speaking (11 Spanish and 9 Vietnamese) and 21 English-speaking patients who presented to an academic glaucoma clinic from December 2023 through September 2024. Patients with poor vision were selected on the basis of visual acuity (VA) of 20/70 or worse in 1 eye as per the California Department of Motor Vehicles' driver's license screening standard. Intervention: Enrolled subjects participated in a medication identification activity in which they identified a set of 6 topical glaucoma medications presented in a randomized order. Subjects first identified half of the medications without the CNN-based app. They then identified the remaining half of the medications with the app. Responses to a standardized ease-of-use survey were collected before and after using the app. Main Outcome Measures: Primary quantitative outcomes from the medication identification activity were accuracy and time. Primary qualitative outcomes from the ease-of-use survey were subjective ratings of ease of smartphone app use. Results: The CNN-based mobile app achieved a mean average precision of 98.8% and recall of 97.2%. Identifi-cation accuracy significantly improved from 27.6% without the app to 99.2% with the app across all participants, with no significant change in identification time. This observed improvement in accuracy was similar among non-Englishspeaking (71.6%) and English-speaking (71.4%) participants. The odds ratio (OR) for identification accuracy with the app was 319.353 (P &lt; 0.001), with substantial improvement in both non-English-speaking (OR 1/4 162.779, P &lt; 0.001) and English-speaking (no applicable OR given 100% identification accuracy) participants. Survey data indicated that 81% of English speakers and 30% of non-English speakers found the app "very easy" to use, with the overall ease of use strongly associating with improved accuracy. Conclusions: The CNN-based mobile app significantly improves medication identification accuracy in patients with glaucomatous vision loss without increasing the time to identification. This tool has the potential to enhance adherence in both English-and non-English-speaking populations and offers a practical adjunct to daily medication management for patients with glaucoma and low VA.</t>
  </si>
  <si>
    <t>Spina, Aidin C.; Yang, Christopher D.; Jain, Ayush; Ha, Christine; Chen, Lauren E.; Yee, Philina; Lin, Ken Y.</t>
  </si>
  <si>
    <t>Lin, KY (corresponding author), Univ Calif Irvine, Gavin Herbert Eye Inst, 850 Hlth Sci Rd, Irvine, CA 92697 USA.</t>
  </si>
  <si>
    <t>linky@uci.edu</t>
  </si>
  <si>
    <t>Mentoring for Advancement of Physician Scientists (MAPS) [T35DK128788]; American Glaucoma Society; Research to Prevent Blindness</t>
  </si>
  <si>
    <t>Mentoring for Advancement of Physician Scientists (MAPS); American Glaucoma Society; Research to Prevent Blindness (Research to Prevent Blindness (RPB))</t>
  </si>
  <si>
    <t>The research reported in this manuscript was supported by the Institute for Clinical and Translational Science of the National Institutes of Health under award number T35DK128788. K.Y.L. received funding from the Mentoring for Advancement of Physician Scientists (MAPS) as well as the Clinician Scientist Award grants from the American Glaucoma Society. The authors also acknowledge a Research to Prevent Blindness unrestricted departmental grant (K.Y.L.) . The content in this manuscript is solely the responsibility of the authors and does not represent the official views of the National Institutes of Health, the American Glaucoma Society, or Research to Prevent Blindness.r award number T35DK128788. K.Y.L. received funding from the Mentoring for Advancement of Physician Scientists (MAPS) as well as the Clinician Scientist Award grants from the American Glaucoma Society. The authors also acknowledge a Research to Prevent Blindness unrestricted departmental grant (K.Y.L.) . The content in this manuscript is solely the responsibility of the authors and does not represent the official views of the National Institutes of Health, the American Glaucoma Society, or Research to Prevent Blindness.</t>
  </si>
  <si>
    <t>[Spina, Aidin C.; Yang, Christopher D.; Lin, Ken Y.] Univ Calif Irvine, Sch Med, Irvine, CA USA; [Spina, Aidin C.; Yang, Christopher D.; Ha, Christine; Chen, Lauren E.; Yee, Philina; Lin, Ken Y.] Univ Calif Irvine, Gavin Herbert Eye Inst, Dept Ophthalmol, Irvine, CA USA; [Jain, Ayush] Univ Calif Irvine, Dept Comp Sci, Irvine, CA USA; [Lin, Ken Y.] Univ Calif Irvine, Dept Biomed Engn, Irvine, CA USA</t>
  </si>
  <si>
    <t>Deep Learning-Driven Glaucoma Medication Bottle Recognition: A Multilingual Clinical Validation Study in Patients with Impaired Vision</t>
  </si>
  <si>
    <t>OPHTHALMOLOGY SCIENCE</t>
  </si>
  <si>
    <t>Annual Meeting of the American-Academy-of-Ophthalmology (AAO)</t>
  </si>
  <si>
    <t>OCT 18-21, 2024</t>
  </si>
  <si>
    <t>Chicago, IL</t>
  </si>
  <si>
    <t>Amer Acad Ophthalmol</t>
  </si>
  <si>
    <t>Clinical validation; Artificial intelligence; Convolutional neural network; Glaucoma medication; Medication compliance</t>
  </si>
  <si>
    <t>CAP COLOR; ADHERENCE</t>
  </si>
  <si>
    <t>Lin, Ken/0000-0002-6467-7219; Spina, Aidin/0000-0003-3994-9646; Yang, Christopher/0000-0002-2090-1880</t>
  </si>
  <si>
    <t>2666-9145</t>
  </si>
  <si>
    <t>OPHTHALMOL SCI</t>
  </si>
  <si>
    <t>Ophthalmol. Sci.</t>
  </si>
  <si>
    <t>100758</t>
  </si>
  <si>
    <t>10.1016/j.xops.2025.100758</t>
  </si>
  <si>
    <t>http://dx.doi.org/10.1016/j.xops.2025.100758</t>
  </si>
  <si>
    <t>1OG3Z</t>
  </si>
  <si>
    <t>40256318</t>
  </si>
  <si>
    <t>WOS:001469730700001</t>
  </si>
  <si>
    <t>Mai, HN; Kang, SH; Go, H; Choi, YH; Park, EY; Kim, EK</t>
  </si>
  <si>
    <t>AimEvaluating dental plaque is a fundamental task for periodontal health care, but it is subjective, time-consuming, and cumbersome. Therefore, this study aimed to develop and validate a web-based deep learning application capable of objectively quantifying tooth plaque in fluorescence images by calculating the plaque-tooth area ratio.MethodsA total of 2,490 fluorescence image of the Lingual surfaces of mandibular anterior teeth from 498 participants were used to train and test a YOLO v11 model with optimized hyperparameters for detecting tooth and plaque. After the model was developed, 30 additional participants were recruited, and their fluorescence image were evaluated for clinical validation by calculating the plaque-tooth area ratio. A web application was developed for clinical use, and validation compared AI predictions with clinical ratings via intraclass correlation coefficient analysis.ResultsThe deep learning model accurately detected and segmented teeth and dental plaque, with F1 scores of 0.81 for both tasks. Mean average precision at an intersection over union threshold of 0.50 (mAP50) was 0.83 and 0.84, respectively. The model achieved average precision scores of 0.969 for teeth and 0.706 for plaque, with an overall mAP50 of 0.838. Clinical validation showed strong agreement with expert assessments (ICC = 0.947) and a 97.9% reduction in evaluation time.ConclusionsThe web application demonstrated high accuracy in identifying and quantifying tooth plaque objectively in fluorescence images, supporting its potential as an oral hygiene assessment tool for the prevention of periodontal disease.Clinical significanceThis deep learning-based web application offers an effective, and objectively scalable solution for dental plaque quantification, enhancing diagnostic precision and supporting timely periodontal intervention. Its integration into clinical workflows might improve treatment planning, promote patient compliance, and enable standardised monitoring of oral hygiene status, ultimately contributing to improved periodontal outcomes.</t>
  </si>
  <si>
    <t>Mai, Hang-Nga; Kang, Sohee; Go, Hyeonjeong; Choi, Youn-Hee; Park, Eun Young; Kim, Eun-Kyong</t>
  </si>
  <si>
    <t>Kim, EK (corresponding author), Kyungpook Natl Univ, Sch Dent, Dept Prevent Dent, 2177 Dalgubeol Daero, Daegu 41944, South Korea.</t>
  </si>
  <si>
    <t>ekkim99@knu.ac.kr</t>
  </si>
  <si>
    <t>National Research Foundation of Korea (NRF) grant - Korea government (MSIT) [RS-2024-00333398]</t>
  </si>
  <si>
    <t>National Research Foundation of Korea (NRF) grant - Korea government (MSIT) (National Research Foundation of Korea)</t>
  </si>
  <si>
    <t>This work was supported by the National Research Foundation of Korea (NRF) grant funded by the Korea government (MSIT) (No. RS-2024-00333398).</t>
  </si>
  <si>
    <t>[Mai, Hang-Nga; Choi, Youn-Hee] Kyungpook Natl Univ, Inst Translat Res Dent, Daegu, South Korea; [Mai, Hang-Nga] Hanoi Univ Business &amp; Technol, Dent Sch, Hanoi, Vietnam; [Kang, Sohee; Park, Eun Young] Yeungnam Univ, Coll Med, Dept Dent, Daegu, South Korea; [Go, Hyeonjeong; Choi, Youn-Hee; Kim, Eun-Kyong] Kyungpook Natl Univ, Sch Dent, Dept Prevent Dent, 2177 Dalgubeol Daero, Daegu 41944, South Korea</t>
  </si>
  <si>
    <t>Kyungpook National University (KNU); Yeungnam University; Kyungpook National University (KNU)</t>
  </si>
  <si>
    <t>Clinical validation of a deep learning based application for quantitative assessment of dental plaque in fluorescence imaging</t>
  </si>
  <si>
    <t>Deep learning; Web application; Automated quantification; Dental plaque; Fluorescence images</t>
  </si>
  <si>
    <t>Mai, Hang-Nga/Q-9865-2018</t>
  </si>
  <si>
    <t>SEP 16 2025</t>
  </si>
  <si>
    <t>457</t>
  </si>
  <si>
    <t>10.1007/s00784-025-06550-8</t>
  </si>
  <si>
    <t>http://dx.doi.org/10.1007/s00784-025-06550-8</t>
  </si>
  <si>
    <t>7LM8Y</t>
  </si>
  <si>
    <t>40956351</t>
  </si>
  <si>
    <t>WOS:001573865100004</t>
  </si>
  <si>
    <t>Sim, T; Cho, EY; Kim, JH; Lee, KH; Kim, KJ; Hahn, S; Ha, EY; Yun, E; Kim, IC; Park, SH; Cho, CH; Yu, GI; Ahn, BE; Jeong, Y; Won, JY; Cho, H; Lee, KB</t>
  </si>
  <si>
    <t>Background: Acute deterioration of patients in general wards often leads to major adverse events (MAEs), including unplanned intensive care unit transfers, cardiac arrest, or death. Traditional early warning scores (EWSs) have shown limited predictive accuracy, with frequent false positives. We conducted a prospective observational external validation study of an artificial intelligence (AI) based EWS, the VitalCare-Major Adverse Event Score (VC-MAES), at a tertiary medical center in the Republic of Korea. Methods: Adult patients from general wards, including internal medicine (IM) and obstetrics and gynecology (OBGYN)-the latter were rarely investigated in prior AI-based EWS studies-were included. The VC-MAES predictions were compared with National Early Warning Score (NEWS) and Modified Early Warning Score (MEWS) predictions using the area under the receiver operating characteristic curve (AUROC), area under the precision-recall curve (AUPRC), and logistic regression for baseline EWS values. False-positives per true positive (FPpTP) were assessed based on the power threshold. Results: Of 6,039 encounters, 217 (3.6%) had MAEs (IM: 9.5%, OBGYN: 0.26%). Six hours prior to MAEs, the VC-MAES achieved an AUROC of 0.918 and an AUPRC of 0.352, including the OBGYN subgroup (AUROC, 0.964; AUPRC, 0.388), outperforming the NEWS (0.797 and 0.124) and MEWS (0.722 and 0.079). The FPpTP was reduced by up to 71%. Baseline VC-MAES was strongly associated with MAEs (P&lt;0.001). Conclusions: The VC-MAES significantly outperformed traditional EWSs in predicting adverse events in general ward patients. The robust performance and lower FPpTP suggest that broader adoption of the VC-MAES may improve clinical efficiency and resource allocation in general wards.</t>
  </si>
  <si>
    <t>Sim, Taeyong; Cho, Eun Young; Kim, Ji-hyun; Lee, Kyung Hyun; Kim, Kwang Joon; Hahn, Sangchul; Ha, Eun Yeong; Yun, Eunkyeong; Kim, In-Cheol; Park, Sun Hyo; Cho, Chi-Heum; Yu, Gyeong Im; Ahn, Byung Eun; Jeong, Yeeun; Won, Joo-Yun; Cho, Hochan; Lee, Ki-Byung</t>
  </si>
  <si>
    <t>Lee, KB (corresponding author), AITRICS Corp, Seoul, South Korea.; Lee, KB (corresponding author), Hallym Univ, Chuncheon Sacred Heart Hosp, Med Ctr, Dept Internal Med, AP Tower 13F,218 Teheran ro, Seoul 24253, South Korea.</t>
  </si>
  <si>
    <t>hasej@aitrics.com</t>
  </si>
  <si>
    <t>Ministry of Health and Welfare, Korea Health Industry Development Institute; Daegu Metropolitan City</t>
  </si>
  <si>
    <t>This study was financially and administratively supported by the Ministry of Health and Welfare, Korea Health Industry Development Institute, and Daegu Metropolitan City.</t>
  </si>
  <si>
    <t>[Sim, Taeyong; Cho, Eun Young; Kim, Ji-hyun; Lee, Kyung Hyun; Kim, Kwang Joon; Hahn, Sangchul; Yun, Eunkyeong; Ahn, Byung Eun; Jeong, Yeeun; Won, Joo-Yun; Lee, Ki-Byung] AITRICS Corp, Seoul, South Korea; [Kim, Kwang Joon] Yonsei Univ, Coll Med, Dept Internal Med, Div Geriatr, Seoul, South Korea; [Ha, Eun Yeong; Yu, Gyeong Im; Cho, Hochan] Keimyung Univ, Dongsan Hosp, Sch Med, Dept Internal Med, Daegu, South Korea; [Kim, In-Cheol] Keimyung Univ, Dongsan Hosp, Dept Internal Med, Div Cardiol,Sch Med, Daegu, South Korea; [Park, Sun Hyo] Kyungpook Natl Univ, Sch Med, Dept Internal Med, Div Pulm &amp; Crit Care Med, Daegu, South Korea; [Cho, Chi-Heum] Keimyung Univ, Dongsan Hosp, Sch Med, Dept Obstet &amp; Gynecol, Daegu, South Korea; [Lee, Ki-Byung] Hallym Univ, Chuncheon Sacred Heart Hosp, Dept Internal Med, Div Pulm Allergy &amp; Crit Care Med, Anyang, South Korea</t>
  </si>
  <si>
    <t>Yonsei University; Yonsei University Health System; Keimyung University; Keimyung University; Kyungpook National University (KNU); Keimyung University; Hallym University</t>
  </si>
  <si>
    <t>Prospective external validation of a deep-learning-based early-warning system for major adverse events in general wards in South Korea</t>
  </si>
  <si>
    <t>ACUTE AND CRITICAL CARE</t>
  </si>
  <si>
    <t>adverse events; artificial intelligence; clinical decision support system; deep learning; early warning score</t>
  </si>
  <si>
    <t>SCORES</t>
  </si>
  <si>
    <t>SIM, TAEYONG/KMA-4972-2024; Lee, Kyung Hyun/IAP-4685-2023; Kim, Kwang Joon/JDM-7657-2023</t>
  </si>
  <si>
    <t>Jeong, Yeeun/0009-0007-8063-2233; Lee, Ki-Byung/0000-0001-9106-5528; Hahn, Sangchul/0000-0003-2428-9534; Lee, Kyung Hyun/0000-0002-7010-5284; KIM, Ji-hyun/0000-0003-2701-4317; Kim, In-Cheol/0000-0002-5751-2328; Ha, Eun Yeong/0000-0002-9534-4329; Eunkyeong, Yun/0000-0002-2274-0806</t>
  </si>
  <si>
    <t>KOREAN SOC CRITICAL CARE MEDICINE</t>
  </si>
  <si>
    <t>806 YONG SEONG BIZTEL BLDG, 109 HANGANG-DAERO, YONGSAN-GU, SEOUL, 04376, SOUTH KOREA</t>
  </si>
  <si>
    <t>2586-6052</t>
  </si>
  <si>
    <t>2586-6060</t>
  </si>
  <si>
    <t>ACUTE CRIT CARE</t>
  </si>
  <si>
    <t>Acute Crit. Care</t>
  </si>
  <si>
    <t>10.4266/acc.000525</t>
  </si>
  <si>
    <t>http://dx.doi.org/10.4266/acc.000525</t>
  </si>
  <si>
    <t>3IK0P</t>
  </si>
  <si>
    <t>40494595</t>
  </si>
  <si>
    <t>WOS:001501086200005</t>
  </si>
  <si>
    <t>Bacchi, S; Gilbert, T; Gluck, S; Cheng, J; Tan, YR; Chim, I; Jannes, J; Kleinig, T; Koblar, S</t>
  </si>
  <si>
    <t>Machine learning, in particular deep learning, may be able to assist in the prediction of the length of stay and timing of discharge for individual patients. Artificial neural networks applied to medical text have previously shown promise in this area. In this study, a previously derived artificial neural network was applied to prospective and external validation datasets. In the prediction of discharge within the next 2 days, when the algorithm was applied to prospective and external datasets, the area under the receiver operator curve for this task were 0.78 and 0.74, respectively. The performance in the prediction of discharge within the next 7 days was more limited (area under the receiver operator curve 0.68 and 0.67). This study has shown that in prospective and external validation datasets the previously derived deep learning algorithms have demonstrated moderate performance in the prediction of which patients will be discharged within the next 2 days. Future studies may seek to further refine or evaluate the effect of the implementation of such algorithms.</t>
  </si>
  <si>
    <t>Bacchi, Stephen; Gilbert, Toby; Gluck, Samuel; Cheng, Joy; Tan, Yiran; Chim, Ivana; Jannes, Jim; Kleinig, Timothy; Koblar, Simon</t>
  </si>
  <si>
    <t>Bacchi, S (corresponding author), Royal Adelaide Hosp, Port Rd, Adelaide, SA 5000, Australia.; Bacchi, S (corresponding author), Univ Adelaide, Fac Hlth &amp; Med Sci, Sch Med, Adelaide, SA 5005, Australia.</t>
  </si>
  <si>
    <t>[Bacchi, Stephen; Gilbert, Toby; Cheng, Joy; Tan, Yiran; Chim, Ivana; Jannes, Jim; Kleinig, Timothy; Koblar, Simon] Royal Adelaide Hosp, Port Rd, Adelaide, SA 5000, Australia; [Bacchi, Stephen; Gluck, Samuel; Tan, Yiran; Jannes, Jim; Kleinig, Timothy; Koblar, Simon] Univ Adelaide, Fac Hlth &amp; Med Sci, Sch Med, Adelaide, SA 5005, Australia</t>
  </si>
  <si>
    <t>Royal Adelaide Hospital; Adelaide University; University of Adelaide</t>
  </si>
  <si>
    <t>Daily estimates of individual discharge likelihood with deep learning natural language processing in general medicine: a prospective and external validation study</t>
  </si>
  <si>
    <t>INTERNAL AND EMERGENCY MEDICINE</t>
  </si>
  <si>
    <t>Length of stay; Artificial intelligence; Neural network; Natural language processing</t>
  </si>
  <si>
    <t>CLINICAL DECISION RULES</t>
  </si>
  <si>
    <t>Gilbert, Toby/ABI-7078-2020; Jannes, Jim/O-7906-2018; Gluck, Samuel/H-7841-2019; kleinig, Timothy/AFP-4371-2022</t>
  </si>
  <si>
    <t>Gluck, Samuel/0000-0001-7883-517X; kleinig, Timothy/0000-0003-4430-3276; Bacchi, Stephen/0000-0001-5130-8628</t>
  </si>
  <si>
    <t>1828-0447</t>
  </si>
  <si>
    <t>1970-9366</t>
  </si>
  <si>
    <t>INTERN EMERG MED</t>
  </si>
  <si>
    <t>Intern. Emerg. Med.</t>
  </si>
  <si>
    <t>411</t>
  </si>
  <si>
    <t>415</t>
  </si>
  <si>
    <t>10.1007/s11739-021-02816-7</t>
  </si>
  <si>
    <t>http://dx.doi.org/10.1007/s11739-021-02816-7</t>
  </si>
  <si>
    <t>0B9MX</t>
  </si>
  <si>
    <t>34333736</t>
  </si>
  <si>
    <t>WOS:000679755700001</t>
  </si>
  <si>
    <t>Yan, QQ; Wei, Y; Cheng, ZH; Xue, Z; Shi, F; Yang, S; Zhang, ZY; Yan, FH; Shan, F</t>
  </si>
  <si>
    <t>Purpose: To develop and validate a deep learning (DL) model for preoperative prediction of lymph node metastasis (LNM) in clinical T1-stage lung adenocarcinoma (LUAD), and to compare its performance with conventional semantic and radiomics signatures. Methods: This multicenter retrospective study enrolled 2503 patients with 2568 pathologically confirmed cT1-stage LUAD nodules from eight institutions. Data from six centers (1994 patients/2059 nodules) were randomly divided into training (1600 patients/1664 nodules) and internal test (394 patients/395 nodules) cohorts. Two independent external validation cohorts (Set-1: 283 patients/nodules; Set-2: 226 patients/nodules) were included. Three predictive models were developed as follows: 1) a semantic model incorporating spiculation, pleural traction, air bronchogram, and vacuole signs; 2) a radiomics model; and 3) ResLNM-a residual network-based DL model. Diagnostic performance was evaluated using the area under the receiver operating characteristic curve (AUC) and decision curve analysis (DCA). Results: Both ResLNM and radiomics models significantly outperformed the semantic model in predicting LNM (AUC range: 0.71-0.85 and 0.72-0.84 vs. 0.58-0.74, respectively; P &lt; 0.05). While ResLNM demonstrated comparable performance to the radiomics model in the internal test set (AUC: 0.85, 0.81-0.89 vs. 0.84, 0.80-0.88; P = 0.624) and external validation set-2 (0.71, 0.63-0.79 vs. 0.72, 0.64-0.80; P = 0.472), it achieved superior accuracy in external validation set-1 (0.82, 0.76-0.88 vs. 0.77, 0.71-0.83; P = 0.039). DCA confirmed the clinical superiority of ResLNM. Notably, integrating ResLNM with either semantic or radiomics signatures provided no incremental value (P &gt; 0.05), whereas incorporating radiologically mediastinal enlarged lymph node status (short-axis diameter &gt;= 10 mm) significantly enhanced predictive performance, achieving AUCs of 0.88 (95%CI:0.85-0.92), 0.89 (95%CI:0.84-0.94), and 0.76 (95%CI:0.68-0.83) in the test set and two validation cohorts, respectively. Conclusion: The ResLNM model provides a clinically feasible tool for preoperative LNM prediction in cT1-stage LUAD, outperforming conventional semantic and radiomics approaches. Its performance can be further optimized by integrating routinely available lymph node size criteria, offering potential to refine surgical decision-making and reduce overtreatment. (c) 2025 The Association of Academic Radiology. Published by Elsevier Inc.</t>
  </si>
  <si>
    <t>Yan, Qinqin; Wei, Ying; Cheng, Zenghui; Xue, Zhong; Shi, Feng; Yang, Shan; Zhang, Zhiyong; Yan, Fuhua; Shan, Fei</t>
  </si>
  <si>
    <t>Shan, F (corresponding author), Fudan Univ, Shanghai Publ Hlth Clin Ctr, Dept Radiol, 2901 Caolang Rd, Shanghai 201508, Peoples R China.</t>
  </si>
  <si>
    <t>shanfei_2901@163.com</t>
  </si>
  <si>
    <t>National Natural Science Foundation of China [82172030]; Shanghai Shen Kang Hospital Development Center to Promote Clinical Skills and Innovation [SHDC2020CR3080B]; Shanghai Medical College, Fudan University [HR-FDMS-PT2024-SF-1]</t>
  </si>
  <si>
    <t>National Natural Science Foundation of China (National Natural Science Foundation of China (NSFC)); Shanghai Shen Kang Hospital Development Center to Promote Clinical Skills and Innovation; Shanghai Medical College, Fudan University</t>
  </si>
  <si>
    <t>We are grateful for the funding support from the National Natural Science Foundation of China (General Program) (No. 82172030) , the three-year Action Plan (2020-2022) of Shanghai Shen Kang Hospital Development Center to Promote Clinical Skills and Innovation (No. SHDC2020CR3080B) and the 2024 Clinical Scientist Training Program Funding of Shanghai Medical College, Fudan University (No. HR-FDMS-PT2024-SF-1) .</t>
  </si>
  <si>
    <t>[Yan, Qinqin; Cheng, Zenghui; Yan, Fuhua] Shanghai Jiao Tong Univ, Ruijin Hosp, Dept Radiol, Sch Med, 197 Ruijin Second Rd, Shanghai 200025, Peoples R China; [Yan, Qinqin; Shan, Fei] Fudan Univ, Shanghai Publ Hlth Clin Ctr, Dept Radiol, 2901 Caolang Rd, Shanghai 201508, Peoples R China; [Wei, Ying; Xue, Zhong; Shi, Feng] Shanghai United Imaging Intelligence Co Ltd, Dept Res &amp; Dev, 701 Yunjin Rd, Shanghai 200232, Peoples R China; [Yang, Shan; Zhang, Zhiyong] Fudan Univ, Zhongshan Hosp, Dept Radiol, 180 Fenglin Rd, Shanghai 200032, Peoples R China</t>
  </si>
  <si>
    <t>Shanghai Jiao Tong University; Fudan University; Fudan University</t>
  </si>
  <si>
    <t>A Deep Learning Model for Preoperative Prediction of Lymph Node Metastasis in cT1-Stage Lung Adenocarcinoma: A Multicenter External Validation Study</t>
  </si>
  <si>
    <t>Lymph node metastasis; Lung adenocarcinoma; Deep learning; Radiomics; Prediction</t>
  </si>
  <si>
    <t>PART-SOLID NODULES; INVOLVEMENT; TOMOGRAPHY; RESECTION; FEATURES; CANCER; CT</t>
  </si>
  <si>
    <t>Cheng, Zenghui/AAK-4739-2020</t>
  </si>
  <si>
    <t>Qinqin, Yan/0000-0001-5181-2023</t>
  </si>
  <si>
    <t>6272</t>
  </si>
  <si>
    <t>6283</t>
  </si>
  <si>
    <t>10.1016/j.acra.2025.06.001</t>
  </si>
  <si>
    <t>http://dx.doi.org/10.1016/j.acra.2025.06.001</t>
  </si>
  <si>
    <t>8JL7H</t>
  </si>
  <si>
    <t>40651922</t>
  </si>
  <si>
    <t>WOS:001590129500027</t>
  </si>
  <si>
    <t>Udomluck, P; Cholamjiak, W; Inpun, J; Waratamrongpatai, W</t>
  </si>
  <si>
    <t>Background/Objectives: Accurate and reproducible grading of lumbar spinal stenosis (LSS) is clinically critical for guiding treatment decisions and patient management, yet manual assessment remains challenging due to imaging variability and inter-observer subjectivity. To address these limitations, this study aimed to evaluate the generalizability of deep learning-based feature extraction methods-VGG19, ConvNeXt-Tiny, and DINOv2-combined with classical machine learning classifiers for automated multi-grade LSS assessment. Automated grading enables objective, reproducible, and scalable assessment of lumbar spinal stenosis severity, addressing key limitations of manual interpretation. Methods: Axial MRI images were processed using pretrained VGG19, ConvNeXt-Tiny, and DINOv2 models to extract deep features. Logistic Regression, Support Vector Machine (SVM), and LightGBM were trained on internal datasets and externally validated using MRI data from the University of Phayao Hospital. Performance was assessed using accuracy, precision, recall, F1-score, confusion matrices, and multi-class ROC curves. Results: VGG19-based features yielded the strongest external performance, with Logistic Regression achieving the highest accuracy (0.9556) and F1-score (0.9558). External validation further demonstrated excellent discrimination, with AUC values ranging from 0.994 to 1.000 across all severity grades. SVM (0.9333 accuracy) and LightGBM (0.9222 accuracy) also performed well. ConvNeXt-Tiny showed stable cross-model performance, while DINOv2 features exhibited reduced generalizability, especially with LightGBM (accuracy 0.6222). Most classification errors occurred between adjacent grades. Conclusions: Deep convolutional features-particularly VGG19-combined with classical machine learning classifiers provide robust and generalizable LSS grading across external MRI data. Despite advances in modern architectures, CNN-based feature extraction remains highly effective for spinal imaging and represents a practical pathway for clinical decision support.</t>
  </si>
  <si>
    <t>Udomluck, Phatcharapon; Cholamjiak, Watcharaporn; Inpun, Jakkaphong; Waratamrongpatai, Waragunt</t>
  </si>
  <si>
    <t>Waratamrongpatai, W (corresponding author), Univ Phayao, Sch Med, Phayao 56000, Thailand.</t>
  </si>
  <si>
    <t>jakkaphong.564343@gmail.com; watcharaporn.ch@up.ac.th; phatcharapon.ud@up.ac.th; waragunt@hotmail.com</t>
  </si>
  <si>
    <t>Thailand Science Research and Innovation Fund [2253/2568]; School of Medicine, University of Phayao [MD68-22]</t>
  </si>
  <si>
    <t>This study was supported by the revenue budget in 2025, School of Medicine, University of Phayao (Grant No. MD68-22) and Thailand Science Research and Innovation Fund (Fundamental Fund 2026, Grant No. 2253/2568).</t>
  </si>
  <si>
    <t>[Udomluck, Phatcharapon; Waratamrongpatai, Waragunt] Univ Phayao, Sch Med, Phayao 56000, Thailand; [Cholamjiak, Watcharaporn] Univ Phayao, Sch Sci, Phayao 56000, Thailand; [Inpun, Jakkaphong] Univ Phayao, Sch Informat &amp; Commun Technol, Phayao 56000, Thailand</t>
  </si>
  <si>
    <t>University of Phayao; University of Phayao; University of Phayao</t>
  </si>
  <si>
    <t>Multi-Task Deep Learning Model for Automated Detection and Severity Grading of Lumbar Spinal Stenosis on MRI: Multi-Center External Validation</t>
  </si>
  <si>
    <t>DISEASES</t>
  </si>
  <si>
    <t>lumbar spinal stenosis; deep feature extraction; machine learning; external validation; MRI imaging</t>
  </si>
  <si>
    <t>DISC DEGENERATION; CLASSIFICATION; PERFORMANCE</t>
  </si>
  <si>
    <t>2079-9721</t>
  </si>
  <si>
    <t>DISEASES-BASEL</t>
  </si>
  <si>
    <t>Diseases</t>
  </si>
  <si>
    <t>JAN 14 2026</t>
  </si>
  <si>
    <t>10.3390/diseases14010032</t>
  </si>
  <si>
    <t>http://dx.doi.org/10.3390/diseases14010032</t>
  </si>
  <si>
    <t>CP5LN</t>
  </si>
  <si>
    <t>41590247</t>
  </si>
  <si>
    <t>WOS:001671365000001</t>
  </si>
  <si>
    <t>He, Z; Qiu, JJ; Du, CL; Yin, J; Zhang, XH; Ren, YL; Wang, YF; Suolang, L; Li, CY; Zhang, ZJ; Cai, DM; Lao, QC</t>
  </si>
  <si>
    <t>Background Hepatic echinococcosis is a zoonotic parasitic disease common in remote, resource-limited pastoral regions. It mainly appears as cystic echinococcosis (CE), due to Echinococcus granulosus, and alveolar echinococcosis (AE), caused by multilocular Echinococcus species. CE can lead to biliary colic or vascular compression, while AE often mimics liver cancer and exhibits high long-term mortality. Although ultrasonography is the diagnostic method of choice, its accuracy is affected by imaging artifacts and operator variability. Conventional deep learning models are often computationally heavy and lack interpretability, limiting their use in underdeveloped areas. Integrating frequency- and spatial-domain features in a lightweight framework offers a promising solution for efficient segmentation and classification of hepatic echinococcosis. The aim of this study is to develop efficient deep learning models for hepatic echinococcosis segmentation and classification, facilitating large-scale screening with non-invasive, portable ultrasound imaging.Methods This study utilized a large ultrasound dataset to train and evaluate a deep learning model, consisting of 20,112 images from 4437 patients in Shiqu County, Sichuan Province, China, an endemic area for hepatic echinococcosis. To further assess the model's robustness, an external dataset comprising 3340 images from 1123 patients at West China Hospital of Sichuan University was used for additional testing. By enhancing the correlation of image features in both the frequency and spatial domains for hepatic echinococcosis ultrasound images, and incorporating segmentation features to assist the classification task, the developed model achieves high efficiency and lightness.Results The proposed model achieved a Dice coefficient of 80.67% and 78.12% for segmentation, and classification accuracy of 90.10% and 80.96% on the internal and external test sets, respectively. Compared to the lightweight state-of-the-art (SOTA) model, it improves inference speed by 43.48% and increases classification accuracy by 8.89% and 16.32% on internal and external test sets, respectively. Compared to the standard SOTA model, it is only 8% of its size but boosts inference speed by 821.37%, with classification accuracy improvements of 3.65% and 4.57% on internal and external test sets, respectively.Conclusions The proposed model offers efficient and accurate hepatic echinococcosis diagnosis, with a lightweight design suitable for both resource-limited and advanced clinical settings.</t>
  </si>
  <si>
    <t>He, Zhu; Qiu, Jiajun; Du, Chenlin; Yin, Jin; Zhang, Xuhui; Ren, Yelei; Wang, Yifei; Suolang, Lamu; Li, Chunyang; Zhang, Zongjiu; Cai, Diming; Lao, Qicheng</t>
  </si>
  <si>
    <t>Lao, QC (corresponding author), Beijing Univ Posts &amp; Telecommun, Sch Artificial Intelligence, Beijing, Peoples R China.; Cai, DM (corresponding author), Sichuan Univ, West China Hosp, Dept Med Ultrasound, Chengdu, Peoples R China.; Lao, QC (corresponding author), Shanghai Artificial Intelligence Lab, Shanghai, Peoples R China.</t>
  </si>
  <si>
    <t>qicheng.lao@bupt.edu.cn; doccai@163.com</t>
  </si>
  <si>
    <t>Science and Technology Department of Sichuan Province [2020YFS0576]; National Health Commission of the People's Republic of China [2021WZK1002]</t>
  </si>
  <si>
    <t>Science and Technology Department of Sichuan Province; National Health Commission of the People's Republic of China</t>
  </si>
  <si>
    <t>The authors have nothing to report.</t>
  </si>
  <si>
    <t>[He, Zhu; Lao, Qicheng] Beijing Univ Posts &amp; Telecommun, Sch Artificial Intelligence, Beijing, Peoples R China; [Qiu, Jiajun; Yin, Jin; Li, Chunyang] Sichuan Univ, West China Hosp, Dept Med Ultrasound, Chengdu, Peoples R China; [Qiu, Jiajun; Yin, Jin; Li, Chunyang] Sichuan Univ, West China Hosp, West China Biomed Big Data Ctr, Chengdu, Peoples R China; [Qiu, Jiajun; Yin, Jin; Li, Chunyang] Sichuan Univ, Med X Ctr Informat, Chengdu, Peoples R China; [Du, Chenlin] Peking Univ Sch &amp; Hosp Stomatol, Dept Geriatr Dent, Beijing, Peoples R China; [Du, Chenlin] Natl Ctr Stomatol, Beijing, Peoples R China; [Du, Chenlin] Natl Clin Res Ctr Oral Dis, Beijing, Peoples R China; [Du, Chenlin] Natl Engn Res Ctr Oral Biomat &amp; Digital Med Device, Beijing, Peoples R China; [Zhang, Xuhui; Ren, Yelei; Wang, Yifei; Cai, Diming] Sichuan Univ, West China Hosp, Dept Med Ultrasound, Chengdu, Peoples R China; [Suolang, Lamu] Ctr Dis Control &amp; Prevent, Lhasa, Xizang Autonomo, Peoples R China; [Zhang, Zongjiu] Tsinghua Univ, Inst Hosp Management, Tsinghua Med, Beijing, Peoples R China; [Lao, Qicheng] Shanghai Artificial Intelligence Lab, Shanghai, Peoples R China</t>
  </si>
  <si>
    <t>Beijing University of Posts &amp; Telecommunications; Sichuan University; Sichuan University; Sichuan University; Peking University; Sichuan University; Chinese Center for Disease Control &amp; Prevention; Tsinghua University; Tsinghua Shenzhen International Graduate School; Shanghai Artificial Intelligence Laboratory</t>
  </si>
  <si>
    <t>Development and External Validation of an Efficient Deep Learning Model for Lesion Segmentation and Subtyping of Hepatic Echinococcosis in Ultrasound Imaging</t>
  </si>
  <si>
    <t>HEALTH CARE SCIENCE</t>
  </si>
  <si>
    <t>classification; deep learning; hepatic echinococcosis; segmentation; ultrasound image</t>
  </si>
  <si>
    <t>LARGE-SCALE; MULTICENTER; TRANSFORMER; ATTENTION</t>
  </si>
  <si>
    <t>He, Zhu/0000-0001-5069-1311</t>
  </si>
  <si>
    <t>2771-1749</t>
  </si>
  <si>
    <t>2771-1757</t>
  </si>
  <si>
    <t>HEALTH CARE SCI</t>
  </si>
  <si>
    <t>Health Care Sci.</t>
  </si>
  <si>
    <t>284</t>
  </si>
  <si>
    <t>298</t>
  </si>
  <si>
    <t>10.1002/hcs2.70077</t>
  </si>
  <si>
    <t>http://dx.doi.org/10.1002/hcs2.70077</t>
  </si>
  <si>
    <t>Health Care Sciences &amp; Services</t>
  </si>
  <si>
    <t>MQ8CO</t>
  </si>
  <si>
    <t>42499638</t>
  </si>
  <si>
    <t>WOS:001768438100001</t>
  </si>
  <si>
    <t>Tariciotti, L; Ferlito, D; Caccavella, VM; Di Cristofori, A; Fiore, G; Remore, LG; Giordano, M; Remoli, G; Bertani, G; Borsa, S; Pluderi, M; Remida, P; Basso, G; Giussani, C; Locatelli, M; Carrabba, G</t>
  </si>
  <si>
    <t>(1) Background: Neuroimaging differentiation of glioblastoma, primary central nervous system lymphoma (PCNSL) and solitary brain metastasis (BM) represents a diagnostic and therapeutic challenge in neurosurgical practice, expanding the burden of care and exposing patients to additional risks related to further invasive procedures and treatment delays. In addition, atypical cases and overlapping features have not been entirely addressed by modern diagnostic research. The aim of this study was to validate a previously designed and internally validated ResNet101 deep learning model to differentiate glioblastomas, PCNSLs and BMs. (2) Methods: We enrolled 126 patients (glioblastoma: n = 64; PCNSL: n = 27; BM: n = 35) with preoperative T1Gd-MRI scans and histopathological confirmation. Each lesion was segmented, and all regions of interest were exported in a DICOM dataset. A pre-trained ResNet101 deep neural network model implemented in a previous work on 121 patients was externally validated on the current cohort to differentiate glioblastomas, PCNSLs and BMs on T1Gd-MRI scans. (3) Results: The model achieved optimal classification performance in distinguishing PCNSLs (AUC: 0.73; 95%CI: 0.62-0.85), glioblastomas (AUC: 0.78; 95%CI: 0.71-0.87) and moderate to low ability in differentiating BMs (AUC: 0.63; 95%CI: 0.52-0.76). The performance of expert neuro-radiologists on conventional plus advanced MR imaging, assessed by retrospectively reviewing the diagnostic reports of the selected cohort of patients, was found superior in accuracy for BMs (89.69%) and not inferior for PCNSL (82.90%) and glioblastomas (84.09%). (4) Conclusions: We investigated whether the previously published deep learning model was generalizable to an external population recruited at a different institution-this validation confirmed the consistency of the model and laid the groundwork for future clinical applications in brain tumour classification. This artificial intelligence-based model might represent a valuable educational resource and, if largely replicated on prospective data, help physicians differentiate glioblastomas, PCNSL and solitary BMs, especially in settings with limited resources.</t>
  </si>
  <si>
    <t>Tariciotti, Leonardo; Ferlito, Davide; Caccavella, Valerio M.; Di Cristofori, Andrea; Fiore, Giorgio; Remore, Luigi G.; Giordano, Martina; Remoli, Giulia; Bertani, Giulio; Borsa, Stefano; Pluderi, Mauro; Remida, Paolo; Basso, Gianpaolo; Giussani, Carlo; Locatelli, Marco; Carrabba, Giorgio</t>
  </si>
  <si>
    <t>Tariciotti, L (corresponding author), Fdn IRCCS Ca Granda Osped Maggiore Policlin, Unit Neurosurg, I-20122 Milan, Italy.; Tariciotti, L (corresponding author), Univ Milan, Dept Oncol &amp; Hematooncol, I-20122 Milan, Italy.</t>
  </si>
  <si>
    <t>leonardotariciottimd@gmail.com</t>
  </si>
  <si>
    <t>[Tariciotti, Leonardo; Fiore, Giorgio; Remore, Luigi G.; Bertani, Giulio; Borsa, Stefano; Pluderi, Mauro; Locatelli, Marco] Fdn IRCCS Ca Granda Osped Maggiore Policlin, Unit Neurosurg, I-20122 Milan, Italy; [Tariciotti, Leonardo; Caccavella, Valerio M.; Fiore, Giorgio; Remore, Luigi G.; Giordano, Martina] Univ Milan, Dept Oncol &amp; Hematooncol, I-20122 Milan, Italy; [Ferlito, Davide; Di Cristofori, Andrea; Giussani, Carlo; Carrabba, Giorgio] Azienda Socio Sanit Terr Monza, Osped San Gerardo, Unit Neurosurg, I-20900 Monza, Italy; [Ferlito, Davide; Remoli, Giulia; Basso, Gianpaolo; Giussani, Carlo; Carrabba, Giorgio] Univ Milano Bicocca, Sch Med &amp; Surg, I-20900 Monza, Italy; [Remida, Paolo; Basso, Gianpaolo] Azienda Socio Sanit Terr Monza, Osped San Gerardo, Unit Neuroradiol, I-20900 Monza, Italy; [Locatelli, Marco] Univ Milan, Dept Pathophysiol &amp; Transplantat, I-20122 Milan, Italy</t>
  </si>
  <si>
    <t>IRCCS Ca Granda Ospedale Maggiore Policlinico; University of Milan; San Gerardo Hospital; University of Milano-Bicocca; San Gerardo Hospital; University of Milan</t>
  </si>
  <si>
    <t>A Deep Learning Model for Preoperative Differentiation of Glioblastoma, Brain Metastasis, and Primary Central Nervous System Lymphoma: An External Validation Study</t>
  </si>
  <si>
    <t>NEUROSCI</t>
  </si>
  <si>
    <t>brain metastases; deep learning; glioblastoma; machine learning; primary central nervous system lymphoma</t>
  </si>
  <si>
    <t>TUMOR</t>
  </si>
  <si>
    <t>Tariciotti, Leonardo/AGI-7194-2022; Giussani, Carlo/Q-6271-2016; Basso, Gianpaolo/A-9208-2012; Remore, Luigi Gianmaria/LTE-9525-2024; Fiore, Giorgio/IYT-3441-2023; Bertani, Giulio Anea/ABD-8401-2021; Carrabba, Giorgio/AAB-3925-2019; pluderi, mauro/AGF-6499-2022</t>
  </si>
  <si>
    <t>Tariciotti, Leonardo/0000-0002-5942-6677; Basso, Gianpaolo/0000-0002-6245-9402; Remore, Luigi Gianmaria/0000-0003-4118-9009; Fiore, Giorgio/0000-0003-4550-3675; locatelli, marco/0000-0003-0778-3653; Di Cristofori, Andrea/0000-0002-6148-1894; Bertani, Giulio Anea/0000-0003-1470-3391; Borsa, Stefano/0000-0001-7393-892X; Ferlito, Davide/0000-0001-9296-0268</t>
  </si>
  <si>
    <t>2673-4087</t>
  </si>
  <si>
    <t>NEUROSCI-BASEL</t>
  </si>
  <si>
    <t>NeuroSci</t>
  </si>
  <si>
    <t>10.3390/neurosci4010003</t>
  </si>
  <si>
    <t>http://dx.doi.org/10.3390/neurosci4010003</t>
  </si>
  <si>
    <t>AT5C2</t>
  </si>
  <si>
    <t>WOS:001120709900001</t>
  </si>
  <si>
    <t>Vanderbecq, Q; Xia, WF; Chouzenoux, E; Smaily, D; Pesquet, JC; Zins, M; Wagner, M</t>
  </si>
  <si>
    <t>This study aims to develop and externally validate a multimodal AI model for detecting ischemia complicating small-bowel obstruction (SBO). We combined 3D CT data with routine laboratory markers (C-reactive protein, neutrophil count) and, optionally, radiology report indication/history text. From two centers, 1350 CT examinations were curated; 771 confirmed SBO scans were used for model development with patient-level splits. Ischemia labels were defined by surgical confirmation within 24 h of imaging. Models (MViT, ResNet-101, DaViT) were trained as unimodal and multimodal variants. External testing was used for 66 independent cases from a third center. Four radiologists (two residents and two experts) read the test set with and without AI assistance. Performance was assessed using AUC, sensitivity, specificity, and 95% bootstrap confidence intervals; predictions included a confidence score. The image-plus-laboratory model performed best on external testing (AUC 0.69 [0.59-0.79], sensitivity 0.89 [0.76-1.00], and specificity 0.44 [0.35-0.54]). Adding report text improved internal validation but did not generalize externally; image + text and full multimodal variants did not exceed image + laboratory performance. Across readers, baseline AUC ranged from 0.496 [0.361-0.640] to 0.745 [0.589-0.875] and increased with reader experience. With AI assistance, AUC ranged from 0.565 [0.419-0.717] to 0.845 [0.714-0.952] and from 0.519 [0.373-0.669] to 0.845 [0.708-0.954] when confidence scores were displayed, showing consistent but non-significant changes whatever the experience level. A multimodal model combining CT and lab data surpassed unimodal approaches for 24-h ischemia detection; as a triage-support tool, it showed a consistent but non-significant improvement in radiologist performance.</t>
  </si>
  <si>
    <t>Vanderbecq, Quentin; Xia, Wen Fan; Chouzenoux, Emilie; Smaily, Dima; Pesquet, Jean-Christophe; Zins, Marc; Wagner, Mathilde</t>
  </si>
  <si>
    <t>Vanderbecq, Q (corresponding author), St Antoine Hosp, AP HP Sorbonne, Dept Radiol, 184 Rue Faubourg St Antoine, F-75012 Paris, France.; Vanderbecq, Q (corresponding author), Univ Sorbonne, CNRS, INSERM,U114615, LLIB,UMR 7371, Rue Ecole Med, F-75006 Paris, France.</t>
  </si>
  <si>
    <t>q.vanderbecq@gmail.com</t>
  </si>
  <si>
    <t>Sorbonne Center for Artificial Intelligence (SCAI) of Sorbonne University under the IDEX SUPER program [11-IDEX-0004]</t>
  </si>
  <si>
    <t>Sorbonne Center for Artificial Intelligence (SCAI) of Sorbonne University under the IDEX SUPER program</t>
  </si>
  <si>
    <t>This work was supported by the Sorbonne Center for Artificial Intelligence (SCAI) of Sorbonne University under the IDEX SUPER program (11-IDEX-0004).</t>
  </si>
  <si>
    <t>[Vanderbecq, Quentin; Xia, Wen Fan; Smaily, Dima; Wagner, Mathilde] St Antoine Hosp, AP HP Sorbonne, Dept Radiol, 184 Rue Faubourg St Antoine, F-75012 Paris, France; [Vanderbecq, Quentin; Wagner, Mathilde] Univ Sorbonne, CNRS, INSERM,U114615, LLIB,UMR 7371, Rue Ecole Med, F-75006 Paris, France; [Chouzenoux, Emilie; Pesquet, Jean-Christophe] Univ Paris Saclay, INRIA Paris Saclay, CentraleSupelec, CVN, Gif Sur Yvette, France; [Zins, Marc] St Joseph Hosp, Dept Med Imaging, 185 Rue Raymond Losserand, F-75014 Paris, France</t>
  </si>
  <si>
    <t>Sorbonne Universite; Assistance Publique Hopitaux Paris (APHP); Hopital Universitaire Saint-Antoine - APHP; Institut National de la Sante et de la Recherche Medicale (Inserm); Sorbonne Universite; Centre National de la Recherche Scientifique (CNRS); Universite Paris Saclay; Universite Paris Cite; Hopital Paris Saint-Joseph</t>
  </si>
  <si>
    <t>Radiologist-AI Collaboration for Ischemia Diagnosis in Small-Bowel Obstruction: Multicentric Development and External Validation of a Multimodal Deep Learning Model</t>
  </si>
  <si>
    <t>JOURNAL OF IMAGING INFORMATICS IN MEDICINE</t>
  </si>
  <si>
    <t>Artificial intelligence; Deep learning; Computed tomography; Abdomen; Intestinal obstruction</t>
  </si>
  <si>
    <t>CT; MANAGEMENT; NEED</t>
  </si>
  <si>
    <t>2948-2925</t>
  </si>
  <si>
    <t>2948-2933</t>
  </si>
  <si>
    <t>J IMAGING INFORM MED</t>
  </si>
  <si>
    <t>J. Imaging Inform. Med.</t>
  </si>
  <si>
    <t>10.1007/s10278-026-01980-6</t>
  </si>
  <si>
    <t>http://dx.doi.org/10.1007/s10278-026-01980-6</t>
  </si>
  <si>
    <t>HF7CR</t>
  </si>
  <si>
    <t>42056618</t>
  </si>
  <si>
    <t>WOS:001752952700001</t>
  </si>
  <si>
    <t>Green Accepted; Green Submitted</t>
  </si>
  <si>
    <t>Kovacs, DG; Aznar, M; van Herk, M; Mohamed, I; Price, J; Ladefoged, CN; Fischer, BM; Andersen, FL; Mcpartlin, A; Osorio, EMV; Abravan, A</t>
  </si>
  <si>
    <t>Background and purpose: Delta biomarkers that reflect changes in tumour burden over time can support personalised follow-up in head and neck cancer. However, their clinical use can be limited by the need for manual image segmentation. This study externally evaluates a deep learning model for automatic determination of volume change from serial 18F-fluorodeoxyglucose (18F-FDG) positron emission tomography/computed tomography (PET/CT) scans to stratify patients by loco-regional outcome. Patient/material and methods: An externally developed deep learning algorithm for tumour segmentation was applied to pre-and post-radiotherapy (RT, with or without concomitant chemoradiotherapy) PET/CT scans of 50 consecutive head and neck cancer patients from The Christie NHS Foundation Trust, UK. The model, originally trained on pre-treatment scans from a different institution, was deployed to derive tumour volumes at both time points. The AI-derived change in tumour volume (1PET-Gross tumour volume (GTV)) was calculated for each patient. Kaplan-Meier analysis assessed loco-regional control based on 1PET-GTV, dichotomised at the cohort median. In a separate secondary analysis confined to the pre-treatment scans, a radiation oncologist qualitatively evaluated the AI-generated PET-GTV contours. Results: Patients with higher 1PET-GTV (i.e. greater tumour shrinkage) had significantly improved loco-regional control (log-rank p = 0.02). At 2 years, control was 94.1% (95% CI: 83.6-100%) vs. 53.6% (95% CI: 32.2-89.1%). Only one of nine failures occurred in the high 1 PET-GTV group. Clinician review found AI volumes acceptable for planning in 78% of cases. In two cases, the algorithm identified oropharyngeal primaries on pre-treatment PET-CT before clinical identification. Interpretation: Deep learning-derived 1PET-GTV may support clinically meaningful assessment of post-treatment disease status and risk stratification, offering a scalable alternative to manual segmentation in PET/CT follow-up.</t>
  </si>
  <si>
    <t>Kovacs, David Gergely; Aznar, Marianne; van Herk, Marcel; Mohamed, Iskandar; Price, James; Ladefoged, Claes Nohr; Fischer, Barbara Malene; Andersen, Flemming Littrup; Mcpartlin, Andrew; Osorio, Eliana M. Vasquez; Abravan, Azadeh</t>
  </si>
  <si>
    <t>Kovacs, DG (corresponding author), Rigshosp, Blegdamsvej 9, DK-2100 Copenhagen, Denmark.</t>
  </si>
  <si>
    <t>dkov0001@regionh.dk</t>
  </si>
  <si>
    <t>Brodrene Hartmanns Fond; Aage and Johanne Louis Hansen Fonden; Cancer Research UK RadNet Manchester [C1994/A28701]; Oncologica Foundation; National Institute for Health and Care Research (NIHR) Manchester Biomedical Research Centre</t>
  </si>
  <si>
    <t>Brodrene Hartmanns Fond; Aage and Johanne Louis Hansen Fonden; Cancer Research UK RadNet Manchester; Oncologica Foundation; National Institute for Health and Care Research (NIHR) Manchester Biomedical Research Centre</t>
  </si>
  <si>
    <t>The authors gratefully acknowledge research funding from Brodrene Hartmanns Fond (DGK) and Aage and Johanne Louis Hansen Fonden (BMF) .AA and EVO were supported by Cancer Research UK RadNet Manchester (C1994/A28701) . MvH. was supported by National Institute for Health and Care Research (NIHR) Manchester Biomedical Research Centre.BIGART 2025 was financially supported by the Oncologica Foundation.</t>
  </si>
  <si>
    <t>[Kovacs, David Gergely; Ladefoged, Claes Nohr; Fischer, Barbara Malene; Andersen, Flemming Littrup] Rigshosp, Dept Clin Physiol &amp; Nucl Med, Copenhagen, Denmark; [Kovacs, David Gergely; Fischer, Barbara Malene; Andersen, Flemming Littrup] Univ Copenhagen, Dept Clin Med, Copenhagen, Denmark; [Aznar, Marianne; van Herk, Marcel; Osorio, Eliana M. Vasquez; Abravan, Azadeh] Univ Manchester, Div Canc Sci, Manchester, England; [Aznar, Marianne; van Herk, Marcel; Mohamed, Iskandar; Price, James; Osorio, Eliana M. Vasquez; Abravan, Azadeh] Christie NHS Fdn Trust, Manchester, England; [Ladefoged, Claes Nohr] Tech Univ Denmark, Dept Appl Math &amp; Comp Sci, Lyngby, Denmark; [Mcpartlin, Andrew] Univ Toronto, Princess Margaret Canc Ctr, Toronto, ON, Canada</t>
  </si>
  <si>
    <t>Rigshospitalet; University of Copenhagen; Copenhagen University Hospital; University of Copenhagen; University of Manchester; Christie NHS Foundation Trust; Technical University of Denmark; University of Toronto; University Health Network Toronto; Princess Margaret Cancer Centre</t>
  </si>
  <si>
    <t>External validation of deep learning-derived 18F-FDG PET/CT delta biomarkers for loco-regional control in head and neck cancer</t>
  </si>
  <si>
    <t>ACTA ONCOLOGICA</t>
  </si>
  <si>
    <t>Head and neck neoplasms; positron emission tomography computed tomography; neural networks (computer); radiotherapy; biomarkers</t>
  </si>
  <si>
    <t>SURVEILLANCE; RADIOTHERAPY; DELINEATION; IMPACT; RISK</t>
  </si>
  <si>
    <t>Andersen, Flemming Littrup/KLZ-1185-2024; Fischer, Barbara Malene/PRR-6057-2026; van Herk, Marcel/P-6307-2015; Ladefoged, Claes/AFO-3107-2022</t>
  </si>
  <si>
    <t>Petersen, David Gergely Kovacs/0000-0002-0383-1446; Mohamed, Iskandar/0000-0002-0626-1426; Abravan, Azadeh/0000-0003-4839-6705; Andersen, Flemming Littrup/0000-0003-2821-1849; Vasquez Osorio, Eliana M/0000-0003-0741-994X</t>
  </si>
  <si>
    <t>Medical Journal Sweden AB</t>
  </si>
  <si>
    <t>Uppsala</t>
  </si>
  <si>
    <t>Kungsngsvgen 27St, Uppsala, SWEDEN</t>
  </si>
  <si>
    <t>0284-186X</t>
  </si>
  <si>
    <t>1651-226X</t>
  </si>
  <si>
    <t>ACTA ONCOL</t>
  </si>
  <si>
    <t>Acta Oncol.</t>
  </si>
  <si>
    <t>AUG 30 2025</t>
  </si>
  <si>
    <t>10.2340/1651-226X.2025.43977</t>
  </si>
  <si>
    <t>http://dx.doi.org/10.2340/1651-226X.2025.43977</t>
  </si>
  <si>
    <t>7DR0L</t>
  </si>
  <si>
    <t>40884216</t>
  </si>
  <si>
    <t>WOS:001568547800001</t>
  </si>
  <si>
    <t>Chan, KS; Liang, SY; Cho, YT; Chan, YM; Tan, AHM; Muthuveerappa, S; Lai, TP; Goh, CC; Joseph, A; Hong, QT; Yong, EM; Zhang, L; Chong, LRC; Tan, GWL; Chandrasekar, S; Lo, ZJ</t>
  </si>
  <si>
    <t>Chronic venous insufficiency is a chronic disease of the venous system with a prevalence of 25% to 40% in females and 10% to 20% in males. Venous leg ulcers (VLUs) result from venous insufficiency. VLUs have a prevalence of 0.18% to 1% with a 1-year recurrence of 25% to 50%, bearing significant socioeconomic burden. It is therefore important for regular assessment and monitoring of VLUs to prevent worsening. Our study aims to assess the intra- and inter-rater reliability of a machine learning-based handheld 3-dimensional infrared wound imaging device (WoundAide [WA] imaging system, Konica Minolta Inc, Tokyo, Japan) compared with traditional measurements by trained wound nurse. This is a prospective cross-sectional study on 52 patients with VLUs from September 2019 to January 2021 using three WA imaging systems. Baseline patient profile and clinical demographics were collected. Basic wound parameters (length, width and area) were collected for both traditional measurements and measurements taken by the WA imaging systems. Intra- and inter-rater reliability was analysed using intra-class correlation statistics. A total of 222 wound images from 52 patients were assessed. There is excellent intra-rater reliability of the WA imaging system on three different image captures of the same wound (intra-rater reliability ranging 0.978-0.992). In addition, there is excellent inter-rater reliability between the three WA imaging systems for length (0.987), width (0.990) and area (0.995). Good inter-rater reliability for length and width (range 0.875-0.900) and excellent inter-rater reliability (range 0.932-0.950) were obtained between wound nurse measurement and each of the WA imaging system. In conclusion, high intra- and inter-rater reliability was obtained for the WA imaging systems. We also obtained high inter-rater reliability of WA measurements against traditional wound measurement. The WA imaging system is a useful clinical adjunct in the monitoring of VLU wound documentation.</t>
  </si>
  <si>
    <t>Chan, Kai Siang; Liang, Shanying; Cho, Yuan Teng; Chan, Yam Meng; Tan, Audrey Hui Min; Muthuveerappa, Sivakami; Lai, Tina Peiting; Goh, Cheng Cheng; Joseph, Annie; Hong, Qiantai; Yong, Enming; Zhang, Li; Chong, Lester Rhan Chaen; Tan, Glenn Wei Leong; Chandrasekar, Sadhana; Lo, Zhiwen Joseph</t>
  </si>
  <si>
    <t>Lo, ZJ (corresponding author), Dept Gen Surg, Vasc Surg Serv, 11 Jalan Tan Tock Seng, Singapore 308433, Singapore.</t>
  </si>
  <si>
    <t>Agency for Science, Technology and Research (A*STAR): Industry Alignment Fund; Programme (IAF-PP) [H17/01/a0/004, H19/01/a0/004]; Konica Minolta Inc (Tokyo, Japan)</t>
  </si>
  <si>
    <t>Agency for Science, Technology and Research (A*STAR): Industry Alignment Fund; Programme (IAF-PP); Konica Minolta Inc (Tokyo, Japan) (Konica Minolta Science and Technology Foundation)</t>
  </si>
  <si>
    <t>Agency for Science, Technology and Research (A*STAR): Industry Alignment Fund -Pre-Positioning; Programme (IAF-PP), Grant/Award Number: H17/01/a0/004 and H19/01/a0/004; Konica Minolta Inc (Tokyo, Japan) -Investigator-initiated</t>
  </si>
  <si>
    <t>[Chan, Kai Siang; Liang, Shanying; Cho, Yuan Teng; Chan, Yam Meng; Hong, Qiantai; Yong, Enming; Zhang, Li; Chong, Lester Rhan Chaen; Tan, Glenn Wei Leong; Chandrasekar, Sadhana; Lo, Zhiwen Joseph] Tan Tock Seng Hosp, Dept Gen Surg, Vasc Surg Serv, Singapore, Singapore; [Tan, Audrey Hui Min; Muthuveerappa, Sivakami; Lai, Tina Peiting; Goh, Cheng Cheng] Tan Tock Seng Hosp, Wound &amp; Stoma Care Nursing Serv, Singapore, Singapore; [Joseph, Annie; Lo, Zhiwen Joseph] Agcy Sci Technol &amp; Res, Skin Res Inst Singapore, Singapore, Singapore; [Lo, Zhiwen Joseph] Nanyang Technol Univ, Lee Kong Chian Sch Med, Singapore, Singapore</t>
  </si>
  <si>
    <t>Tan Tock Seng Hospital; Tan Tock Seng Hospital; Agency for Science Technology &amp; Research (A*STAR); Skin Research Institute of Singapore (SRIS); Nanyang Technological University</t>
  </si>
  <si>
    <t>Clinical validation of a machine-learning-based handheld 3-dimensional infrared wound imaging device in venous leg ulcers</t>
  </si>
  <si>
    <t>chronic venous insufficiency; machine learning; venous leg ulcer; wound healing; wound imaging</t>
  </si>
  <si>
    <t>COMPRESSION; DISEASE</t>
  </si>
  <si>
    <t>Chanasekar, Sadhana/0000-0002-3650-8020; Chan, Kai Siang/0000-0001-9533-801X; Yong, Enming/0000-0002-9461-0066</t>
  </si>
  <si>
    <t>436</t>
  </si>
  <si>
    <t>446</t>
  </si>
  <si>
    <t>10.1111/iwj.13644</t>
  </si>
  <si>
    <t>http://dx.doi.org/10.1111/iwj.13644</t>
  </si>
  <si>
    <t>YH4HX</t>
  </si>
  <si>
    <t>34121320</t>
  </si>
  <si>
    <t>WOS:000661066700001</t>
  </si>
  <si>
    <t>Mao, YL; Zhang, Y; Wang, J; Zhang, D; Shi, ZS; Qi, ZQ; Wu, LL; Wang, RT; Zhao, XY; Liu, AN</t>
  </si>
  <si>
    <t>Background: Unplanned hospitalizations are frequent and costly among residents of long-term care facilities, but prediction tools based on routine facility data remain limited. We developed a machine-learning model for 6month unplanned hospitalization and evaluated its performance through institutional external validation across institutionally distinct LTCF cohorts within one province. Methods: We conducted a multicenter retrospective cohort study in 15 LTCFs in Anhui, China, between March 2024 and April 2025. Prespecified variables from routine assessments were considered, and feature selection yielded 11 retained predictors. Five machine-learning algorithms were developed and evaluated in a development set, a held-out internal test set, and two external validation cohorts. Model performance was assessed by discrimination, calibration, decision curve analysis, and model interpretation. Results: Among 768 residents, 253 (32.9%) experienced a first unplanned hospitalization within 6 months. Random forest showed the best performance, with areas under the curve of 0.932 in the development set, 0.934 in the held-out internal test set, 0.953 in external validation set 1, and 0.869 in external validation set 2. Calibration varied across cohorts, with slope-level miscalibration in external validation set 1 and underprediction in external validation set 2. Decision curve analyses indicated positive net benefit across threshold probabilities of 5%-30% in the held-out internal test set and both external validation cohorts. Conclusions: The model showed useful discriminative ability but variable calibration across LTCF settings. It may support future risk stratification using routinely collected data, but broader geographic validation and prospective implementation studies are needed.</t>
  </si>
  <si>
    <t>Mao, Yali; Zhang, Yue; Wang, Jia; Zhang, Dan; Shi, Zhongsu; Qi, Ziqing; Wu, Lulu; Wang, Ruting; Zhao, Xingyue; Liu, Annuo</t>
  </si>
  <si>
    <t>Liu, AN (corresponding author), Anhui Med Univ, Sch Nursing, Hefei, Anhui, Peoples R China.; Liu, AN (corresponding author), Anhui Med Univ, Affiliated Hosp 1, Dept Nursing, Hefei, Anhui, Peoples R China.</t>
  </si>
  <si>
    <t>liuannuo@ahmu.edu.cn</t>
  </si>
  <si>
    <t>Anhui Provincial Institute of Translational Medicine Joint Open Research Fund [2024zhyx-h1-B02, 2025ayh103]; Major Project of Human-ities and Social Sciences of Anhui Provincial Department of Education [2025AHGXSK2 0040]</t>
  </si>
  <si>
    <t>Anhui Provincial Institute of Translational Medicine Joint Open Research Fund; Major Project of Human-ities and Social Sciences of Anhui Provincial Department of Education</t>
  </si>
  <si>
    <t>This research was supported by the Anhui Provincial Institute of Translational Medicine Joint Open Research Fund (Grant Nos. 2024zhyx-h1-B02 and 2025ayh103) and the Major Project of Human-ities and Social Sciences of Anhui Provincial Department of Education (Grant No. 2025AHGXSK2 0040) . The funders had no role in the study design, data collection, analysis, interpretation, or the decision to sub-mit the manuscript for publication.</t>
  </si>
  <si>
    <t>[Mao, Yali; Zhang, Yue; Wang, Jia; Zhang, Dan; Shi, Zhongsu; Qi, Ziqing; Wu, Lulu; Wang, Ruting; Liu, Annuo] Anhui Med Univ, Sch Nursing, Hefei, Anhui, Peoples R China; [Zhao, Xingyue] Chinese Acad Med Sci &amp; Peking Union Med Coll, Peking Union Med Coll Hosp, Dept Neurosurg, Beijing, Peoples R China; [Liu, Annuo] Anhui Med Univ, Affiliated Hosp 1, Dept Nursing, Hefei, Anhui, Peoples R China</t>
  </si>
  <si>
    <t>Anhui Medical University; Chinese Academy of Medical Sciences - Peking Union Medical College; Peking Union Medical College; Peking Union Medical College Hospital; Anhui Medical University</t>
  </si>
  <si>
    <t>Machine-learning prediction of 6-month unplanned hospitalization among long-term care residents: A multicenter study with external validation in Anhui, China</t>
  </si>
  <si>
    <t>ARCHIVES OF GERONTOLOGY AND GERIATRICS</t>
  </si>
  <si>
    <t>Long-term care facilities; Unplanned hospitalization; Machine learning; Institutional external validation</t>
  </si>
  <si>
    <t>HOME RESIDENTS; HEALTH; ADULTS</t>
  </si>
  <si>
    <t>0167-4943</t>
  </si>
  <si>
    <t>1872-6976</t>
  </si>
  <si>
    <t>ARCH GERONTOL GERIAT</t>
  </si>
  <si>
    <t>Arch. Gerontol. Geriatr.</t>
  </si>
  <si>
    <t>106284</t>
  </si>
  <si>
    <t>10.1016/j.archger.2026.106284</t>
  </si>
  <si>
    <t>http://dx.doi.org/10.1016/j.archger.2026.106284</t>
  </si>
  <si>
    <t>HX3HJ</t>
  </si>
  <si>
    <t>42096925</t>
  </si>
  <si>
    <t>WOS:001764909500001</t>
  </si>
  <si>
    <t>Liu, Y; Xu, YH; Guo, LX; Chen, ZB; Xia, XQ; Chen, F; Tang, L; Jiang, H; Xie, CX</t>
  </si>
  <si>
    <t>BackgroundEarly detection of malnutrition in critically ill patients is crucial for timely intervention and improved clinical outcomes. However, identifying individuals at risk remains challenging due to the complexity and variability of patient conditions. This study aimed to develop and externally validate machine learning models for predicting malnutrition within 24 h of intensive care unit (ICU) admission, culminating in a web-based malnutrition prediction tool for clinical decision support.MethodsA total of 1006 critically ill adult patients (aged &gt;= 18 years) were included in the model development group, and 300 adult patients comprised the external validation group. The development data were partitioned into training (80%) and testing (20%) sets. Hyperparameters were optimized via 5-fold cross-validation on the training set, eliminating the need for a separate validation set while ensuring internal validation. External validation was performed on an independent group to assess generalizability. Predictors were selected using random forest recursive feature elimination; seven machine learning models-Extreme Gradient Boosting (XGBoost), random forest, decision tree, support vector machine (SVM), Gaussian naive Bayes, k-nearest neighbor (k-NN), and logistic regression-were trained and evaluated for accuracy, precision, recall, F1 score, Area Under the Receiver Operating Characteristic Curve (AUC-ROC), Area Under the Precision-Recall Curve (AUC-PR). Model interpretability was analyzed using SHapley Additive exPlanations (SHAP) to quantify feature contributions.ResultsIn the development phase, among 1006 patients, 34.0% had moderate malnutrition and 17.9% severe malnutrition. The XGBoost model achieved superior predictive accuracy with an accuracy of 0.90 (95% CI = 0.86-0.94), precision of 0.92 (95% CI = 0.88-0.95), recall of 0.92 (95% CI = 0.89-0.95), F1 score of 0.92 (95% CI = 0.89-0.95), AUC-ROC of 0.98 (95% CI = 0.96-0.99), and AUC-PR of 0.97 (95% CI = 0.95-0.99) on the testing set. External validation confirmed robust performance with an accuracy of 0.75 (95% CI: 0.70-0.79), precision of 0.79 (95% CI: 0.75-0.83), recall of 0.75 (95% CI: 0.70-0.79), F1 score of 0.74 (95% CI: 0.69-0.78), AUC-ROC of 0.88 (95% CI: 0.86-0.91), and AUC-PR of 0.77 (95% CI: 0.73-0.80).ConclusionsMachine learning models, particularly XGBoost, demonstrated promising performance in early malnutrition prediction in ICU settings. The resultant web-based tool offers valuable resource for clinical decision support.Trial registrationChinese Clinical Trial Registry ChiCTR2200058286 (https://www.chictr.org.cn/bin/project/edit? pid=248690). Registered 4th April 2022. Prospectively registered.</t>
  </si>
  <si>
    <t>Liu, Yi; Xu, Yehua; Guo, Lixia; Chen, Zhongbin; Xia, Xueqin; Chen, Feng; Tang, Li; Jiang, Hua; Xie, Caixia</t>
  </si>
  <si>
    <t>Xie, CX (corresponding author), Univ Elect Sci &amp; Technol China, Sichuan Prov Peoples Hosp, Dept Nursing, Chengdu, Peoples R China.; Jiang, H (corresponding author), Univ Elect Sci &amp; Technol China, Sichuan Prov Peoples Hosp, Dept Emergency Med, Chengdu, Peoples R China.</t>
  </si>
  <si>
    <t>jianghua@uestc.edu.cn; caixiaxie@uestc.edu.cn</t>
  </si>
  <si>
    <t>Chengdu Science and Technology Program</t>
  </si>
  <si>
    <t>We would like to thank all the participants in this research and gratefully acknowledge the support of Professor Xingwei Wu and Yu Wang for their invaluable guidance, assistance, and insightful discussions throughout the project.</t>
  </si>
  <si>
    <t>[Liu, Yi; Xie, Caixia] Univ Elect Sci &amp; Technol China, Sichuan Prov Peoples Hosp, Dept Nursing, Chengdu, Peoples R China; [Xu, Yehua] Univ Elect Sci &amp; Technol China, Sichuan Prov Peoples Hosp, Dept Emergency Intens Care Unit, Chengdu, Peoples R China; [Guo, Lixia] Univ Elect Sci &amp; Technol China, Sichuan Prov Peoples Hosp, Dept Neurol, Chengdu, Peoples R China; [Chen, Zhongbin] Univ Elect Sci &amp; Technol China, Sichuan Prov Peoples Hosp, Dept Surg Intens Care Unit, Chengdu, Peoples R China; [Xia, Xueqin] Univ Elect Sci &amp; Technol China, Sichuan Prov Peoples Hosp, Dept Gynecol &amp; Obstet, Chengdu, Peoples R China; [Chen, Feng] Univ Elect Sci &amp; Technol China, Sichuan Prov Peoples Hosp, Dept Oncol, Chengdu, Peoples R China; [Tang, Li] Univ Elect Sci &amp; Technol China, Sichuan Prov Peoples Hosp, Dept Operating Room Nursing, Chengdu, Peoples R China; [Jiang, Hua] Univ Elect Sci &amp; Technol China, Sichuan Prov Peoples Hosp, Dept Emergency Med, Chengdu, Peoples R China</t>
  </si>
  <si>
    <t>Sichuan Provincial People's Hospital; University of Electronic Science &amp; Technology of China; Sichuan Provincial People's Hospital; University of Electronic Science &amp; Technology of China; University of Electronic Science &amp; Technology of China; Sichuan Provincial People's Hospital; Sichuan Provincial People's Hospital; University of Electronic Science &amp; Technology of China; University of Electronic Science &amp; Technology of China; Sichuan Provincial People's Hospital; University of Electronic Science &amp; Technology of China; Sichuan Provincial People's Hospital; Sichuan Provincial People's Hospital; University of Electronic Science &amp; Technology of China; University of Electronic Science &amp; Technology of China; Sichuan Provincial People's Hospital</t>
  </si>
  <si>
    <t>Development and external validation of machine learning models for the early prediction of malnutrition in critically ill patients: a prospective observational study</t>
  </si>
  <si>
    <t>Critically ill patients; Malnutrition; Machine learning; Prediction model</t>
  </si>
  <si>
    <t>INTENSIVE-CARE; NUTRITION; RISK; PREVALENCE; CRITERIA; DIAGNOSIS; ADULTS</t>
  </si>
  <si>
    <t>/C-5259-2009; Jiang, Hua/ABE-5811-2021</t>
  </si>
  <si>
    <t>JUL 3 2025</t>
  </si>
  <si>
    <t>248</t>
  </si>
  <si>
    <t>10.1186/s12911-025-03082-9</t>
  </si>
  <si>
    <t>http://dx.doi.org/10.1186/s12911-025-03082-9</t>
  </si>
  <si>
    <t>4NY7S</t>
  </si>
  <si>
    <t>40611154</t>
  </si>
  <si>
    <t>WOS:001522534500001</t>
  </si>
  <si>
    <t>Li, XW; Yang, LT; Yuan, ZP; Lou, JY; Fan, YQ; Shi, AG; Huang, JJ; Zhao, MC; Wu, YL</t>
  </si>
  <si>
    <t>BackgroundSurgical resection is the only potentially curative treatment for pancreatic ductal adenocarcinoma (PDAC) and the survival of patients after radical resection is closely related to relapse. We aimed to develop models to predict the risk of relapse using machine learning methods based on multiple clinical parameters.MethodsData were collected and analysed of 262 PDAC patients who underwent radical resection at 3 institutions between 2013 and 2017, with 183 from one institution as a training set, 79 from the other 2 institution as a validation set. We developed and compared several predictive models to predict 1- and 2-year relapse risk using machine learning approaches.ResultsMachine learning techniques were superior to conventional regression-based analyses in predicting risk of relapse of PDAC after radical resection. Among them, the random forest (RF) outperformed other methods in the training set. The highest accuracy and area under the receiver operating characteristic curve (AUROC) for predicting 1-year relapse risk with RF were 78.4% and 0.834, respectively, and for 2-year relapse risk were 95.1% and 0.998. However, the support vector machine (SVM) model showed better performance than the others for predicting 1-year relapse risk in the validation set. And the k neighbor algorithm (KNN) model achieved the highest accuracy and AUROC for predicting 2-year relapse risk.ConclusionsBy machine learning, this study has developed and validated comprehensive models integrating clinicopathological characteristics to predict the relapse risk of PDAC after radical resection which will guide the development of personalized surveillance programs after surgery.</t>
  </si>
  <si>
    <t>Li, Xiawei; Yang, Litao; Yuan, Zheping; Lou, Jianyao; Fan, Yiqun; Shi, Aiguang; Huang, Junjie; Zhao, Mingchen; Wu, Yulian</t>
  </si>
  <si>
    <t>Wu, YL (corresponding author), Zhejiang Univ, Affiliated Hosp 2, Sch Med, Dept Surg, Hangzhou 310000, Zhejiang, Peoples R China.; Wu, YL (corresponding author), Zhejiang Univ, Affiliated Hosp 2, Canc Inst,China Natl Minist Educ, Key Lab Canc Prevent &amp; Intervent,Sch Med, Hangzhou 310000, Zhejiang, Peoples R China.; Wu, YL (corresponding author), Zhejiang Univ, Canc Ctr, Hangzhou 310058, Zhejiang, Peoples R China.</t>
  </si>
  <si>
    <t>yulianwu@zju.edu.cn</t>
  </si>
  <si>
    <t>General Program of National Natural Science Foundation of China [81772562]; Fundamental Research Funds for the Central Universities [2021FZZX005-08]</t>
  </si>
  <si>
    <t>General Program of National Natural Science Foundation of China (National Natural Science Foundation of China (NSFC)); Fundamental Research Funds for the Central Universities (Fundamental Research Funds for the Central Universities)</t>
  </si>
  <si>
    <t>This work was supported by the General Program of National Natural Science Foundation of China under Grant [Grant Number: 81772562, 2017] (Yulian Wu) and the Fundamental Research Funds for the Central Universities [Grant Number: 2021FZZX005-08] (Xiawei Li).</t>
  </si>
  <si>
    <t>[Li, Xiawei; Lou, Jianyao; Shi, Aiguang; Wu, Yulian] Zhejiang Univ, Affiliated Hosp 2, Sch Med, Dept Surg, Hangzhou 310000, Zhejiang, Peoples R China; [Li, Xiawei; Lou, Jianyao; Shi, Aiguang; Wu, Yulian] Zhejiang Univ, Affiliated Hosp 2, Canc Inst,China Natl Minist Educ, Key Lab Canc Prevent &amp; Intervent,Sch Med, Hangzhou 310000, Zhejiang, Peoples R China; [Li, Xiawei; Lou, Jianyao; Shi, Aiguang; Wu, Yulian] Zhejiang Univ, Canc Ctr, Hangzhou 310058, Zhejiang, Peoples R China; [Yang, Litao] Univ Chinese Acad Sci, Canc Hosp, Zhejiang Canc Hosp, Dept Surg, Hangzhou 310000, Zhejiang, Peoples R China; [Yuan, Zheping; Zhao, Mingchen] Hessian Hlth Technol Co Ltd, Beijing 100007, Peoples R China; [Fan, Yiqun] Zhejiang Univ, Affiliated Hosp 4, Sch Med, Dept Surg, Yiwu 322000, Zhejiang, Peoples R China; [Huang, Junjie] Changxing Peoples Hosp, Dept Surg, Huzhou 313100, Zhejiang, Peoples R China</t>
  </si>
  <si>
    <t>Zhejiang University; Zhejiang University; Zhejiang University; Zhejiang Cancer Hospital; Chinese Academy of Sciences; University of Chinese Academy of Sciences, CAS; Zhejiang University</t>
  </si>
  <si>
    <t>Multi-institutional development and external validation of machine learning-based models to predict relapse risk of pancreatic ductal adenocarcinoma after radical resection</t>
  </si>
  <si>
    <t>JOURNAL OF TRANSLATIONAL MEDICINE</t>
  </si>
  <si>
    <t>Machine learning; PDAC; Relapse; Prediction model; Radical surgery</t>
  </si>
  <si>
    <t>FEATURE-SELECTION; RECURRENCE; SURVIVAL; MEDICINE; NOMOGRAM</t>
  </si>
  <si>
    <t>Fan, Yiqun/OFO-2142-2025; Huang, Junjie/GQP-4965-2022; Li, Xiawei/HTL-3155-2023; Lou, Jianyao/OOK-4481-2025</t>
  </si>
  <si>
    <t>WU, YULIAN/0000-0002-4090-0551; Fan, Yiqun/0000-0002-1883-0649</t>
  </si>
  <si>
    <t>1479-5876</t>
  </si>
  <si>
    <t>J TRANSL MED</t>
  </si>
  <si>
    <t>J. Transl. Med.</t>
  </si>
  <si>
    <t>JUN 30 2021</t>
  </si>
  <si>
    <t>281</t>
  </si>
  <si>
    <t>10.1186/s12967-021-02955-7</t>
  </si>
  <si>
    <t>http://dx.doi.org/10.1186/s12967-021-02955-7</t>
  </si>
  <si>
    <t>TG3GL</t>
  </si>
  <si>
    <t>34193166</t>
  </si>
  <si>
    <t>WOS:000671296400005</t>
  </si>
  <si>
    <t>Zhang, LL; Wang, TF; Fan, D; Ou, ST; Xu, Y</t>
  </si>
  <si>
    <t>Background Sarcopenia represents a prevalent and clinically significant complication of chronic kidney disease (CKD), featuring insidious onset and diagnostic complexity. Elucidating the underlying pathogenic factors of CKD-related sarcopenia and constructing reliable predictive models are critical to optimizing clinical prognosis and patient outcomes.Methods This study enrolled two independent cohorts to develop and validate a predictive model for sarcopenia in patients with chronic kidney disease (CKD). The primary cohort comprised 2,979 participants from the National Health and Nutrition Examination Survey (NHANES) database (2011-2018), while the independent external validation cohort consisted of 428 CKD patients recruited from the Affiliated Hospital of Southwest Medical University. Predictive variables were selected via least absolute shrinkage and selection operator (Lasso) regression, followed by multivariable logistic regression to identify independent predictors. The NHANES dataset was randomly partitioned into a training set (n = 2,085) and testing set (n = 894) at a 7:3 ratio. Baseline characteristics were compared across the training, testing, and external validation cohorts to evaluate inter-cohort heterogeneity. Furthermore, five machine learning algorithms, including Gradient Boosting (XGBoost), Logistic Regression (LR), Light Gradient Boosting Machine (LightGBM), Random Forest (RF), and Multilayer Perceptron (MLP), were constructed and hyperparameter-optimized using the training dataset. The best-performing model was selected based on predefined performance metrics and further assessed via ten-fold cross-validation to confirm internal robustness. The optimized model was subsequently validated in the external cohort to evaluate its generalizability to real-world CKD populations. Finally, Shapley Additive Explanations (SHAP) were applied to interpret the model at both the global and individual levels, elucidating the contribution of each predictor to sarcopenia risk.Results The final model included 12 predictors, with XGBoost demonstrating robust superiority across cohorts. It achieved an AUC of 0.890 (95% CI: 0.860-0.909) for internal testing set, 0.818 (95% CI: 0.790-0.885) for external validation, and 0.888 (95% CI: 0.880-0.896) in the internal validation. The external Brier score was 0.156, indicating good calibration and reliable risk prediction. Decision curve analysis (DCA) confirmed superior net clinical benefit over a wide threshold range, supporting clinical applicability. SHAP analysis further identified gender, BMI, and weight as the top three dominant predictors.Conclusion In this study, we developed an XGBoost-based model to predict sarcopenia in patients with chronic kidney disease (CKD). Importantly, to our knowledge, this is the first study to apply SHAP values to interpret model predictions in the context of CKD-related sarcopenia, thereby significantly enhancing the transparency and interpretability of the predictive model. Critically, independent external validation further confirmed the model's reliability and robustness, offering a practical tool for the early detection and prevention of sarcopenia and supporting the development of personalized treatment strategies for patients with CKD.</t>
  </si>
  <si>
    <t>Zhang, Liling; Wang, Tingfan; Fan, Di; Ou, Santao; Xu, Yong</t>
  </si>
  <si>
    <t>Xu, Y (corresponding author), Southwest Med Univ, Affiliated Hosp, Dept Endocrinol &amp; Metab, Luzhou, Sichuan, Peoples R China.; Xu, Y (corresponding author), Sichuan Clin Res Ctr Diabet &amp; Metab Dis, Luzhou, Sichuan, Peoples R China.; Xu, Y (corresponding author), Sichuan Clin Res Ctr Nephropathy, Luzhou, Sichuan, Peoples R China.; Ou, ST (corresponding author), Southwest Med Univ, Affiliated Hosp, Dept Nephrol, Luzhou, Peoples R China.</t>
  </si>
  <si>
    <t>ousantao@163.com; xywyll@swmu.edu.cn</t>
  </si>
  <si>
    <t>Southwest medical university [2020ZRQNB049, 2023XYXNYD04]</t>
  </si>
  <si>
    <t>Southwest medical university</t>
  </si>
  <si>
    <t>The author(s) declared that financial support was received for this work and/or its publication. This study was supported by research funds from southwest medical university (grant number 2020ZRQNB049 and 2023XYXNYD04).</t>
  </si>
  <si>
    <t>[Zhang, Liling; Xu, Yong] Southwest Med Univ, Affiliated Hosp, Dept Endocrinol &amp; Metab, Luzhou, Sichuan, Peoples R China; [Zhang, Liling; Xu, Yong] Sichuan Clin Res Ctr Diabet &amp; Metab Dis, Luzhou, Sichuan, Peoples R China; [Zhang, Liling; Xu, Yong] Sichuan Clin Res Ctr Nephropathy, Luzhou, Sichuan, Peoples R China; [Zhang, Liling; Ou, Santao] Southwest Med Univ, Affiliated Hosp, Dept Nephrol, Luzhou, Peoples R China; [Wang, Tingfan] Southwest Med Univ, Affiliated Hosp, Dept Pediat Surg, Luzhou, Peoples R China; [Fan, Di] Southwest Med Univ, Affiliated Hosp, Dept Anesthesiol, Luzhou, Peoples R China</t>
  </si>
  <si>
    <t>Southwest Medical University; Southwest Medical University; Southwest Medical University; Southwest Medical University</t>
  </si>
  <si>
    <t>Predictive model of sarcopenia in chronic kidney disease: an integrated approach of bioinformatics, machine learning, and clinical validation</t>
  </si>
  <si>
    <t>FRONTIERS IN PHYSIOLOGY</t>
  </si>
  <si>
    <t>chronic kidney disease; machine learning; prediction; sarcopenia; Shapley Additive Explanations</t>
  </si>
  <si>
    <t>1664-042X</t>
  </si>
  <si>
    <t>FRONT PHYSIOL</t>
  </si>
  <si>
    <t>Front. Physiol.</t>
  </si>
  <si>
    <t>JUN 19 2026</t>
  </si>
  <si>
    <t>1826313</t>
  </si>
  <si>
    <t>10.3389/fphys.2026.1826313</t>
  </si>
  <si>
    <t>http://dx.doi.org/10.3389/fphys.2026.1826313</t>
  </si>
  <si>
    <t>Physiology</t>
  </si>
  <si>
    <t>KN0OL</t>
  </si>
  <si>
    <t>42326999</t>
  </si>
  <si>
    <t>WOS:001810841400001</t>
  </si>
  <si>
    <t>Tuersun, A; Abudoubari, S; Abudouwake, A; Tuerdi, H; Maimaitiyiming, A; Nijiati, P; Qiu, Y; Wang, JQ</t>
  </si>
  <si>
    <t>Objective We developed interpretable machine learning (ML) models to predict the overall survival (OS) of esophageal cancer patients. This approach aims to make our modeling results more interpretable and transparent.Methods We collected the clinicopathological information of esophageal cancer patients from the SEER database and divided them into training and validation sets at a ratio of 7:3. Meanwhile, we obtained an external validation cohort from the First People's Hospital of Kashi in Xinjiang, China. Using LASSO and multivariate Cox regression analyses, we identified relevant risk factors and combined them to develop CoxPH and 6 ML models: Random Survival Forest (RSF), Gradient Boosting with Component Linear (GLMboost), decision tree (dt), boosting tree (bt), DeepSurv, and neural multi-task logistic regression (NMTLR). We evaluated the predictive performance of these ML models using the C-index, integral cumulative/dynamic AUC, integral Brier score, Kolmogorov-Smirnov (KS) test and Cramer-von Mises (CvM) test. For interpretability assessment, we employed three complementary methods: (1) time-dependent variable importance to quantify feature contribution across follow-up periods; (2) partial correlation survival plots to visualize individual variable effects; and (3) aggregated survival SHapley additive interpretation (SurvSHAP) plots with mean absolute deviation metrics to validate feature impact stability at both individual and population levels.Results The final ML model consisted of 11 factors: grade, stage, T stage, N stage, M stage, radiotherapy, chemotherapy, bone metastasis, liver metastasis, lung metastasis, and age. Our predictive models demonstrate significant discriminative power; in particular, the NMTLR model performs best. For the training, validation, and external validation sets, the area under the curve (AUC) for one-, three-, and 5-year OS was higher than 0.81, and the integrated Brier score was consistently lower than 0.175. interpretability analyses confirmed consistent predictive logic: M stage, N stage, age, grade, bone metastases, liver metastases, lung metastases and radiotherapy were identified as the most influential predictors via quantifiable SurvSHAP values and time-dependent importance weights, with their effects visually validated through partial correlation survival curves.Conclusion The NMTLR prognostic model is the most effective at predicting the OS of esophageal cancer patients. It helps physicians correctly assess patient survival and provides valuable information for diagnosis and prognosis evaluation.</t>
  </si>
  <si>
    <t>Tuersun, Abudouresuli; Abudoubari, Saimaitikari; Abudouwake, Abudoushalamu; Tuerdi, Huerxidan; Maimaitiyiming, Abulizi; Nijiati, Pahatijiang; Qiu, Ya; Wang, Jianquan</t>
  </si>
  <si>
    <t>Qiu, Y (corresponding author), First Peoples Hosp Kashi Prefecture, Dept Radiol, Kashgar Prefecture, Peoples R China.; Qiu, Y; Wang, JQ (corresponding author), First Peoples Hosp Kashi Prefecture, Xinjiang Key Lab Artificial Intelligence Assisted, Kashgar Prefecture, Peoples R China.; Wang, JQ (corresponding author), First Peoples Hosp Kashi Prefecture, Remote Informat Ctr, Kashgar Prefecture, Peoples R China.</t>
  </si>
  <si>
    <t>1254695790@qq.com; wjqks@163.com</t>
  </si>
  <si>
    <t>National Science and Technology Innovation 2030-Major Project of New Generation Artificial Intelligence [2022ZD0160700]; Robust, Fair, and Trustworthy Comprehensive Evaluation System for Models [2022ZD0160705]; Socond Group of The Tianshan Talent Training Program : The Youth Support Talent Project [2023TSYCQNTJ0009]; The "Tianshan Talents" Training Program; Xinjiang Uygur Autonomous Region Tianshan Talent Youth Science and Technology Top Talent Project [2022TSYCJC0011]; General Program of the Natural Science Foundation of Xinjiang Uygur Autonomous Region [2024D01C06]; Kashi Guangdong Institute of Science and Technology Talent Development Support Project [KSRC-2023018]</t>
  </si>
  <si>
    <t>National Science and Technology Innovation 2030-Major Project of New Generation Artificial Intelligence; Robust, Fair, and Trustworthy Comprehensive Evaluation System for Models; Socond Group of The Tianshan Talent Training Program : The Youth Support Talent Project; The "Tianshan Talents" Training Program; Xinjiang Uygur Autonomous Region Tianshan Talent Youth Science and Technology Top Talent Project; General Program of the Natural Science Foundation of Xinjiang Uygur Autonomous Region; Kashi Guangdong Institute of Science and Technology Talent Development Support Project</t>
  </si>
  <si>
    <t>The author(s) declare that financial support was received for the research and/or publication of this article. This work was supported by National Science and Technology Innovation 2030-Major Project of New Generation Artificial Intelligence (2022ZD0160700); Robust, Fair, and Trustworthy Comprehensive Evaluation System for Models (2022ZD0160705); The Socond Group of The Tianshan Talent Training Program : The Youth Support Talent Project (grant number 2023TSYCQNTJ0009); "Tianshan Talents" Training Program; Xinjiang Uygur Autonomous Region Tianshan Talent Youth Science and Technology Top Talent Project (Grant number 2022TSYCJC0011); General Program of the Natural Science Foundation of Xinjiang Uygur Autonomous Region (Grant number 2024D01C06); Kashi Guangdong Institute of Science and Technology Talent Development Support Project (Grant number KSRC-2023018).</t>
  </si>
  <si>
    <t>[Tuersun, Abudouresuli; Abudoubari, Saimaitikari; Qiu, Ya] First Peoples Hosp Kashi Prefecture, Dept Radiol, Kashgar Prefecture, Peoples R China; [Tuersun, Abudouresuli; Abudoubari, Saimaitikari; Nijiati, Pahatijiang; Qiu, Ya; Wang, Jianquan] First Peoples Hosp Kashi Prefecture, Xinjiang Key Lab Artificial Intelligence Assisted, Kashgar Prefecture, Peoples R China; [Tuersun, Abudouresuli; Abudoubari, Saimaitikari] Shanghai Key Lab Artificial Intelligence, Shanghai, Peoples R China; [Abudouwake, Abudoushalamu] First Peoples Hosp Kashi Prefecture, Dept Dermatol, Zhoukou, Peoples R China; [Tuerdi, Huerxidan] Shache Cty Peoples Hosp, Dept Geriatr, Zhoukou, Peoples R China; [Maimaitiyiming, Abulizi] Shache Cty Peoples Hosp, Dept Ultrasound, Zhoukou, Peoples R China; [Wang, Jianquan] First Peoples Hosp Kashi Prefecture, Remote Informat Ctr, Kashgar Prefecture, Peoples R China</t>
  </si>
  <si>
    <t>Interpretable machine learning models to predict survival in esophageal cancer: a study based on the SEER database and external validation in China</t>
  </si>
  <si>
    <t>esophageal cancer; interpretable machine learning; overall survival; SurvSHAP; prediction model</t>
  </si>
  <si>
    <t>MORTALITY</t>
  </si>
  <si>
    <t>Abudoubari, Saimaitikari/OTH-4862-2025; Nijiati, Pahatijiang/ORJ-3438-2025</t>
  </si>
  <si>
    <t>OCT 29 2025</t>
  </si>
  <si>
    <t>1665383</t>
  </si>
  <si>
    <t>10.3389/fphys.2025.1665383</t>
  </si>
  <si>
    <t>http://dx.doi.org/10.3389/fphys.2025.1665383</t>
  </si>
  <si>
    <t>9PE7L</t>
  </si>
  <si>
    <t>41234696</t>
  </si>
  <si>
    <t>WOS:001611722000001</t>
  </si>
  <si>
    <t>Park, SH; Kressel, HY</t>
  </si>
  <si>
    <t>Artificial intelligence (AI) is projected to substantially influence clinical practice in the foreseeable future. However, despite the excitement around the technologies, it is yet rare to see examples of robust clinical validation of the technologies and, as a result, very few are currently in clinical use. A thorough, systematic validation of AI technologies using adequately designed clinical research studies before their integration into clinical practice is critical to ensure patient benefit and safety while avoiding any inadvertent harms. We would like to suggest several specific points regarding the role that peer-reviewed medicaljournals can play, in terms of study design, registration, and reporting, to help achieve proper and meaningful clinical validation of AI technologies designed to make medical diagnosis and prediction, focusing on the evaluation of diagnostic accuracy efficacy. Peer-reviewed medical journals can encourage investigators who wish to validate the performance of AI systems for medical diagnosis and prediction to pay closer attention to the factors listed in this article by emphasizing their importance. Thereby, peer-reviewed medicaljournals can ultimately facilitate translating the technological innovations into real-world practice while securing patient safety and benefit.</t>
  </si>
  <si>
    <t>Park, Seong Ho; Kressel, Herbert Y.</t>
  </si>
  <si>
    <t>Park, SH (corresponding author), Univ Ulsan, Coll Med, Asan Med Ctr, Dept Radiol, 88 Olymp Ro 43 Gil, Seoul 05505, South Korea.; Park, SH (corresponding author), Univ Ulsan, Coll Med, Asan Med Ctr, Res Inst Radiol, 88 Olymp Ro 43 Gil, Seoul 05505, South Korea.</t>
  </si>
  <si>
    <t>parksh.radiology@gmail.com</t>
  </si>
  <si>
    <t>Industrial Strategic technology development program - Ministry of Trade Industry and Energy (MOTIE, Korea) [10072064]</t>
  </si>
  <si>
    <t>Industrial Strategic technology development program - Ministry of Trade Industry and Energy (MOTIE, Korea)</t>
  </si>
  <si>
    <t>This work was supported by the Industrial Strategic technology development program (10072064) funded by the Ministry of Trade Industry and Energy (MOTIE, Korea).</t>
  </si>
  <si>
    <t>[Park, Seong Ho] Univ Ulsan, Coll Med, Asan Med Ctr, Dept Radiol, 88 Olymp Ro 43 Gil, Seoul 05505, South Korea; [Park, Seong Ho] Univ Ulsan, Coll Med, Asan Med Ctr, Res Inst Radiol, 88 Olymp Ro 43 Gil, Seoul 05505, South Korea; [Kressel, Herbert Y.] Harvard Med Sch, Beth Israel Deaconess Med Ctr, Dept Radiol, Boston, MA USA</t>
  </si>
  <si>
    <t>University of Ulsan; Asan Medical Center; University of Ulsan; Asan Medical Center; Harvard University; Harvard Medical School; Harvard University Medical Affiliates; Beth Israel Deaconess Medical Center</t>
  </si>
  <si>
    <t>Connecting Technological Innovation in Artificial Intelligence to Real-world Medical Practice through Rigorous Clinical Validation: What Peer-reviewed Medical Journals Could Do</t>
  </si>
  <si>
    <t>JOURNAL OF KOREAN MEDICAL SCIENCE</t>
  </si>
  <si>
    <t>Artificial Intelligence; Machine Learning; Decision Support Techniques; Peer Review; Journalism, Medical; Validation Studies</t>
  </si>
  <si>
    <t>CONVOLUTIONAL NEURAL-NETWORK; DIABETIC-RETINOPATHY; DIAGNOSTIC-ACCURACY; DEEP; IMAGES; CLASSIFICATION; OPPORTUNITIES; PERFORMANCE; RADIOLOGY</t>
  </si>
  <si>
    <t>Park, Seong Ho/J-5488-2012</t>
  </si>
  <si>
    <t>Kressel, Herbert/0000-0002-1435-6329; Park, Seong Ho/0000-0002-1257-8315</t>
  </si>
  <si>
    <t>KOREAN ACAD MEDICAL SCIENCES</t>
  </si>
  <si>
    <t>302 75 DONG DU ICHON, DONG YONGSAN KU, SEOUL 140 031, SOUTH KOREA</t>
  </si>
  <si>
    <t>1011-8934</t>
  </si>
  <si>
    <t>1598-6357</t>
  </si>
  <si>
    <t>J KOREAN MED SCI</t>
  </si>
  <si>
    <t>J. Korean Med. Sci.</t>
  </si>
  <si>
    <t>MAY 28 2018</t>
  </si>
  <si>
    <t>10.3346/jkms.2018.33.e152</t>
  </si>
  <si>
    <t>http://dx.doi.org/10.3346/jkms.2018.33.e152</t>
  </si>
  <si>
    <t>GH2LX</t>
  </si>
  <si>
    <t>29805337</t>
  </si>
  <si>
    <t>WOS:000433234500001</t>
  </si>
  <si>
    <t>Zou, ML; Ju, S</t>
  </si>
  <si>
    <t>Background Diabetic foot ulcers are a leading cause of non-traumatic lower-limb amputation, but early identification of inpatients at high risk of major amputation remains challenging.Methods We retrospectively reviewed consecutive admissions for diabetic foot ulcers at a single center, developing models in a 2019-2020 cohort and temporally validating them in a later 2024 cohort. The outcome was in-hospital major lower-extremity amputation above the ankle. Candidate predictors were routinely available admission variables within 24 hours, including comorbidities, bedside limb/ulcer assessment, and standard laboratory tests. We compared logistic regression, elastic net, random forest, and extreme gradient boosting models and used Shapley additive explanations to provide patient-level interpretability.Results The random forest model showed the best overall discrimination, with an area under the receiver operating characteristic curve of 0.977 in internal testing and 0.984 in temporal validation, and acceptable calibration. The most influential predictors reflected limb perfusion and infection severity and included perfusion grade, ankle-brachial index, maintenance dialysis, white blood cell count, C-reactive protein, and prior minor amputation.Conclusions An explainable admission-data model can support early inpatient risk stratification for major amputation in diabetic foot ulcer patients and may help prioritize timely multidisciplinary care.</t>
  </si>
  <si>
    <t>Zou, Meiling; Ju, Shang</t>
  </si>
  <si>
    <t>Ju, S (corresponding author), Dongzhimen Hosp, Dept Peripheral Vasc Surg, Beijing, Peoples R China.</t>
  </si>
  <si>
    <t>juuncle@163.com</t>
  </si>
  <si>
    <t>Special Projects for 2024 Science and Technology Innovation of Dongzhimen Hospital [DZMKJCX-2024-001]</t>
  </si>
  <si>
    <t>Special Projects for 2024 Science and Technology Innovation of Dongzhimen Hospital</t>
  </si>
  <si>
    <t>The author(s) declared that financial support was received for this work and/or its publication. This study was supported by the Special Projects for 2024 Science and Technology Innovation of Dongzhimen Hospital (DZMKJCX-2024-001).</t>
  </si>
  <si>
    <t>[Zou, Meiling; Ju, Shang] Dongzhimen Hosp, Dept Peripheral Vasc Surg, Beijing, Peoples R China</t>
  </si>
  <si>
    <t>Beijing University of Chinese Medicine</t>
  </si>
  <si>
    <t>Interpretable machine learning for predicting major amputation risk in hospitalized diabetic foot ulcer patients: a single-center study with temporal external validation</t>
  </si>
  <si>
    <t>diabetic foot ulcer; explainable model; hospitalization; major amputation; random forest; risk prediction; Shapley additive explanations; temporal validation</t>
  </si>
  <si>
    <t>CLASSIFICATION-SYSTEM; MANAGEMENT; SCORE</t>
  </si>
  <si>
    <t>MAY 22 2026</t>
  </si>
  <si>
    <t>1821550</t>
  </si>
  <si>
    <t>10.3389/fendo.2026.1821550</t>
  </si>
  <si>
    <t>http://dx.doi.org/10.3389/fendo.2026.1821550</t>
  </si>
  <si>
    <t>JA0FT</t>
  </si>
  <si>
    <t>42255441</t>
  </si>
  <si>
    <t>WOS:001784374900001</t>
  </si>
  <si>
    <t>Mohanty, S; Hassan, FM; Lenke, LG; Lewerenz, E; Passias, PG; Klineberg, EO; Lafage, V; Smith, JS; Hamilton, DK; Gum, JL; Lafage, R; Mullin, J; Diebo, B; Buell, TJ; Kim, HJ; Kebaish, K; Eastlack, R; Daniels, AH; Mundis, G; Hostin, R; Protopsaltis, TS; Hart, RA; Gupta, M; Schwab, FJ; Shaffrey, CI; Ames, CP; Burton, D; Bess, S</t>
  </si>
  <si>
    <t>BACKGROUND CONTEXT: Among adult spinal deformity (ASD) patients, heterogeneity in patient pathology, surgical expectations, baseline impairments, and frailty complicates comparisons in clinical outcomes and research. This study aims to qualitatively segment ASD patients using machine learning -based clustering on a large, multicenter, prospectively gathered ASD cohort. PURPOSE: To qualitatively segment adult spinal deformity patients using machine learning -based clustering on a large, multicenter, prospectively gathered cohort. STUDY DESIGN/SETTING: Machine learning algorithm using patients from a prospective multicenter study and a validation cohort from a retrospective single center, single surgeon cohort with complete 2 -year follow up. PATIENT SAMPLE: About 805 ASD patients; 563 patients from a prospective multicenter study and 242 from a single center to be used as a validation cohort. OUTCOME MEASURES: To validate and extend the Ames-ISSG/ESSG classification using machine learning -based clustering analysis on a large, complex, multicenter, prospectively gathered ASD cohort. METHODS: We analyzed a training cohort of 563 ASD patients from a prospective multicenter study and a validation cohort of 242 ASD patients from a retrospective single center/surgeon cohort with complete two-year patient -reported outcomes (PROs) and clinical/radiographic follow-up. Using k -means clustering, a machine learning algorithm, we clustered patients based on baseline PROs, Edmonton frailty, age, surgical history, and overall health. Baseline differences in clusters identified using the training cohort were assessed using Chi -Squared and ANOVA with pairwise comparisons. To evaluate the classification system's ability to discern postoperative trajectories, a second machine learning algorithm assigned the single-center/surgeon patients to the same 4 clusters, and we compared the clusters' two-year PROs and clinical outcomes. RESULTS: K -means clustering revealed four distinct phenotypes from the multicenter training cohort based on age, frailty, and mental health: Old/Frail/Content (OFC, 27.7%), Old/Frail/Distressed (OFD, 33.2%), Old/Resilient/Content (ORC, 27.2%), and Young/Resilient/Content (YRC, 11.9%). OFC and OFD clusters had the highest frailty scores (OFC: 3.76, OFD: 4.72) and a higher proportion of patients with prior thoracolumbar fusion (OFC: 47.4%, OFD: 49.2%). ORC and YRC clusters exhibited lower frailty scores and fewest patients with prior thoracolumbar procedures (ORC: 2.10, 36.6%; YRC: 0.84, 19.4%). OFC had 69.9% of patients with global sagittal deformity and the highest T1PA (29.0), while YRC had 70.2% exhibiting coronal deformity, the highest mean coronal Cobb Angle (54.0), and the lowest T1PA (11.9). OFD and ORC had similar alignment phenotypes with intermediate values for Coronal Cobb Angle (OFD: 33.7; ORC: 40.0) and T1PA (OFD: 24.9; ORC: 24.6) between OFC (worst sagittal alignment) and YRC (worst coronal alignment). In the single surgeon validation cohort, the OFC cluster experienced the greatest increase in SRS Function scores (1.34 points, 95%CI 1.01 - 1.67) compared to OFD (0.5 points, 95%CI 0.245 - 0.755), ORC (0.7 points, 95%CI 0.415 - 0.985), and YRC (0.24 points, 95%CI -0.024 - 0.504) clusters. OFD cluster patients improved the least over 2 years. Multivariable Cox regression analysis demonstrated that the OFD cohort had significantly worse reoperation outcomes compared to other clusters (HR: 3.303, 95%CI: 1.085 - 8.390).CONCLUSION: Machine-learning clustering found four different ASD patient qualitative phenotypes, defined by their age, frailty, physical functioning, and mental health upon presentation, which primarily determines their ability to improve their PROs following surgery. This reaffirms that these qualitative measures must be assessed in addition to the radiographic variables when counseling ASD patients regarding their expected surgical outcomes. (c) 2024 Elsevier Inc. All rights reserved.</t>
  </si>
  <si>
    <t>Mohanty, Sarthak; Hassan, Fthimnir M.; Lenke, Lawrence G.; Lewerenz, Erik; Passias, Peter G.; Klineberg, Eric O.; Lafage, Virginie; Smith, Justin S.; Hamilton, D. Kojo; Gum, Jeffrey L.; Lafage, Renaud; Mullin, Jeffrey; Diebo, Bassel; Buell, Thomas J.; Kim, Han Jo; Kebaish, Khalid; Eastlack, Robert; Daniels, Alan H.; Mundis, Gregory; Hostin, Richard; Protopsaltis, Themistocles S.; Hart, Robert A.; Gupta, Munish; Schwab, Frank J.; Shaffrey, Christopher I.; Ames, Christopher P.; Burton, Douglas; Bess, Shay</t>
  </si>
  <si>
    <t>Hassan, FM (corresponding author), Columbia Univ, Daniel &amp; Jane Spine Hosp, Med Ctr, New York Presbyterian, 5141 Broadway, New York, NY 10034 USA.</t>
  </si>
  <si>
    <t>fh2444@cumc.columbia.edu</t>
  </si>
  <si>
    <t>International Spine Study Group Foundation (ISSGF)</t>
  </si>
  <si>
    <t>International Spine Study Group (ISSG) is an independent, multicenter study group devoted to performing the highest quality research to evaluate the clinical and radiographic outcomes associated with treatment for adult spinal deformity. All funding for ISSG study efforts comes from the International Spine Study Group Foundation (ISSGF) which is a nonprofit, independent, private foundation, 501 (3) (c) established 2/1/2010.</t>
  </si>
  <si>
    <t>[Mohanty, Sarthak; Hassan, Fthimnir M.; Lenke, Lawrence G.; Lewerenz, Erik; Int Spine Study Grp] Columbia Univ, Dept Orthopaed, Med Ctr, New York, NY 10034 USA; [Passias, Peter G.; Protopsaltis, Themistocles S.] NYU, Langone Med Ctr, Dept Orthopaed Surg, New York, NY USA; [Klineberg, Eric O.] Univ Calif Davis, Med Ctr, Dept Orthopaed Surg, Sacramento, CA USA; [Lafage, Virginie; Lafage, Renaud; Schwab, Frank J.] Northwell Hlth Lenox Hill, Dept Orthopaed Surg, New York, NY USA; [Smith, Justin S.] Univ Virginia, Med Ctr, Dept Neurosurg, Charlottesville, VA USA; [Hamilton, D. Kojo; Buell, Thomas J.] Univ Pittsburgh, Dept Neurol Surg, Pittsburgh, PA USA; [Gum, Jeffrey L.] Norton Leatherman Spine Ctr, Dept Orthopaed Surg, Louisville, KY USA; [Mullin, Jeffrey] Univ Buffalo, Dept Neurosurg, Buffalo, NY USA; [Diebo, Bassel; Daniels, Alan H.] Univ Orthoped, Dept Orthoped Surg, Providence, RI USA; [Kim, Han Jo] Hosp Special Surg, Dept Orthopaed Surg, New York, NY USA; [Kebaish, Khalid] Johns Hopkins Med Inst, Dept Orthopaed Surg, Baltimore, MD USA; [Eastlack, Robert; Mundis, Gregory] Scripps Clin, Div Orthopaed Surg, La Jolla, CA USA; [Hostin, Richard] Southwest Scoliosis &amp; Spine Inst, Dept Orthopaed Surg, Dallas, TX USA; [Hart, Robert A.] Swedish Neurosci Inst, Dept Orthopaed Surg, Seattle, WA USA; [Gupta, Munish] Washington Univ, Sch Med, Dept Orthopaed Surg, St Louis, MO USA; [Shaffrey, Christopher I.] Duke Univ, Med Ctr, Dept Neurosurg, Durham, NC USA; [Ames, Christopher P.] Univ Calif San Francisco, Spine Ctr, Dept Neurosurg, San Francisco, CA USA; [Burton, Douglas] Univ Kansas, Med Ctr, Dept Orthopaed Surg, Kansas City, KS USA; [Bess, Shay] Denver Int Spine Ctr, Dept Orthopaed Surg, Denver, CO USA; [Hassan, Fthimnir M.] Columbia Univ, Daniel &amp; Jane Spine Hosp, Med Ctr, New York Presbyterian, 5141 Broadway, New York, NY 10034 USA</t>
  </si>
  <si>
    <t>Columbia University; NYU Langone Medical Center; New York University; University of California System; University of California Davis; University of Virginia; University of Virginia (UVA) Health System; Pennsylvania Commonwealth System of Higher Education (PCSHE); University of Pittsburgh; State University of New York (SUNY) System; University at Buffalo, SUNY; Johns Hopkins University; Johns Hopkins Medicine; Scripps Research Institute; Swedish Health Services; Washington University (WUSTL); Duke University; University of California System; University of California San Francisco; University of Kansas; University of Kansas Medical Center; Columbia University; Cornell University; Weill Cornell Medicine; NewYork-Presbyterian Hospital</t>
  </si>
  <si>
    <t>Int Spine Study Grp</t>
  </si>
  <si>
    <t>Machine learning clustering of adult spinal deformity patients identifies four prognostic phenotypes: a multicenter prospective cohort analysis with single surgeon external validation</t>
  </si>
  <si>
    <t>Adult spinal deformity; Classifications; Frailty; Machine learning; Mental health; Patient reported outcomes; Phenotypes; Spinal deformity surgery</t>
  </si>
  <si>
    <t>QUALITY-OF-LIFE; NONOPERATIVE TREATMENT; SCOLIOSIS; OUTCOMES; IMPACT; PAIN</t>
  </si>
  <si>
    <t>Lafage, Virginie/E-7747-2010; Hamilton, D/AAA-4616-2020; Diebo, Bassel/G-8835-2015</t>
  </si>
  <si>
    <t>Lafage, Renaud/0000-0002-4820-1835; Passias, Peter/0000-0002-1479-4070; Hassan, Fthimnir/0000-0003-3928-8972</t>
  </si>
  <si>
    <t>1095</t>
  </si>
  <si>
    <t>1108</t>
  </si>
  <si>
    <t>10.1016/j.spinee.2024.02.010</t>
  </si>
  <si>
    <t>http://dx.doi.org/10.1016/j.spinee.2024.02.010</t>
  </si>
  <si>
    <t>UP3K0</t>
  </si>
  <si>
    <t>38365004</t>
  </si>
  <si>
    <t>WOS:001249218700001</t>
  </si>
  <si>
    <t>Lu, YH; Li, ZL; Zhang, WY; Mao, WM; Fu, FX; Wang, WT; Luo, CY; Zhou, RY; Guan, Y; He, B; Li, J</t>
  </si>
  <si>
    <t>Background: Triple-negative breast cancer (TNBC) is a highly aggressive subtype characterized by significant heterogeneity, making accurate prognostic assessment essential for clinical management. However, existing predictive models predominantly rely on single-modality data and lack external validation, which may limit their generalizability and clinical applicability. In light of these limitations, this study sought to explore the feasibility of developing a multi-center prognostic model incorporating clinical and multimodal imaging data, and to preliminarily examine its potential value in supporting risk stratification and treatment decision-making for TNBC patients. Methods: This retrospective, two-center study aimed to develop and externally validate a machine learning-based multimodal radiomics model. This study analyzed 108 patients with pathologically confirmed TNBC between June 2017 and November 2022. Inclusion criteria: pathologically confirmed TNBC, complete clinical/imaging data, no prior anticancer therapy. Exclusion criteria: incomplete follow-up, poor image quality. Pathological confirmation of TNBC [estrogen receptor (ER)/progesterone receptor (PR)/human epidermal growth factor receptor 2 (HER2) negativity by American Society of Clinical Oncology (ASCO)/College of American Pathologists (CAP) guidelines] served as the reference standard. Clinical predictors screened included age, menopausal status, tumor size, nodal status, World Health Organization (WHO) grade, lymphovascular invasion, perilesional edema, and Breast Imaging Reporting and Data System (BI-RADS) features. Clinical, pathological, and imaging [magnetic resonance imaging (MRI) and digital breast tomosynthesis (DBT)] data were collected. Progression-free survival (PFS) risk factors were identified using Cox regression and Kaplan-Meier analysis with log-rank tests. Regions of interest (ROIs), encompassing the primary tumor as well as 5- and 10-mm peritumoral areas, were manually delineated on MRI [T1-weighted imaging (T1WI), T2-weighted imaging (T2WI), dynamic contrast-enhanced (DCE), diffusion-weighted imaging (DWI), apparent diffusion coefficient (ADC)] and DBT [craniocaudal (CC) and mediolateral oblique (MLO) views] images, followed by radiomic feature extraction. Feature selection was performed using the two-sample t-test and least absolute shrinkage and selection operator (LASSO) regression. Five machine learning algorithms [AdaBoost (AB), light gradient boosting machine (LGBM), extreme gradient boosting (XGB), logistic regression (LR), and random forest (RF)] were used to construct models based on clinicopathological, conventional imaging, and radiomic features (tumor-only, tumor + peritumoral, and peritumoral). Rad scores derived from multimodal features were integrated with significant clinicopathological and conventional imaging variables through multivariate Cox stepwise backward regression to construct a predictive nomogram. The nomogram's performance was subsequently evaluated using calibration curves and decision curve analysis. Results: The study included 108 TNBC patients (mean age, 50.42 years; range, 25-79 years) with a median follow-up of 56 months (range, 12-86 months) until August 31, 2024. The cohort was divided into a training set (n=75; 15 progressions) and an external validation set (n=33; 7 progressions).A nomogram incorporating five independent risk factors for PFS-perilesional edema, WHO grade, lymphovascular invasion, peritumoral 10-mm DBT Rad score, and tumor MRI Rad score-demonstrated strong predictive performance, with areas under the curve (AUCs) of 0.858 [training, 95% confidence interval (CI): 0.788-0.928] and 0.736 (validation, 95% CI: 0.676-0.796), and concordance indices (C-indices) of 0.836 (training) and 0.712 (validation). Calibration curves showed good agreement between predicted and observed outcomes, and decision curve analysis confirmed clinical utility across a range of threshold probabilities. Conclusions: The proposed nomogram exhibits promising predictive performance for PFS in TNBC and may offer a useful reference for future prognostic investigations.</t>
  </si>
  <si>
    <t>Lu, Yanhui; Li, Zhuolin; Zhang, Weiyuan; Mao, Weiming; Fu, Fanxin; Wang, Wanting; Luo, Chunyan; Zhou, Rongyan; Guan, Yu; He, Bo; Li, Jun</t>
  </si>
  <si>
    <t>Li, J (corresponding author), Kunming Med Univ, Affiliated Hosp 1, Dept Radiol, 295 Xichang Rd, Kunming 650032, Peoples R China.</t>
  </si>
  <si>
    <t>the Kunming Medical University-level Innovation and Entrepreneurship Training Program for College Students [No. PX-425207]; the Joint Foundation of Yunnan Provincial Science and Technology Department [No. 202101AY070001-101]; the First-Class Discipline Team of Kunming Medical University [No. 2024XKTDTS03]</t>
  </si>
  <si>
    <t>the Kunming Medical University-level Innovation and Entrepreneurship Training Program for College Students; the Joint Foundation of Yunnan Provincial Science and Technology Department; the First-Class Discipline Team of Kunming Medical University</t>
  </si>
  <si>
    <t>Funding: This work was supported by the Joint Foundation of Yunnan Provincial Science and Technology Department (No. 202101AY070001-101), the First-Class Discipline Team of Kunming Medical University (No. 2024XKTDTS03), and the Kunming Medical University-level Innovation and Entrepreneurship Training Program for College Students (No. PX-425207).</t>
  </si>
  <si>
    <t>[Lu, Yanhui; Zhang, Weiyuan; Fu, Fanxin; Wang, Wanting; Luo, Chunyan; He, Bo; Li, Jun] Kunming Med Univ, Affiliated Hosp 1, Dept Radiol, 295 Xichang Rd, Kunming 650032, Peoples R China; [Lu, Yanhui] Southern Cent Hosp Yunnan Prov, Peoples Hosp Honghe Prefecture 1, Dept Radiol, Honghe, Peoples R China; [Li, Zhuolin; Zhou, Rongyan] Kunming Med Univ, Affiliated Hosp 3, Yunnan Canc Hosp, Dept Radiol, Kunming, Peoples R China; [Mao, Weiming] Yunnan Normal Univ, Sch Phys &amp; Elect Informat, Kunming 650500, Peoples R China; [Guan, Yu] Kunming Med Univ, Sch Clin Med 1, Kunming, Peoples R China</t>
  </si>
  <si>
    <t>Kunming Medical University; Kunming Medical University; Yunnan Normal University; Kunming Medical University</t>
  </si>
  <si>
    <t>Development and external validation of a machine learning-based multimodal radiomics nomogram for predicting progression-free survival in triple-negative breast cancer</t>
  </si>
  <si>
    <t>TRANSLATIONAL CANCER RESEARCH</t>
  </si>
  <si>
    <t>Triple-negative breast cancer (TNBC); progression-free survival (PFS); radiomics; machine learning</t>
  </si>
  <si>
    <t>2218-676X</t>
  </si>
  <si>
    <t>2219-6803</t>
  </si>
  <si>
    <t>TRANSL CANCER RES</t>
  </si>
  <si>
    <t>Transl. Cancer Res.</t>
  </si>
  <si>
    <t>JUL 31 2026</t>
  </si>
  <si>
    <t>519</t>
  </si>
  <si>
    <t>10.21037/tcr-2026-1-0341</t>
  </si>
  <si>
    <t>http://dx.doi.org/10.21037/tcr-2026-1-0341</t>
  </si>
  <si>
    <t>MM7TR</t>
  </si>
  <si>
    <t>WOS:001845941400024</t>
  </si>
  <si>
    <t>Li, M; Xu, A; Luo, XG</t>
  </si>
  <si>
    <t>Background Excessive daytime sleepiness (EDS) is a common non-motor symptom in Parkinson's disease (PD). Predicting EDS risk enables early intervention. This study aimed to develop and externally validate an explainable machine learning model for EDS prediction in PD.Methods A total of 676 patients with Hoehn and Yahr (H&amp;Y) stage 1 PD from the Parkinson's Progression Markers Initiative (PPMI) were retrospectively included as the development cohort, randomly split into training and internal validation sets (7:3). An external validation cohort comprised 180 H&amp;Y stage 1 patients from our clinical center. Least absolute shrinkage and selection operator (LASSO) regression and Boruta feature selection identified predictive variables. Four machine learning models were compared, and the optimal model was interpreted using Shapley Additive exPlanations (SHAP).Results Five features were selected: Geriatric Depression Scale (GDS), State-Trait Anxiety Index (STAI), Scales for Outcomes in Parkinson's Disease-Autonomic (SCOPA), Unified Parkinson's Disease Rating Scale parts I (UPDRS I) and II (UPDRS II). The logistic regression model achieved the best performance, with an area under the receiver operating characteristic curve (AUC) of 0.732 (95% CI: 0.641-0.823) in the internal validation set and 0.673 (95% CI: 0.552-0.793) in the external validation set. SHAP analysis identified key contributors.Conclusion We developed and externally validated an explainable machine learning model for EDS prediction in H&amp;Y stage 1 PD. This tool may facilitate early risk stratification and personalized management of sleep problems in this subgroup.</t>
  </si>
  <si>
    <t>Li, Min; Xu, An; Luo, Xiaoguang</t>
  </si>
  <si>
    <t>Luo, XG (corresponding author), Jinan Univ, Southern Univ Sci &amp; Technol, Shenzhen Peoples Hosp, Affiliated Hosp 1,Clin Med Coll 2,Dept Neurol, Shenzhen, Guangdong, Peoples R China.; Luo, XG (corresponding author), Guangdong Prov Clin Res Ctr Geriatr, Shenzhen Clin Res Ctr Geriatr, Shenzhen, Guangdong, Peoples R China.</t>
  </si>
  <si>
    <t>grace_shenyang@163.com</t>
  </si>
  <si>
    <t>Shenzhen Science and Technology Program [JCYJ20241202130703005, JCYJ20240813104306010]; Shenzhen Medical Research Program [C2501021]</t>
  </si>
  <si>
    <t>Shenzhen Science and Technology Program (Shenzhen Science and Technology Program); Shenzhen Medical Research Program</t>
  </si>
  <si>
    <t>The author(s) declared that financial support was received for this work and/or its publication. This study was funded by the Shenzhen Science and Technology Program (JCYJ20241202130703005, JCYJ20240813104306010) and the Shenzhen Medical Research Program (C2501021). The funders had no roles in the design of the study and collection, analysis, and interpretation of data or manuscript writing.</t>
  </si>
  <si>
    <t>[Li, Min] Jinan Univ, Clin Med Coll 2, Dept Neurol, Shenzhen, Guangdong, Peoples R China; [Li, Min; Luo, Xiaoguang] Jinan Univ, Southern Univ Sci &amp; Technol, Shenzhen Peoples Hosp, Affiliated Hosp 1,Clin Med Coll 2,Dept Neurol, Shenzhen, Guangdong, Peoples R China; [Xu, An] Jinan Univ, Southern Univ Sci &amp; Technol, Shenzhen Peoples Hosp,Shenzhen Inst Resp Dis, Affiliated Hosp 1,Clin Med Coll 2,Dept Resp &amp; Crit, Shenzhen, Guangdong, Peoples R China; [Xu, An; Luo, Xiaoguang] Guangdong Prov Clin Res Ctr Geriatr, Shenzhen Clin Res Ctr Geriatr, Shenzhen, Guangdong, Peoples R China</t>
  </si>
  <si>
    <t>Jinan University; Southern University of Science &amp; Technology; Jinan University; Jinan University</t>
  </si>
  <si>
    <t>Machine learning-based prediction of excessive daytime sleepiness in patients with Parkinson's disease: findings from the PPMI cohort with external validation</t>
  </si>
  <si>
    <t>external validation; machine learning; Parkinson's disease; prediction model; sleep disturbance</t>
  </si>
  <si>
    <t>JUL 20 2026</t>
  </si>
  <si>
    <t>1894008</t>
  </si>
  <si>
    <t>10.3389/fmed.2026.1894008</t>
  </si>
  <si>
    <t>http://dx.doi.org/10.3389/fmed.2026.1894008</t>
  </si>
  <si>
    <t>MB6HU</t>
  </si>
  <si>
    <t>42549265</t>
  </si>
  <si>
    <t>WOS:001838373400001</t>
  </si>
  <si>
    <t>Lopez-Ayala, P; Boeddinghaus, J; Nestelberger, T; Koechlin, L; Zimmermann, T; Bima, P; Glaeser, J; Spagnuolo, CC; Champetier, A; Miro, O; Martin-Sanchez, FJ; Keller, DI; Christ, M; Wildi, K; Breidthardt, T; Strebel, I; Mueller, C</t>
  </si>
  <si>
    <t>Background The myocardial-ischaemic-injury-index (MI3 ) is a novel machine learning algorithm for the early diagnosis of type 1 non -ST -segment elevation myocardial infarction (NSTEMI). The performance of MI3 , both when using early serial blood draws (eg, at 1 h or 2 h) and in direct comparison with guideline-recommended algorithms, remains unknown. Our aim was to externally validate MI3 and compare its performance with that of the European Society of Cardiology (ESC) 0/1h-algorithm. Methods In this secondary analysis of a multicentre international diagnostic cohort study, adult patients (age &gt;18 years) presenting to the emergency department with symptoms suggestive of myocardial infarction were prospectively enrolled from April 21, 2006, to Feb 27, 2019 in 12 centres from five European countries (Switzerland, Spain, Italy, Poland, and Czech Republic). Patients were excluded if they presented with ST -segment -elevation myocardial infarction, did not have at least two serial high-sensitivity cardiac troponin I (hs-cTnI) measurements, or if the final diagnosis remained unclear. The final diagnosis was centrally adjudicated by two independent cardiologists using all available medical records, including serial hs-cTnI measurements and cardiac imaging. The primary outcome was type 1 NSTEMI. The performance of MI3 was directly compared with that of the ESC 0/1h-algorithm. Findings Among 6487 patients, (median age 61&lt;middle dot&gt;0 years [IQR 49&lt;middle dot&gt;0-73&lt;middle dot&gt;0]; 2122 [33%] female and 4365 [67%] male), 882 (13&lt;middle dot&gt;6%) patients had type 1 NSTEMI. The median time difference between the first and second hs-cTnI measurement was 60&lt;middle dot&gt;0 mins (IQR 57&lt;middle dot&gt;0-70&lt;middle dot&gt;0). MI3 performance was very good, with an area under the receiver-operating-characteristic curve of 0&lt;middle dot&gt;961 (95% CI 0&lt;middle dot&gt;957 to 0&lt;middle dot&gt;965) and a good overall calibration (intercept -0&lt;middle dot&gt;09 [-0&lt;middle dot&gt;2 to 0&lt;middle dot&gt;02]; slope 1&lt;middle dot&gt;02 [0&lt;middle dot&gt;97 to 1&lt;middle dot&gt;08]). The originally defined MI3 score of less than 1&lt;middle dot&gt;6 identified 4186 (64&lt;middle dot&gt;5%) patients as low probability of having a type 1 NSTEMI (sensitivity 99&lt;middle dot&gt;1% [95% CI 98&lt;middle dot&gt;2 to 99&lt;middle dot&gt;5]; negative predictive value [NPV] 99&lt;middle dot&gt;8% [95% CI 99&lt;middle dot&gt;6 to 99&lt;middle dot&gt;9]) and an MI3 score of 49&lt;middle dot&gt;7 or more identified 915 (14&lt;middle dot&gt;1%) patients as high probability of having a type 1 NSTEMI (specificity 95&lt;middle dot&gt;0% [94&lt;middle dot&gt;3 to 95&lt;middle dot&gt;5]; positive predictive value [PPV] 69&lt;middle dot&gt;1% [66&lt;middle dot&gt;0-72&lt;middle dot&gt;0]). The sensitivity and NPV of the ESC 0/1h-algorithm were higher than that of MI3 (difference for sensitivity 0&lt;middle dot&gt;88% [0&lt;middle dot&gt;19 to 1&lt;middle dot&gt;60], p=0&lt;middle dot&gt;0082; difference for NPV 0&lt;middle dot&gt;18% [0&lt;middle dot&gt;05 to 0&lt;middle dot&gt;32], p=0&lt;middle dot&gt;016), and the rule-out efficacy was higher for MI3 (11% difference, p&lt;0&lt;middle dot&gt;0001). Specificity and PPV for MI3 were superior (difference for specificity 3&lt;middle dot&gt;80% [3&lt;middle dot&gt;24 to 4&lt;middle dot&gt;36], p&lt;0&lt;middle dot&gt;0001; difference for PPV 7&lt;middle dot&gt;84% [5&lt;middle dot&gt;86 to 9&lt;middle dot&gt;97], p&lt;0&lt;middle dot&gt;0001), and the rule-in efficacy was higher for the ESC 0/1h-algorithm (5&lt;middle dot&gt;4% difference, p&lt;0&lt;middle dot&gt;0001).Interpretation MI3 performs very well in diagnosing type 1 NSTEMI, demonstrating comparability to the ESC 0/1h-algorithm in an emergency department setting when using early serial blood draws. Copyright (c) 2024 The Author(s). Published by Elsevier Ltd. This is an Open Access article under the CC BY 4.0 license.</t>
  </si>
  <si>
    <t>Lopez-Ayala, Pedro; Boeddinghaus, Jasper; Nestelberger, Thomas; Koechlin, Luca; Zimmermann, Tobias; Bima, Paolo; Glaeser, Jonas; Spagnuolo, Carlos C.; Champetier, Arnaud; Miro, Oscar; Martin-Sanchez, Francisco Javier; Keller, Dagmar, I; Christ, Michael; Wildi, Karin; Breidthardt, Tobias; Strebel, Ivo; Mueller, Christian</t>
  </si>
  <si>
    <t>Lopez-Ayala, P; Mueller, C (corresponding author), Univ Basel, Cardiovasc Res Inst Basel, Univ Hosp Basel, CH-4031 Basel, Switzerland.</t>
  </si>
  <si>
    <t>christian.mueller@usb.ch; pedro.lopezayala@usb.ch</t>
  </si>
  <si>
    <t>Swiss National Science Foundation; Swiss Heart Foundation; EU; University Hospital Basel; University of Basel; Abbott; Beckman Coulter; Roche; Idorsia; Quidel; Ortho Clinical Diagnostics; Siemens; Singulex</t>
  </si>
  <si>
    <t>Swiss National Science Foundation (Swiss National Science Foundation (SNSF)); Swiss Heart Foundation; EU (European Union (EU)); University Hospital Basel; University of Basel (University of Basel); Abbott; Beckman Coulter; Roche; Idorsia; Quidel; Ortho Clinical Diagnostics; Siemens; Singulex</t>
  </si>
  <si>
    <t>Swiss National Science Foundation, Swiss Heart Foundation, the EU, the University Hospital Basel, the University of Basel, Abbott, Beckman Coulter, Roche, Idorsia, Ortho Clinical Diagnostics, Quidel, Siemens, and Singulex.</t>
  </si>
  <si>
    <t>[Lopez-Ayala, Pedro; Boeddinghaus, Jasper; Nestelberger, Thomas; Koechlin, Luca; Zimmermann, Tobias; Bima, Paolo; Glaeser, Jonas; Spagnuolo, Carlos C.; Champetier, Arnaud; Wildi, Karin; Breidthardt, Tobias; Strebel, Ivo; Mueller, Christian] Univ Basel, Cardiovasc Res Inst Basel, Univ Hosp Basel, CH-4031 Basel, Switzerland; [Lopez-Ayala, Pedro; Boeddinghaus, Jasper; Nestelberger, Thomas; Koechlin, Luca; Zimmermann, Tobias; Bima, Paolo; Glaeser, Jonas; Spagnuolo, Carlos C.; Champetier, Arnaud; Wildi, Karin; Breidthardt, Tobias; Strebel, Ivo; Mueller, Christian] Univ Basel, Dept Cardiol, Univ Hosp Basel, Basel, Switzerland; [Koechlin, Luca] Univ Basel, Dept Cardiac Surg, Univ Hosp Basel, Basel, Switzerland; [Lopez-Ayala, Pedro; Boeddinghaus, Jasper; Nestelberger, Thomas; Koechlin, Luca; Zimmermann, Tobias; Bima, Paolo; Glaeser, Jonas; Spagnuolo, Carlos C.; Champetier, Arnaud; Miro, Oscar; Martin-Sanchez, Francisco Javier; Breidthardt, Tobias; Strebel, Ivo; Mueller, Christian] GREAT Assoc, Rome, Italy; [Boeddinghaus, Jasper] Univ Edinburgh, BHF Ctr Cardiovasc Sci, Edinburgh, Scotland; [Miro, Oscar] Univ Barcelona, Hosp Clin, Emergency Dept, Barcelona, Spain; [Martin-Sanchez, Francisco Javier] Hosp Clin San Carlos, Emergency Dept, Madrid, Spain; [Keller, Dagmar, I] Klin Gut, Emergency Dept, St Moritz, Switzerland; [Christ, Michael] Luzerner Kantonsspital, Dept Emergency Med, Luzern, Switzerland</t>
  </si>
  <si>
    <t>University of Basel; University of Basel; University of Basel; University of Edinburgh; University of Barcelona; Hospital Clinic de Barcelona; Hospital Clinico San Carlos; Lucerne Cantonal Hospital</t>
  </si>
  <si>
    <t>APACE Investigators</t>
  </si>
  <si>
    <t>External validation of the myocardial-ischaemic-injury-index machine learning algorithm for the early diagnosis of myocardial infarction: a multicentre cohort study</t>
  </si>
  <si>
    <t>Basel; Switzerland</t>
  </si>
  <si>
    <t>RULE-OUT; OBSERVE-ZONE; TROPONIN; VALUES</t>
  </si>
  <si>
    <t>Spagnuolo, Carlos/NDS-8540-2025; Christ, Michael/AAQ-8121-2020; Keller, Dagmar/JDW-8300-2023; Koechlin, Luca/QQX-9195-2026; Wildi, Karin/AAN-3644-2020; Bima, Paolo/PLR-7465-2026; Boeddinghaus, Jasper/MDT-6558-2025; MARTÍN SÁNCHEZ, F. JAVIER/G-7342-2014</t>
  </si>
  <si>
    <t>Koechlin, Luca/0000-0002-2929-8600; Spagnuolo, Carlos/0009-0000-3481-7666; Champetier, Arnaud/0009-0003-0016-8815; Zimmermann, Tobias/0000-0002-6862-5205; Boeddinghaus, Jasper/0000-0003-4404-4956; MARTÍN SÁNCHEZ, F. JAVIER/0000-0002-5970-725X</t>
  </si>
  <si>
    <t>e480</t>
  </si>
  <si>
    <t>e488</t>
  </si>
  <si>
    <t>10.1016/S2589-7500(24)00088-8</t>
  </si>
  <si>
    <t>http://dx.doi.org/10.1016/S2589-7500(24)00088-8</t>
  </si>
  <si>
    <t>XF5U3</t>
  </si>
  <si>
    <t>38906613</t>
  </si>
  <si>
    <t>WOS:001260289200001</t>
  </si>
  <si>
    <t>Qin, ZZ; Van der Walt, M; Moyo, S; Ismail, F; Maribe, P; Denkinger, CM; Zaidi, S; Barrett, R; Mvusi, L; Mkhondo, N; Zuma, K; Manda, S; Koeppel, L; Mthiyane, T; Creswell, J</t>
  </si>
  <si>
    <t>Background Computer-aided detection (CAD) can help identify people with active tuberculosis left undetected. However, few studies have compared the performance of commercially available CAD products for screening in high tuberculosis and high HIV settings, and there is poor understanding of threshold selection across products in different populations. We aimed to compare CAD products' performance, with further analyses on subgroup performance and threshold selection. Methods We evaluated 12 CAD products on a case-control sample of participants from a South African tuberculosis prevalence survey. Only those with microbiological test results were eligible. The primary outcome was comparing products' accuracy using the area under the receiver operating characteristic curve (AUC) against microbiological evidence. Threshold analyses were performed based on pre-defined criteria and across all thresholds. We conducted subgroup analyses including age, gender, HIV status, previous tuberculosis history, symptoms presence, and current smoking status. Findings Of the 774 people included, 516 were bacteriologically negative and 258 were bacteriologically positive. Diverse accuracy was noted: Lunit and Nexus had AUCs near 0&lt;middle dot&gt;9, followed by qXR, JF CXR-2, InferRead, Xvision, and ChestEye (AUCs 0&lt;middle dot&gt;8-0&lt;middle dot&gt;9). XrayAME, RADIFY, and TiSepX-TB had AUC under 0&lt;middle dot&gt;8. Thresholds varied notably across these products and different versions of the same products. Certain products (Lunit, Nexus, JF CXR-2, and qXR) maintained high sensitivity (&gt;90%) across a wide threshold range while reducing the number of individuals requiring confirmatory diagnostic testing. All products generally performed worst in older individuals, people with previous tuberculosis, and people with HIV. Variations in thresholds, sensitivity, and specificity existed across groups and settings. Interpretation Several previously unevaluated products performed similarly to those evaluated by WHO. Thresholds differed across products and demographic subgroups. The rapid emergence of products and versions necessitates a global strategy to validate new versions and software to support CAD product and threshold selections.</t>
  </si>
  <si>
    <t>Qin, Zhi Zhen; Van der Walt, Martie; Moyo, Sizulu; Ismail, Farzana; Maribe, Phaleng; Denkinger, Claudia M.; Zaidi, Sarah; Barrett, Rachael; Mvusi, Lindiwe; Mkhondo, Nkateko; Zuma, Khangelani; Manda, Samuel; Koeppel, Lisa; Mthiyane, Thuli; Creswell, Jacob</t>
  </si>
  <si>
    <t>Qin, ZZ (corresponding author), Stop TB Partnership, CH-1218 Geneva, Switzerland.</t>
  </si>
  <si>
    <t>zhizhenq@stoptb.org</t>
  </si>
  <si>
    <t>Government of Canada</t>
  </si>
  <si>
    <t>Government of Canada (CGIAR)</t>
  </si>
  <si>
    <t>Government of Canada.</t>
  </si>
  <si>
    <t>[Qin, Zhi Zhen; Zaidi, Sarah; Barrett, Rachael; Creswell, Jacob] Stop TB Partnership, CH-1218 Geneva, Switzerland; [Qin, Zhi Zhen; Denkinger, Claudia M.; Koeppel, Lisa] Heidelberg Univ Hosp, German Ctr Infect Res Partner Site, Dept Infect Dis &amp; Trop Med, Heidelberg, Germany; [Van der Walt, Martie; Manda, Samuel; Mthiyane, Thuli] South Africa Med Res Council, Pretoria, South Africa; [Moyo, Sizulu; Maribe, Phaleng] Human Sci Res Council, Human &amp; Social Capabil Div, Cape Town, South Africa; [Ismail, Farzana] Natl Inst Communicable Dis, Pretoria, South Africa; [Mvusi, Lindiwe] South African Natl Dept Hlth, Cape Town, South Africa; [Mkhondo, Nkateko] WHO, Pretoria, South Africa</t>
  </si>
  <si>
    <t>German Center for Infection Research; Ruprecht Karls University Heidelberg; Human Sciences Research Council-South Africa; National Institute for Communicable Diseases (NICD); World Health Organization</t>
  </si>
  <si>
    <t>Computer-aided detection of tuberculosis from chest radiographs in atuberculosis prevalence survey in South Africa: external validation and modelled impacts of commercially available artificial intelligence software</t>
  </si>
  <si>
    <t>PULMONARY TUBERCULOSIS</t>
  </si>
  <si>
    <t>/B-8212-2019; Ismail, Farzana/KDO-6927-2024; Koeppel, Lisa/IZE-1305-2023; Manda, Samuel/KAM-0736-2024</t>
  </si>
  <si>
    <t>Zaidi, Sarah/0000-0003-3945-6251; Manda, Samuel/0000-0002-9672-3312; , Rachael/0000-0001-5004-2573</t>
  </si>
  <si>
    <t>e605</t>
  </si>
  <si>
    <t>e613</t>
  </si>
  <si>
    <t>10.1016/S2589-7500(24)00118-3</t>
  </si>
  <si>
    <t>http://dx.doi.org/10.1016/S2589-7500(24)00118-3</t>
  </si>
  <si>
    <t>E2G9Y</t>
  </si>
  <si>
    <t>39033067</t>
  </si>
  <si>
    <t>WOS:001301251100001</t>
  </si>
  <si>
    <t>Lei, RD; Ou, J; Chen, Y; Luo, MJ; Ruan, XR; Wei, JH; Li, ZY; Qin, JB</t>
  </si>
  <si>
    <t>&lt;bold&gt;Background&lt;/bold&gt;: Postoperative pulmonary complications (PPCs) remain common in older adults undergoing degenerative spine surgery and are associated with adverse outcomes. We aimed to develop and externally validate an explainable machine-learning model using routinely available perioperative variables to estimate individual PPC risk. &lt;bold&gt;Methods&lt;/bold&gt;: We conducted a two-center retrospective cohort study including consecutive patients aged &gt;= 65 years undergoing degenerative cervical or lumbar spine surgery under general anesthesia. The development cohort included 1200 patients (Affiliated Nanhua Hospital, University of South China; 2024-2025), and the external validation cohort included 600 patients (First Affiliated Hospital, University of South China; 2025). PPCs within 7 postoperative days were defined using EPCO criteria. Twenty-five prespecified predictors were considered. Missing data were handled using multiple imputation, and continuous variables were standardized. Feature selection was performed using LASSO with 10-fold cross-validation and the 1-standard-error rule. We trained six machine-learning models (DT, RF, SVM, XGBoost, LightGBM, ANN) and logistic regression as a benchmark, with hyperparameters tuned by 5-fold cross-validation in the development cohort. Performance was assessed by AUROC, calibration (plots and Brier score), decision-curve analysis, and threshold-based metrics; SHAP was used for interpretability. A web-based calculator was implemented for clinical use. &lt;bold&gt;Results&lt;/bold&gt;: PPCs occurred in 222/1200 (18.5%) patients in the development cohort and 123/600 (20.5%) in the external validation cohort. LASSO selected 11 predictors. In external validation, the random forest model achieved AUROC 0.786 (95% CI 0.740-0.829) and Brier score 0.137 (95% CI 0.119-0.154), with favorable decision-curve performance, and achieved an accuracy of 73.83%, sensitivity of 68.29%, specificity of 75.26%, PPV of 41.58%, NPV of 90.20%, and an F1 score of 51.69% at the prespecified threshold. &lt;bold&gt;Conclusions&lt;/bold&gt;: We developed and externally validated multiple prediction models for PPCs in older adults undergoing degenerative spine surgery. The random forest model provided balanced performance and SHAP-based interpretability and was retained as an implementation-focused model for perioperative or immediate postoperative risk estimation. Further prospective validation, comparison with established clinical risk scores, and model updating in more diverse clinical settings are needed before routine clinical implementation.</t>
  </si>
  <si>
    <t>Lei, Ridan; Ou, Jun; Chen, Ye; Luo, Manjun; Ruan, Xiaorui; Wei, Jianhui; Li, Ziye; Qin, Jiabi</t>
  </si>
  <si>
    <t>Qin, JB (corresponding author), Kunming Med Univ, Sch Publ Hlth, Dept Epidemiol &amp; Hlth Stat, Kunming 650500, Peoples R China.</t>
  </si>
  <si>
    <t>qinjiabi123@163.com</t>
  </si>
  <si>
    <t>National Natural Science Foundation Program of China [82473644, 82404362, 82073653]; Natural Science Foundation of Hunan Province of China [2022JJ40207]; Hunan Provincial Key Research and Development Program [2018SK2063]; Changsha Municipal Natural Science Foundation [kq2202470]; Hunan Provincial Science and Technology Talent Support Project [2020TJ-N07]; Hunan Outstanding Youth Fund Project [2022JJ10087]</t>
  </si>
  <si>
    <t>National Natural Science Foundation Program of China (National Natural Science Foundation of China (NSFC)); Natural Science Foundation of Hunan Province of China (Natural Science Foundation of Hunan Province); Hunan Provincial Key Research and Development Program; Changsha Municipal Natural Science Foundation; Hunan Provincial Science and Technology Talent Support Project; Hunan Outstanding Youth Fund Project</t>
  </si>
  <si>
    <t>This work was supported by funding from the National Natural Science Foundation Program of China (grant numbers: 82473644, 82404362 and 82073653), Hunan Outstanding Youth Fund Project (grant number: 2022JJ10087), Hunan Provincial Science and Technology Talent Support Project (grant number: 2020TJ-N07), Hunan Provincial Key Research and Development Program (grant number: 2018SK2063), Natural Science Foundation of Hunan Province of China (grant number: 2022JJ40207), and Changsha Municipal Natural Science Foundation (grant number: kq2202470).</t>
  </si>
  <si>
    <t>[Lei, Ridan; Ou, Jun; Chen, Ye; Luo, Manjun; Ruan, Xiaorui; Wei, Jianhui; Li, Ziye] Cent South Univ, Xiangya Sch Publ Hlth, Dept Epidemiol &amp; Hlth Stat, Changsha 410013, Peoples R China; [Qin, Jiabi] Kunming Med Univ, Sch Publ Hlth, Dept Epidemiol &amp; Hlth Stat, Kunming 650500, Peoples R China</t>
  </si>
  <si>
    <t>Central South University; Kunming Medical University</t>
  </si>
  <si>
    <t>Development and External Validation of an Explainable Machine-Learning Model for Predicting Postoperative Pulmonary Complications in Older Adults Undergoing Degenerative Spine Surgery</t>
  </si>
  <si>
    <t>postoperative pulmonary complications; degenerative spine surgery; older adults; machine learning; prediction model; external validation; SHAP; decision curve analysis</t>
  </si>
  <si>
    <t>RISK-FACTORS; PERIOPERATIVE COMPLICATIONS; NONCARDIOTHORACIC SURGERY; BLOOD-LOSS; DISEASE; GUIDELINES; STANDARDS; SCORE</t>
  </si>
  <si>
    <t>5375</t>
  </si>
  <si>
    <t>10.3390/jcm15145375</t>
  </si>
  <si>
    <t>http://dx.doi.org/10.3390/jcm15145375</t>
  </si>
  <si>
    <t>LS4ZD</t>
  </si>
  <si>
    <t>42513290</t>
  </si>
  <si>
    <t>WOS:001832169100001</t>
  </si>
  <si>
    <t>Giammanco, A; Bychkov, A; Schallenberg, S; Tsvetkov, T; Fukuoka, J; Pryalukhin, A; Mairinger, F; Seper, A; Hulla, W; Klein, S; Quaas, A; Büttner, R; Tolkach, Y</t>
  </si>
  <si>
    <t>Lymph node metastasis (LNM) detection can be automated using arti ficial intelligence (AI)-based diagnostic tools. Only limited studies have addressed this task for colorectal cancer (CRC). This study aimed to develop of a clinical-grade digital pathology tool for LNM detection in CRC using the original fast-track framework. The training cohort included 432 slides from one department. A segmentation algorithm detecting 8 relevant tissue classes was trained. The test cohorts consisted of materials from 5 pathology departments digitized by 4 different scanning systems. A high-quality, large training data set was generated within 7 days and a minimal amount of annotation work using fast-track principles. The AI tool showed very high accuracy for LNM detection in all cohorts, with sensitivity, negative predictive value, and speci ficity ranges of 0.980 to 1.000, 0.997 to 1.000, and 0.913 to 0.990, correspondingly. Only 5 of 14,460 analyzed test slides with tumor cells over all cohorts were classi fied as false negative (3/5 representing clusters of tumor cells in lymphatic vessels). A clinical-grade tool was trained in a short time using fast-track development principles and validated using the largest international, multi-institutional, multiscanner cohort of cases to date, showing very high precision for LNM detection in CRC. We are releasing a part of the test data sets to facilitate academic research. (c) 2024 THE AUTHORS. Published by Elsevier Inc. on behalf of the United States &amp; Canadian Academy of Pathology. This is an open access article under the CC BY license (http://creativecommons.org/ licenses/by/4.0/).</t>
  </si>
  <si>
    <t>Giammanco, Avri; Bychkov, Andrey; Schallenberg, Simon; Tsvetkov, Tsvetan; Fukuoka, Junya; Pryalukhin, Alexey; Mairinger, Fabian; Seper, Alexander; Hulla, Wolfgang; Klein, Sebastian; Quaas, Alexander; Buettner, Reinhard; Tolkach, Yuri</t>
  </si>
  <si>
    <t>Tolkach, Y (corresponding author), Univ Hosp Cologne, Inst Pathol, Cologne, Germany.</t>
  </si>
  <si>
    <t>yuri.tolkach@gmail.com</t>
  </si>
  <si>
    <t>North Rhine-Westphalia state (European Fund for Regional Development (EFRE) , 2014-2020; REACT-EU) : Project DIGI-PATH; Federal Ministry of Education and Research of Germany: Project FED-PATH; Wilhelm Sander Foundation, Munich, Germany [2022.040.1]</t>
  </si>
  <si>
    <t>North Rhine-Westphalia state (European Fund for Regional Development (EFRE) , 2014-2020; REACT-EU) : Project DIGI-PATH (European Union (EU)); Federal Ministry of Education and Research of Germany: Project FED-PATH; Wilhelm Sander Foundation, Munich, Germany</t>
  </si>
  <si>
    <t>This project was funded by North Rhine-Westphalia state (European Fund for Regional Development (EFRE) , 2014-2020; REACT-EU) : Project DIGI-PATH (Y.T. and R.B.) , by Federal Ministry of Education and Research of Germany: Project FED-PATH (Y.T., R.B., and F.M.) , and the Wilhelm Sander Foundation, Munich, Germany: Grant 2022.040.1 (Y.T.) . Y.T. and A.G. have access to all the data.</t>
  </si>
  <si>
    <t>[Giammanco, Avri; Tsvetkov, Tsvetan; Klein, Sebastian; Quaas, Alexander; Buettner, Reinhard; Tolkach, Yuri] Univ Hosp Cologne, Inst Pathol, Cologne, Germany; [Bychkov, Andrey; Fukuoka, Junya] Kameda Med Ctr, Dept Pathol, Kamogawa, Japan; [Bychkov, Andrey; Fukuoka, Junya] Nagasaki Univ, Dept Pathol Informat, Nagasaki, Japan; [Schallenberg, Simon; Pryalukhin, Alexey] Charite Univ Clin, Inst Pathol, Berlin, Germany; [Seper, Alexander; Hulla, Wolfgang; Quaas, Alexander] Wiener Neustadt State Hosp, Inst Pathol, Wiener Neustadt, Austria; [Mairinger, Fabian] Univ Hosp Essen, Inst Pathol, Essen, Germany; [Seper, Alexander] Danube Private Univ, Vienna, Austria</t>
  </si>
  <si>
    <t>University of Cologne; Nagasaki University; Free University of Berlin; Humboldt University of Berlin; Charite Universitatsmedizin Berlin; University of Duisburg Essen</t>
  </si>
  <si>
    <t>Fast-Track Development and Multi-institutional Clinical Validation of an Artificial Intelligence Algorithm for Detection of Lymph Node Metastasis in Colorectal Cancer</t>
  </si>
  <si>
    <t>MODERN PATHOLOGY</t>
  </si>
  <si>
    <t>artificial intelligence; colorectal cancer; digital pathology; lymph node; metastasis detection; validation</t>
  </si>
  <si>
    <t>Bychkov, Aney/N-1884-2019; Pryalukhin, Alexey/J-7620-2012; Mairinger, Fabian Dominik/IST-1621-2023; Quaas, Alexander/LXB-4339-2024</t>
  </si>
  <si>
    <t>Bychkov, Aney/0000-0002-4203-5696; Schallenberg, Simon/0000-0002-7897-7116; Tolkach, Yuri/0000-0001-5239-2841</t>
  </si>
  <si>
    <t>0893-3952</t>
  </si>
  <si>
    <t>1530-0285</t>
  </si>
  <si>
    <t>MODERN PATHOL</t>
  </si>
  <si>
    <t>Mod. Pathol.</t>
  </si>
  <si>
    <t>100496</t>
  </si>
  <si>
    <t>10.1016/j.modpat.2024.100496</t>
  </si>
  <si>
    <t>http://dx.doi.org/10.1016/j.modpat.2024.100496</t>
  </si>
  <si>
    <t>Pathology</t>
  </si>
  <si>
    <t>TI1D3</t>
  </si>
  <si>
    <t>38636778</t>
  </si>
  <si>
    <t>WOS:001240535700001</t>
  </si>
  <si>
    <t>Yan, SC; Cao, Z; Zhang, QY; Chen, BR; Wu, H; Cao, HT; Li, XB; Wang, YQ; Wang, YL; Chen, YH; Liu, ZW</t>
  </si>
  <si>
    <t>Background: Malignant struma ovarii (MSO) is a rare thyroid-type cancer originating in ovarian teratoma. Prognosis of MSO is less studied without unanimous staging or stratification system. This study aimed to developed and validated a machine learning (ML)-based model to predict overall survival (OS) for patients with MSO and to risk-stratify them. Methods: Patients with histologically confirmed MSO diagnosed in 1975-2021 from the Surveillance, Epidemiology, and End Results (SEER) program were identified as the training cohort. Patients in a systematic literature review were collected as the testing cohort. OS was selected as the outcome, while demographic, clinicopathological and therapeutic information were used as features. Following data encoding, imputing and scaling, univariate feature selection was performed. Cox proportional hazard (CoxPH), Cox with elastic net penalty (CoxNet), random survival forest (RSF), gradient boosting machine (GBM), and survival tree (ST) models were trained and tuned. Each model was evaluated on its c-index, time-dependent area under the curve (AUC), time-dependent Brier score (BS) and stratification ability in the training and the testing cohort respectively. The algorithm that performed the best in the testing cohort was finally chosen for SHapley Additive exPlanations (SHAP) interpretation and Streamlit web application deployment. Results: The study included 120 and 194 patients in the training and testing cohort respectively. At the end of follow-up (median time 115.5 and 32.5 months respectively), 101 (84.2%) and 181 patients (93.3%) survived respectively. RSF had the best performance in the testing cohort, possessing the highest c-index (0.841, 95% confidence interval: 0.732-0.916), the highest mean AUC (0.852), the lowest integrated BS (0.042), and the smallest P value (&lt;0.001) on log-rank test comparing the stratified groups. According to SHAP, older age, hysterectomy, larger tumor size and more advanced American Joint Committee on Cancer stage had the strongest predictive power for worse OS among all 13 features. An interactive application (https://mso-surv.streamlit.app/) was then implemented which can display the predicted Kaplan-Meier curve, survival probability, risk stratification and the contributions of features for the output. Conclusions: We reported the first externally tested time-to-event prognostic prediction model for MSO. ML algorithms enabled precise individual-patient prediction and stratification, and can potentially assist patient counselling and decision-making for treatment and surveillance.</t>
  </si>
  <si>
    <t>Yan, Shangcheng; Cao, Zhen; Zhang, Qiyao; Chen, Bingrong; Wu, Hao; Cao, Hongtao; Li, Xiaobin; Wang, Yaqi; Wang, Yalei; Chen, Yonghui; Liu, Ziwen</t>
  </si>
  <si>
    <t>Liu, ZW (corresponding author), Chinese Acad Med Sci &amp; Peking Union Med Coll, Peking Union Med Coll Hosp, Dept Gen Surg, 1 Shuaifuyuan, Beijing 100730, Peoples R China.; Chen, YH (corresponding author), Chinese Acad Med Sci &amp; Peking Union Med Coll, Peking Union Med Coll Hosp, Dept Nucl Med, 1 Shuaifuyuan, Beijing 100730, Peoples R China.; Chen, YH (corresponding author), Chinese Acad Med Sci &amp; Peking Union Med Coll, Peking Union Med Coll Hosp, Beijing Key Lab Mol Targeted Diag &amp; Therapy Nucl M, 1 Shuaifuyuan, Beijing 100730, Peoples R China.</t>
  </si>
  <si>
    <t>chenyufirst@sina.com; liuziwen@pumch.cn</t>
  </si>
  <si>
    <t>General Program of National Natural Science Foundation of China [82172727]; General Program of Beijing Natural Science Foundation [7202164]</t>
  </si>
  <si>
    <t>General Program of National Natural Science Foundation of China (National Natural Science Foundation of China (NSFC)); General Program of Beijing Natural Science Foundation</t>
  </si>
  <si>
    <t>Funding: This study was funded by the General Program of National Natural Science Foundation of China (No. 82172727) and the General Program of Beijing Natural Science Foundation (No. 7202164) .</t>
  </si>
  <si>
    <t>[Yan, Shangcheng; Cao, Zhen; Zhang, Qiyao; Chen, Bingrong; Wu, Hao; Cao, Hongtao; Li, Xiaobin; Wang, Yaqi; Wang, Yalei; Liu, Ziwen] Chinese Acad Med Sci &amp; Peking Union Med Coll, Peking Union Med Coll Hosp, Dept Gen Surg, 1 Shuaifuyuan, Beijing 100730, Peoples R China; [Chen, Yonghui] Chinese Acad Med Sci &amp; Peking Union Med Coll, Peking Union Med Coll Hosp, Dept Nucl Med, 1 Shuaifuyuan, Beijing 100730, Peoples R China; [Chen, Yonghui] Chinese Acad Med Sci &amp; Peking Union Med Coll, Peking Union Med Coll Hosp, Beijing Key Lab Mol Targeted Diag &amp; Therapy Nucl M, 1 Shuaifuyuan, Beijing 100730, Peoples R China</t>
  </si>
  <si>
    <t>Chinese Academy of Medical Sciences - Peking Union Medical College; Peking Union Medical College; Peking Union Medical College Hospital; Chinese Academy of Medical Sciences - Peking Union Medical College; Peking Union Medical College; Peking Union Medical College Hospital; Chinese Academy of Medical Sciences - Peking Union Medical College; Peking Union Medical College; Peking Union Medical College Hospital</t>
  </si>
  <si>
    <t>Individualized survival prediction and risk stratification using machine learning for patients with malignant struma ovarii: a population-based study with external validation</t>
  </si>
  <si>
    <t>GLAND SURGERY</t>
  </si>
  <si>
    <t>Malignant struma ovarii (MSO); machine learning (ML); prediction model; survival analysis; risk stratification</t>
  </si>
  <si>
    <t>SERIES; MANAGEMENT; CANCER</t>
  </si>
  <si>
    <t>Yan, Shangcheng/IUO-0951-2023; Wang, Yalei/QAW-4437-2026</t>
  </si>
  <si>
    <t>Yan, Shangcheng/0000-0002-6008-722X</t>
  </si>
  <si>
    <t>2227-684X</t>
  </si>
  <si>
    <t>2227-8575</t>
  </si>
  <si>
    <t>GLAND SURG</t>
  </si>
  <si>
    <t>Gland Surg.</t>
  </si>
  <si>
    <t>10.21037/gs-2025-35</t>
  </si>
  <si>
    <t>http://dx.doi.org/10.21037/gs-2025-35</t>
  </si>
  <si>
    <t>5CQ9U</t>
  </si>
  <si>
    <t>40671773</t>
  </si>
  <si>
    <t>WOS:001532526400008</t>
  </si>
  <si>
    <t>Alejo, JL; Mitchell, J; Chiang, TPY; Chang, A; Abedon, AT; Werbel, WA; Boyarsky, BJ; Zeiser, LB; Avery, RK; Tobian, AAR; Levan, ML; Warren, DS; Massie, AB; Moore, LW; Guha, A; Huang, HJ; Knight, RJ; Gaber, AO; Ghobrial, RM; Garonzik-Wang, JM; Segev, DL; Bae, S</t>
  </si>
  <si>
    <t>Background. Solid organ transplant recipients (SOTRs) are less likely to mount an antibody response to SARS-CoV-2 mRNA vaccines. Understanding risk factors for impaired vaccine response can guide strategies for antibody testing and additional vaccine dose recommendations. Methods. Using a nationwide observational cohort of 1031 SOTRs, we created a machine learning model to explore, identify, rank, and quantify the association of 19 clinical factors with antibody responses to 2 doses of SARS-CoV-2 mRNA vaccines. External validation of the model was performed using a cohort of 512 SOTRs at Houston Methodist Hospital. Results. Mycophenolate mofetil use, a shorter time since transplant, and older age were the strongest predictors of a negative antibody response, collectively contributing to 76% of the model's prediction performance. Other clinical factors, including transplanted organ, vaccine type (mRNA-1273 versus BNT162b2), sex, race, and other immunosuppressants, showed comparatively weaker associations with an antibody response. This model showed moderate prediction performance, with an area under the receiver operating characteristic curve of 0.79 in our cohort and 0.67 in the external validation cohort. An online calculator based on our prediction model is available at http://transplantmodels.com/covidvaccine/. Conclusions. Our machine learning model helps understand which transplant patients need closer follow-up and additional doses of vaccine to achieve protective immunity. The online calculator based on this model can be incorporated into transplant providers' practice to facilitate patient-centric, precision risk stratification and inform vaccination strategies among SOTRs.</t>
  </si>
  <si>
    <t>Alejo, Jennifer L.; Mitchell, Jonathan; Chiang, Teresa P-Y; Chang, Amy; Abedon, Aura T.; Werbel, William A.; Boyarsky, Brian J.; Zeiser, Laura B.; Avery, Robin K.; Tobian, Aaron A. R.; Levan, Macey L.; Warren, Daniel S.; Massie, Allan B.; Moore, Linda W.; Guha, Ashrith; Huang, Howard J.; Knight, Richard J.; Gaber, Ahmed Osama; Ghobrial, Rafik Mark; Garonzik-Wang, Jacqueline M.; Segev, Dorry L.; Bae, Sunjae</t>
  </si>
  <si>
    <t>Bae, S (corresponding author), Johns Hopkins Med Inst, Dept Surg, 2000 E Monument St, Baltimore, MD 21205 USA.</t>
  </si>
  <si>
    <t>sunjae@jhu.edu</t>
  </si>
  <si>
    <t>National Institute of Diabetes and Digestive and Kidney Diseases [T32DK007713, T32DK007732, F32DK124941, K01DK101677, K23DK115908]; National Institute of Allergy and Infectious Diseases [K24AI144954, U01AI138897-S04, K23AI157893]; ASTS Jonathan P. Fryer Resident Scientist Scholarship; National Institute of Allergy and Infectious Diseases [K24AI144954, K23AI157893, U01AI138897] Funding Source: NIH RePORTER; National Institute of Diabetes and Digestive and Kidney Diseases [T32DK007713, T32DK007732, K23DK115908] Funding Source: NIH RePORTER</t>
  </si>
  <si>
    <t>National Institute of Diabetes and Digestive and Kidney Diseases (United States Department of Health &amp; Human Services, National Institutes of Health (NIH) - USA, NIH National Institute of Diabetes &amp; Digestive &amp; Kidney Diseases (NIDDK)); National Institute of Allergy and Infectious Diseases (United States Department of Health &amp; Human Services, National Institutes of Health (NIH) - USA, NIH National Institute of Allergy &amp; Infectious Diseases (NIAID)); ASTS Jonathan P. Fryer Resident Scientist Scholarship; National Institute of Allergy and Infectious Diseases (United States Department of Health &amp; Human Services, National Institutes of Health (NIH) - USA, NIH National Institute of Allergy &amp; Infectious Diseases (NIAID)); National Institute of Diabetes and Digestive and Kidney Diseases (United States Department of Health &amp; Human Services, National Institutes of Health (NIH) - USA, NIH National Institute of Diabetes &amp; Digestive &amp; Kidney Diseases (NIDDK))</t>
  </si>
  <si>
    <t>This work was supported by generous donations from the Ben-Dov and Trokhan Patterson families, and supported by grants T32DK007713 (J.L.A.), T32DK007732 (A.C.), F32DK124941 (B.J.B.), K01DK101677 (A.B.M.), and K23DK115908 (J.M.G.-W.) from the National Institute of Diabetes and Digestive and Kidney Diseases; The ASTS Jonathan P. Fryer Resident Scientist Scholarship (J.M.), grants K24AI144954 (D.L.S.), U01AI138897-S04 and K23AI157893 (W.A.W.) from the National Institute of Allergy and Infectious Diseases.</t>
  </si>
  <si>
    <t>[Alejo, Jennifer L.; Mitchell, Jonathan; Chiang, Teresa P-Y; Chang, Amy; Abedon, Aura T.; Boyarsky, Brian J.; Zeiser, Laura B.; Levan, Macey L.; Warren, Daniel S.; Segev, Dorry L.; Bae, Sunjae] Johns Hopkins Univ, Sch Med, Dept Surg, Baltimore, MD 21205 USA; [Werbel, William A.; Avery, Robin K.] Johns Hopkins Univ, Sch Med, Dept Med, Baltimore, MD 21205 USA; [Tobian, Aaron A. R.] Johns Hopkins Univ, Sch Med, Dept Pathol, Baltimore, MD 21205 USA; [Levan, Macey L.; Massie, Allan B.; Segev, Dorry L.] NYU Langone Hlth, NYU Grossman Sch Med, Dept Surg, New York, NY USA; [Moore, Linda W.; Knight, Richard J.; Gaber, Ahmed Osama; Ghobrial, Rafik Mark] Houston Methodist Hosp, Dept Surg, Houston, TX 77030 USA; [Moore, Linda W.; Guha, Ashrith; Huang, Howard J.; Knight, Richard J.; Gaber, Ahmed Osama; Ghobrial, Rafik Mark] Houston Methodist Hosp, JC Walter Jr Transplant Ctr, Houston, TX 77030 USA; [Guha, Ashrith] Houston Methodist Hosp, Methodist DeBakey Heart &amp; Vasc Ctr, Houston, TX 77030 USA; [Huang, Howard J.] Houston Methodist Hosp, Dept Med, Houston, TX 77030 USA; [Garonzik-Wang, Jacqueline M.] Univ Wisconsin, Dept Surg, Sch Med &amp; Publ Hlth, Madison, WI USA</t>
  </si>
  <si>
    <t>Johns Hopkins University; Johns Hopkins Medicine; Johns Hopkins University; Johns Hopkins Medicine; Johns Hopkins University; Johns Hopkins Medicine; NYU Langone Medical Center; Houston Methodist; Houston Methodist; Houston Methodist; Houston Methodist; University of Wisconsin System; University of Wisconsin Madison</t>
  </si>
  <si>
    <t>Predicting a Positive Antibody Response After 2 SARS-CoV-2 mRNA Vaccines in Transplant Recipients: A Machine Learning Approach With External Validation</t>
  </si>
  <si>
    <t>TRANSPLANTATION</t>
  </si>
  <si>
    <t>CALIBRATION; MODELS; ORGAN</t>
  </si>
  <si>
    <t>Moore, Linda W/HHN-1307-2022; Chang, Amy/HIK-2243-2022; Segev, Dorry/JOZ-4365-2023; Chiang, Po-Yu/GSJ-0380-2022; Bae, Sunjae/D-4205-2018; Alejo, Jennifer/G-7445-2015</t>
  </si>
  <si>
    <t>Moore, Linda W/0000-0003-2519-5150; Chang, Amy/0000-0002-9167-518X; Segev, Dorry/0000-0002-1924-4801; Chiang, Po-Yu/0000-0003-0601-7420; Levan, Macey/0000-0002-4239-1252</t>
  </si>
  <si>
    <t>0041-1337</t>
  </si>
  <si>
    <t>1534-6080</t>
  </si>
  <si>
    <t>Transplantation</t>
  </si>
  <si>
    <t>OCT 2022</t>
  </si>
  <si>
    <t>E452</t>
  </si>
  <si>
    <t>E460</t>
  </si>
  <si>
    <t>10.1097/TP.0000000000004259</t>
  </si>
  <si>
    <t>http://dx.doi.org/10.1097/TP.0000000000004259</t>
  </si>
  <si>
    <t>Immunology; Surgery; Transplantation</t>
  </si>
  <si>
    <t>4Z2CF</t>
  </si>
  <si>
    <t>35859275</t>
  </si>
  <si>
    <t>WOS:000862022400004</t>
  </si>
  <si>
    <t>Asiimwe, IG; Blockman, M; Cohen, K; Cupido, C; Hutchinson, C; Jacobson, B; Lamorde, M; Morgan, J; Mouton, JP; Nakagaayi, D; Okello, E; Schapkaitz, E; Sekaggya-Wiltshire, C; Semakula, JR; Waitt, C; Zhang, EJ; Jorgensen, AL; Pirmohamed, M</t>
  </si>
  <si>
    <t>Warfarin remains the most widely prescribed oral anticoagulant in sub-Saharan Africa. However, because of its narrow therapeutic index, dosing can be challenging. We have therefore (a) evaluated and compared the performance of 21 machine-learning techniques in predicting stable warfarin dose in sub-Saharan Black-African patients and (b) externally validated a previously developed Warfarin Anticoagulation in Patients in Sub-Saharan Africa (War-PATH) clinical dose-initiation algorithm. The development cohort included 364 patients recruited from eight outpatient clinics and hospital departments in Uganda and South Africa (June 2018-July 2019). Validation was conducted using an external validation cohort (270 patients recruited from August 2019 to March 2020 in 12 outpatient clinics and hospital departments). Based on the mean absolute error (MAE; mean of absolute differences between the actual and predicted doses), random forest regression (12.07 mg/week; 95% confidence interval [CI], 10.39-13.76) was the best performing machine-learning technique in the external validation cohort, whereas the worst performing technique was model trees (17.59 mg/week; 95% CI, 15.75-19.43). By comparison, the simple, commonly used regression technique (ordinary least squares) performed similarly to more complex supervised machine-learning techniques and achieved an MAE of 13.01 mg/week (95% CI, 11.45-14.58). In summary, we have demonstrated that simpler regression techniques perform similarly to more complex supervised machine-learning techniques. We have also externally validated our previously developed clinical dose-initiation algorithm, which is being prospectively tested for clinical utility.</t>
  </si>
  <si>
    <t>Asiimwe, Innocent G.; Blockman, Marc; Cohen, Karen; Cupido, Clint; Hutchinson, Claire; Jacobson, Barry; Lamorde, Mohammed; Morgan, Jennie; Mouton, Johannes P.; Nakagaayi, Doreen; Okello, Emmy; Schapkaitz, Elise; Sekaggya-Wiltshire, Christine; Semakula, Jerome R.; Waitt, Catriona; Zhang, Eunice J.; Jorgensen, Andrea L.; Pirmohamed, Munir</t>
  </si>
  <si>
    <t>Asiimwe, IG; Pirmohamed, M (corresponding author), Univ Liverpool, Dept Pharmacol &amp; Therapeut, Wolfson Ctr Personalized Med, MRC Ctr Drug Safety Sci,Inst Syst Mol &amp; Integrat, Liverpool, Merseyside, England.</t>
  </si>
  <si>
    <t>i.asiimwe@liverpool.ac.uk; munirp@liverpool.ac.uk</t>
  </si>
  <si>
    <t>National Institute for Health Research (NIHR) using UK aid from the UK government [16/137/101]; MRC [MR/L006758/1] Funding Source: UKRI; Academy of Medical Sciences (AMS) [AMS-SGCL8-Waitt] Funding Source: researchfish; Medical Research Council [MR/L006758/1] Funding Source: researchfish; National Institute for Health Research [NF-SI-0512-10064, CL-2010-07-004] Funding Source: researchfish</t>
  </si>
  <si>
    <t>National Institute for Health Research (NIHR) using UK aid from the UK government; MRC (UK Research &amp; Innovation (UKRI), Medical Research Council UK (MRC)); Academy of Medical Sciences (AMS) (Academy of Medical Sciences (AMS)); Medical Research Council (UK Research &amp; Innovation (UKRI), Medical Research Council UK (MRC)); National Institute for Health Research (National Institutes of Health Research (NIHR))</t>
  </si>
  <si>
    <t>This research was funded by the National Institute for Health Research (NIHR: reference 16/137/101) using UK aid from the UK government to support global health research. The views expressed in this publication are those of the author(s) and not necessarily those of the NIHR or the UK government.</t>
  </si>
  <si>
    <t>[Asiimwe, Innocent G.; Hutchinson, Claire; Waitt, Catriona; Zhang, Eunice J.; Pirmohamed, Munir] Univ Liverpool, Inst Syst Mol &amp; Integrat Biol, Wolfson Ctr Personalized Med, Med Res Council,Ctr Drug Safety Sci,Dept Pharmaco, Liverpool, Merseyside, England; [Blockman, Marc; Cohen, Karen; Mouton, Johannes P.] Univ Cape Town, Div Clin Pharmacol, Dept Med, Cape Town, South Africa; [Cupido, Clint] Victoria Hosp Wynberg, Internal Med Res Initiat, Cape Town, South Africa; [Cupido, Clint] Univ Cape Town, Dept Med, Cape Town, South Africa; [Jacobson, Barry] Univ Witwatersrand, Dept Mol Med &amp; Haematol, Johannesburg, South Africa; [Lamorde, Mohammed; Sekaggya-Wiltshire, Christine; Semakula, Jerome R.; Waitt, Catriona] Makerere Univ, Coll Hlth Sci, Infect Dis Inst, Kampala, Uganda; [Morgan, Jennie] Western Cape Dept Hlth, Metro Dist Hlth Serv, Cape Town, South Africa; [Nakagaayi, Doreen; Okello, Emmy] Uganda Heart Inst, Kampala, Uganda; [Schapkaitz, Elise] Charlotte Maxeke Johannesburg Acad Hosp, Natl Hlth Lab Syst Complex, Dept Mol Med &amp; Hematol, Johannesburg, South Africa; [Schapkaitz, Elise] Univ Witwatersrand, Johannesburg, South Africa; [Jorgensen, Andrea L.] Univ Liverpool, Inst Populat Hlth Sci, Dept Hlth Data Sci, Liverpool, Merseyside, England</t>
  </si>
  <si>
    <t>University of Liverpool; UK Research &amp; Innovation (UKRI); Medical Research Council UK (MRC); University of Cape Town; University of Cape Town; University of Witwatersrand; Makerere University; University of Witwatersrand; Charlotte Maxeke Johannesburg Academic Hospital; University of Witwatersrand; University of Liverpool</t>
  </si>
  <si>
    <t>Stable warfarin dose prediction in sub-Saharan African patients: A machine-learning approach and external validation of a clinical dose-initiation algorithm</t>
  </si>
  <si>
    <t>CPT-PHARMACOMETRICS &amp; SYSTEMS PHARMACOLOGY</t>
  </si>
  <si>
    <t>IMPUTATION</t>
  </si>
  <si>
    <t>Pirmohamed, Munir/H-6004-2011; Mouton, Johannes/U-5827-2019; Asiimwe, Innocent Gerald/AAD-7175-2022; Cohen, Karen/D-4036-2017; Waitt, Catriona/ADN-6736-2022; schapkaitz, elise/ITV-1272-2023</t>
  </si>
  <si>
    <t>Pirmohamed, Munir/0000-0002-7534-7266; Mouton, Johannes/0000-0002-3511-1259; Nakagaayi, Doreen/0000-0003-4010-9951; Asiimwe, Innocent Gerald/0000-0002-1196-1822; Jorgensen, Andrea/0000-0002-6977-9337; Waitt, Catriona/0000-0003-0134-5855; Morgan, Jennie/0000-0002-6391-7815; Sekaggya-Wiltshire, Christine/0000-0001-9247-2950; schapkaitz, elise/0000-0002-1534-2930</t>
  </si>
  <si>
    <t>2163-8306</t>
  </si>
  <si>
    <t>CPT-PHARMACOMET SYST</t>
  </si>
  <si>
    <t>CPT-PHARMACOMET. SYST. PHARMACOL.</t>
  </si>
  <si>
    <t>10.1002/psp4.12740</t>
  </si>
  <si>
    <t>http://dx.doi.org/10.1002/psp4.12740</t>
  </si>
  <si>
    <t>YE4CY</t>
  </si>
  <si>
    <t>34889080</t>
  </si>
  <si>
    <t>WOS:000728461200001</t>
  </si>
  <si>
    <t>Wu, RX; Chen, SH; He, Y; Li, Y; Mu, S; Jin, AS</t>
  </si>
  <si>
    <t>Background High-grade colorectal neuroendocrine carcinoma (HCNEC) is a rare but aggressive subset of neuroendocrine tumors. This study was designed to construct a risk model based on comprehensive clinical and mutational genomics data to facilitate clinical decision making.Methods A retrospective analysis was conducted using data from the Surveillance, Epidemiology, and End Results (SEER) database, spanning 2000 to 2019. The external validation cohort was sourced from two tertiary hospitals in Southwest China. Independent factors influencing both overall survival (OS) and cancer-specific survival (CSS) were identified using LASSO, Random Forest, and XGBoost regression techniques. Molecular data with the most common mutations in CNEC were extracted from the Catalogue of Somatic Mutations in Cancer (COSMIC) database.Results In this prognostic analysis, the data from 714 participants with HCNEC were evaluated. The median OS for the cohort was 10 months, whereas CSS was 11 months. Six variables (M stage, LODDS, Nodes positive, Surgery, Radiotherapy, and Chemotherapy) were screened as key prognostic indicators. The machine learning model showed reliable performance across multiple evaluation dimensions. The most common mutations of CNEC identified in the COSMIC database were TP53, KRAS, and APC.Conclusions In this study, a refined machine learning predictive model was developed to assess the prognosis of HCNEC accurately and we briefly analyzed its genomic features, which might offer a valuable tool to address existing clinical challenges.</t>
  </si>
  <si>
    <t>Wu, Ruixin; Chen, Sihao; He, Yi; Li, Ya; Mu, Song; Jin, Aishun</t>
  </si>
  <si>
    <t>Jin, AS (corresponding author), Chongqing Med Univ, Sch Basic Med Sci, Dept Immunol, Chongqing, Peoples R China.; Jin, AS (corresponding author), Chongqing Key Lab Tumor Immune Regulat &amp; Immune In, Chongqing, Peoples R China.; Mu, S (corresponding author), Guizhou Med Univ, Affiliated Hosp, Dept Colorectal Surg, Guiyang, Guizhou, Peoples R China.</t>
  </si>
  <si>
    <t>aishunjin@cqmu.edu.cn; musong1129@126.com</t>
  </si>
  <si>
    <t>Postdoctoral Science Foundation of Chongqing Municipal Natural Science Foundation [CSTB2023NSCQ-BHX0153]; Chongqing Medical University Postdoctor Scientific Research Start-up Fund [R1069]</t>
  </si>
  <si>
    <t>Postdoctoral Science Foundation of Chongqing Municipal Natural Science Foundation; Chongqing Medical University Postdoctor Scientific Research Start-up Fund</t>
  </si>
  <si>
    <t>The author(s) declare that financial support was received for the research, authorship, and/or publication of this article. This study was supported by a grant from the Postdoctoral Science Foundation of Chongqing Municipal Natural Science Foundation (CSTB2023NSCQ-BHX0153) and the Chongqing Medical University Postdoctor Scientific Research Start-up Fund (R1069).</t>
  </si>
  <si>
    <t>[Wu, Ruixin; Chen, Sihao; He, Yi; Jin, Aishun] Chongqing Med Univ, Sch Basic Med Sci, Dept Immunol, Chongqing, Peoples R China; [Wu, Ruixin; Chen, Sihao; He, Yi; Jin, Aishun] Chongqing Key Lab Tumor Immune Regulat &amp; Immune In, Chongqing, Peoples R China; [Li, Ya] Chongqing Med Univ, Affiliated Hosp 1, Dept Gastrointestinal Surg, Chongqing, Peoples R China; [Mu, Song] Guizhou Med Univ, Affiliated Hosp, Dept Colorectal Surg, Guiyang, Guizhou, Peoples R China</t>
  </si>
  <si>
    <t>Chongqing Medical University; Chongqing Medical University; Guizhou Medical University</t>
  </si>
  <si>
    <t>Machine learning based predictive model and genetic mutation landscape for high-grade colorectal neuroendocrine carcinoma: a SEER database analysis with external validation</t>
  </si>
  <si>
    <t>high-grade colorectal neuroendocrine carcinoma (HCNEC); machine learning; prognosis; SEER; COSMIC; genetic mutation landscape</t>
  </si>
  <si>
    <t>CLINICAL-PRACTICE GUIDELINES; RETROSPECTIVE ANALYSIS; CANCER PATIENTS; TUMORS; SURVIVAL; CHEMOTHERAPY; PROGNOSIS; SURGERY; COLON; LUNG</t>
  </si>
  <si>
    <t>Chen, Sihao/GYI-8705-2022</t>
  </si>
  <si>
    <t>Chen, Sihao/0000-0001-6401-9366</t>
  </si>
  <si>
    <t>JAN 29 2025</t>
  </si>
  <si>
    <t>1509170</t>
  </si>
  <si>
    <t>10.3389/fonc.2025.1509170</t>
  </si>
  <si>
    <t>http://dx.doi.org/10.3389/fonc.2025.1509170</t>
  </si>
  <si>
    <t>W3P0C</t>
  </si>
  <si>
    <t>39944824</t>
  </si>
  <si>
    <t>WOS:001417725000001</t>
  </si>
  <si>
    <t>Wieringa, A; Ewoldt, TMJ; Gangapersad, RN; Gijsen, M; Parolya, N; Kats, CJAR; Spriet, I; Endeman, H; Haringman, JJ; van Hest, RM; Koch, BCP; Abdulla, A</t>
  </si>
  <si>
    <t>In the intensive care unit (ICU), infection-related mortality is high. Although adequate antibiotic treatment is essential in infections, beta-lactam target non-attainment occurs in up to 45% of ICU patients, which is associated with a lower likelihood of clinical success. To optimize antibiotic treatment, we aimed to develop beta-lactam target non-attainment prediction models in ICU patients. Patients from two multicenter studies were included, with intravenous intermittent beta-lactam antibiotics administered and blood samples drawn within 12-36 h after antibiotic initiation. Beta-lactam target non-attainment models were developed and validated using random forest (RF), logistic regression (LR), and naive Bayes (NB) models from 376 patients. External validation was performed on 150 ICU patients. We assessed performance by measuring discrimination, calibration, and net benefit at the default threshold probability of 0.20. Age, sex, serum creatinine, and type of beta-lactam antibiotic were found to be predictive of beta-lactam target non-attainment. In the external validation, the RF, LR, and NB models confirmed good discrimination with an area under the curve of 0.79 [95% CI 0.72-0.86], 0.80 [95% CI 0.73-0.87], and 0.75 [95% CI 0.67-0.82], respectively, and net benefit in the RF and LR models. We developed prediction models for beta-lactam target non-attainment within 12-36 h after antibiotic initiation in ICU patients. These online-accessible models use readily available patient variables and help optimize antibiotic treatment. The RF and LR models showed the best performance among the three models tested.</t>
  </si>
  <si>
    <t>Wieringa, Andre; Ewoldt, Tim M. J.; Gangapersad, Ravish N.; Gijsen, Matthias; Parolya, Nestor; Kats, Chantal J. A. R.; Spriet, Isabel; Endeman, Henrik; Haringman, Jasper J.; van Hest, Reinier M.; Koch, Birgit C. P.; Abdulla, Alan</t>
  </si>
  <si>
    <t>Wieringa, A (corresponding author), Erasmus MC, Dept Hosp Pharm, Dr Molewaterpl 40, NL-3015 GD Rotterdam, Netherlands.; Wieringa, A (corresponding author), Erasmus MC, Rotterdam Clin Pharmacometr Grp, Dr Molewaterpl 40, NL-3015 GD Rotterdam, Netherlands.; Wieringa, A (corresponding author), Isala Hosp, Dept Clin Pharm, Dr van Heesweg 2, NL-8025 AB Zwolle, Netherlands.</t>
  </si>
  <si>
    <t>h.endeman@erasmusmc.nl; a.wieringa@erasmusmc.nl; matthias.gijsen@uzleuven.be; a.abdulla@erasmusmc.nl; tim.ewoldt@gmail.com; c.kats@haaglandenmc.nl; j.haringman@isala.nl; r.gangapersad@erasmusmc.nl; n.parolya@tudelft.nl; isabel.spriet@uzleuven.be; r.m.vanhest@amsterdamumc.nl; b.koch@erasmusmc.nl</t>
  </si>
  <si>
    <t>[Wieringa, Andre; Ewoldt, Tim M. J.; Gangapersad, Ravish N.; Koch, Birgit C. P.; Abdulla, Alan] Erasmus MC, Dept Hosp Pharm, Dr Molewaterpl 40, NL-3015 GD Rotterdam, Netherlands; [Wieringa, Andre; Ewoldt, Tim M. J.; Gangapersad, Ravish N.; Koch, Birgit C. P.; Abdulla, Alan] Erasmus MC, Rotterdam Clin Pharmacometr Grp, Dr Molewaterpl 40, NL-3015 GD Rotterdam, Netherlands; [Wieringa, Andre] Isala Hosp, Dept Clin Pharm, Dr van Heesweg 2, NL-8025 AB Zwolle, Netherlands; [Ewoldt, Tim M. J.; Endeman, Henrik] Erasmus MC, Dept Intens Care, NL-3015 GD Rotterdam, Netherlands; [Gijsen, Matthias; Spriet, Isabel] Dept Pharmaceut &amp; Pharmacol Sci, Clin Pharmacol &amp; Pharmacotherapy, KU Leuven, B-3000 Leuven, Belgium; [Gijsen, Matthias; Spriet, Isabel] Pharm Dept, UZ Leuven, B-3000 Leuven, Belgium; [Parolya, Nestor] Delft Inst Appl Math, Mekelweg 4, NL-2628 CD Delft, Netherlands; [Kats, Chantal J. A. R.] Dept Hosp Pharm, Haaglanden Med Ctr, Lijnbaan 32, NL-2512 VA The Hague, Netherlands; [Haringman, Jasper J.] Isala Hosp, Dept Intens Care, Dr van Heesweg 2, NL-8025 AB Zwolle, Netherlands; [van Hest, Reinier M.] Univ Amsterdam, Dept Pharm &amp; Clin Pharmacol, Amsterdam UMC, Meibergdreef 9, NL-1105 AZ Amsterdam, Netherlands</t>
  </si>
  <si>
    <t>Erasmus University Rotterdam; Erasmus MC; Erasmus University Rotterdam; Erasmus MC; Erasmus University Rotterdam; Erasmus MC; KU Leuven; Delft University of Technology; Haaglanden Medical Center; University of Amsterdam</t>
  </si>
  <si>
    <t>DOLPHIN Investigators</t>
  </si>
  <si>
    <t>Predicting Beta-Lactam Target Non-Attainment in ICU Patients at Treatment Initiation: Development and External Validation of Three Novel (Machine Learning) Models</t>
  </si>
  <si>
    <t>ANTIBIOTICS-BASEL</t>
  </si>
  <si>
    <t>target attainment; risk model; beta-lactams; penicillin; cephalosporin; carbapenem; critical illness; intensive care unit</t>
  </si>
  <si>
    <t>CRITICALLY-ILL PATIENTS; FEATURE-SELECTION; PHARMACOKINETICS; PHARMACODYNAMICS; ANTIBIOTICS; MEROPENEM; CEFEPIME</t>
  </si>
  <si>
    <t>Gijsen, Matthias/G-6403-2018; Wieringa, Andre/LJL-8280-2024; SPRIET, ISABEL/OLQ-3657-2025; Endeman, Rik/NMJ-6571-2025</t>
  </si>
  <si>
    <t>Kats, Chantal Johanna Aiana Reina/0000-0003-1343-7626; Gijsen, Matthias/0000-0003-1378-3772; Gangapersad, Ravish/0009-0009-8389-2131; Haringman, Jasper/0009-0009-3916-8760; Wieringa, Andre/0000-0003-0413-5204; van Hest, Reinier/0000-0002-2506-8795; Parolya, Nestor/0000-0003-2147-2288; Abdulla, Alan/0000-0002-2158-6376</t>
  </si>
  <si>
    <t>2079-6382</t>
  </si>
  <si>
    <t>Antibiotics-Basel</t>
  </si>
  <si>
    <t>1674</t>
  </si>
  <si>
    <t>10.3390/antibiotics12121674</t>
  </si>
  <si>
    <t>http://dx.doi.org/10.3390/antibiotics12121674</t>
  </si>
  <si>
    <t>DG9Q8</t>
  </si>
  <si>
    <t>38136709</t>
  </si>
  <si>
    <t>WOS:001130998400001</t>
  </si>
  <si>
    <t>Rajabzadeh-Oghaz, H; Elwell, J; Schoch, B; Aibinder, W; Gobbato, B; Wessell, D; Kumar, V; Roche, CP</t>
  </si>
  <si>
    <t>Introduction: We developed a computed tomography (CT)-based tool designed for automated segmentation of deltoid muscles, enabling quantification of radiomic features and muscle fatty infiltration. Prior to use in a clinical setting, this machine learning (ML)-based segmentation algorithm requires rigorous validation. The aim of this study is to conduct shoulder expert validation of a novel deltoid ML auto-segmentation and quantification tool. Materials and Methods: A SwinUnetR-based ML model trained on labeled CT scans is validated by three expert shoulder surgeons for 32 unique patients. The validation evaluates the quality of the auto-segmented deltoid images. Specifically, each of the three surgeons reviewed the auto-segmented masks relative to CT images, rated masks for clinical acceptance, and performed a correction on the ML-generated deltoid mask if the ML mask did not completely contain the full deltoid muscle, or if the ML mask included any tissue other than the deltoid. Non-inferiority of the ML model was assessed by comparing ML-generated to surgeon-corrected deltoid masks versus the inter-surgeon variation in metrics, such as volume and fatty infiltration. Results: The results of our expert shoulder surgeon validation demonstrates that 97% of ML-generated deltoid masks were clinically acceptable. Only two of the ML-generated deltoid masks required major corrections and only one was deemed clinically unacceptable. These corrections had little impact on the deltoid measurements, as the median error in the volume and fatty infiltration measurements was &lt;1% between the ML-generated deltoid masks and the surgeon-corrected deltoid masks. The non-inferiority analysis demonstrates no significant difference between the ML-generated to surgeon-corrected masks relative to inter-surgeon variations. Conclusions: Shoulder expert validation of this CT image analysis tool demonstrates clinically acceptable performance for deltoid auto-segmentation, with no significant differences observed between deltoid image-based measurements derived from the ML generated masks and those corrected by surgeons. These findings suggest that this CT image analysis tool has potential to reliably quantify deltoid muscle size, shape, and quality. Incorporating these CT image-based measurements into the pre-operative planning process may facilitate more personalized treatment decision making, and help orthopedic surgeons make more evidence-based clinical decisions.</t>
  </si>
  <si>
    <t>Rajabzadeh-Oghaz, Hamidreza; Elwell, Josie; Schoch, Bradley; Aibinder, William; Gobbato, Bruno; Wessell, Daniel; Kumar, Vikas; Roche, Christopher P.</t>
  </si>
  <si>
    <t>Roche, CP (corresponding author), Exactech Inc, 2320 NW 66th Ct, Gainesville, FL 32653 USA.</t>
  </si>
  <si>
    <t>chris.roche@exac.com; bgobbato@gmail.com; williamaibindermd@gmail.com; wessell.daniel@mayo.edu; hamid.oghaz@exac.com; schoch.bradley@mayo.edu; vikas.kumar@exac.com</t>
  </si>
  <si>
    <t>Exactech Inc. (Gainesville, FL)</t>
  </si>
  <si>
    <t>No funding was provided to complete this study; however, Exactech Inc. (Gainesville, FL) funded data collection for the clinical data used in this study. No authors have any stock or stock options in Exactech, Inc.</t>
  </si>
  <si>
    <t>[Rajabzadeh-Oghaz, Hamidreza; Elwell, Josie; Kumar, Vikas; Roche, Christopher P.] Exactech Inc, 2320 NW 66th Ct, Gainesville, FL 32653 USA; [Schoch, Bradley; Wessell, Daniel] Mayo Clin, 4500 San Pablo Rd, Jacksonville, FL 32224 USA; [Aibinder, William] Univ Michigan, Dept Orthopaed Surg, 24 Frank Lloyd Wright Dr, Ann Arbor, MI 48106 USA; [Gobbato, Bruno] Coe Jaragua, R Jose Emmendoerfer,1449 Nova Brasilia, BR-89252278 Jaragua Do Sul, SC, Brazil</t>
  </si>
  <si>
    <t>Mayo Clinic; University of Michigan; University of Michigan System; University of Michigan</t>
  </si>
  <si>
    <t>Clinical Validation of a Computed Tomography Image-Based Machine Learning Model for Segmentation and Quantification of Shoulder Muscles</t>
  </si>
  <si>
    <t>ALGORITHMS</t>
  </si>
  <si>
    <t>shoulder arthroplasty; clinical decision support tools; machine learning; computed tomography; deltoid muscle modeling; radiomics</t>
  </si>
  <si>
    <t>ARTHROPLASTY; OUTCOMES; VARIABILITY</t>
  </si>
  <si>
    <t>Roche, Christopher/HNB-5159-2023; Aibinder, William/AAC-8590-2019</t>
  </si>
  <si>
    <t>Roche, Christopher/0000-0003-3801-3272; Aibinder, William/0000-0001-7620-426X; Kumar, Vikas/0000-0003-3725-4859; Gobbato, Bruno/0000-0002-7779-0659</t>
  </si>
  <si>
    <t>1999-4893</t>
  </si>
  <si>
    <t>Algorithms</t>
  </si>
  <si>
    <t>432</t>
  </si>
  <si>
    <t>10.3390/a18070432</t>
  </si>
  <si>
    <t>http://dx.doi.org/10.3390/a18070432</t>
  </si>
  <si>
    <t>Computer Science, Artificial Intelligence; Computer Science, Theory &amp; Methods</t>
  </si>
  <si>
    <t>5OW3J</t>
  </si>
  <si>
    <t>WOS:001540811100001</t>
  </si>
  <si>
    <t>Attia, S; Oksenberg, A; Levy, J; Ang, A; Shani-Hershkovich, R; Adler, A; Katsav, S; Haimov, S; Alexandrovich, A; Tauman, R; Behar, JA</t>
  </si>
  <si>
    <t>Home sleep apnea tests (HSATs) have emerged as alternatives to in-laboratory polysomnography (PSG), but Type IV HSATs often show limited diagnostic performance. This study clinically validates SleepAI, a novel remote digital health system that applies AI algorithms to raw oximetry data for automated sleep staging and obstructive sleep apnea (OSA) diagnosis. SleepAI algorithms were trained on over 10,000 PSG recordings. The system consists of a wearable oximeter connected via Bluetooth to a mobile app transmitting raw data to a cloud-based platform for AI-driven analysis. Clinical validation was conducted in 53 subjects with suspected OSA, who used SleepAI for three nights at home and one night in a sleep centre alongside PSG. SleepAI's apnea-hypopnea index (AHI) estimates and three-class sleep staging (Wake, REM, NREM) were compared to PSG references. For OSA severity classification (non-OSA, mild, moderate, severe), SleepAI achieved an overall accuracy of 89%, with F1-scores of 1.0, 1.0, 0.9, and 0.88, respectively. The three-stage sleep classification achieved a Cohen's kappa of 0.75. Night-to-night AHI variability showed that 37.5% of participants experienced a one-level severity change across nights at home. No significant differences in sleep metrics were found between the first and subsequent nights at home, indicating no sleep disturbance by SleepAI. These findings support the SleepAI system as a promising and scalable alternative to existing Type IV HSATs, with the potential to address key clinical gaps by improving diagnostic accuracy and accessibility.</t>
  </si>
  <si>
    <t>Attia, Shirel; Oksenberg, Arie; Levy, Jeremy; Ang, Angeleene; Shani-Hershkovich, Revital; Adler, Alissa; Katsav, Shlomit; Haimov, Sharon; Alexandrovich, Alexandra; Tauman, Riva; Behar, Joachim A.</t>
  </si>
  <si>
    <t>Behar, JA (corresponding author), Technion Israel Inst Technol, Fac Biomed Engn, Haifa, Israel.</t>
  </si>
  <si>
    <t>jbehar@technion.ac.il</t>
  </si>
  <si>
    <t>Israel Innovation Authority</t>
  </si>
  <si>
    <t>We acknowledge the assistance of ChatGPT, an AI-based language model developed by OpenAI, for its help in editing the English language of this manuscript.</t>
  </si>
  <si>
    <t>[Attia, Shirel] Technion Israel Inst Technol, Fac Data &amp; Decis Sci, Haifa, Israel; [Oksenberg, Arie; Levy, Jeremy; Ang, Angeleene; Haimov, Sharon; Alexandrovich, Alexandra; Behar, Joachim A.] Technion Israel Inst Technol, Fac Biomed Engn, Haifa, Israel; [Shani-Hershkovich, Revital; Adler, Alissa; Katsav, Shlomit; Tauman, Riva] Inst Sleep Med, Tel Aviv, Israel</t>
  </si>
  <si>
    <t>Technion Israel Institute of Technology; Technion Israel Institute of Technology</t>
  </si>
  <si>
    <t>Clinical Validation of Artificial Intelligence Algorithms for the Diagnosis of Adult Obstructive Sleep Apnea and Sleep Staging From Oximetry and Photoplethysmography-SleepAI</t>
  </si>
  <si>
    <t>JOURNAL OF SLEEP RESEARCH</t>
  </si>
  <si>
    <t>deep learning; home sleep apnea tests; night-to-night variability; obstructive sleep apnea; photoplethysmography; pulse oximetry</t>
  </si>
  <si>
    <t>QUALITY-OF-LIFE; ATRIAL-FIBRILLATION; HYPOPNEA INDEX; VARIABILITY; POPULATION; PREVALENCE; SEVERITY; RISK; MEN</t>
  </si>
  <si>
    <t>0962-1105</t>
  </si>
  <si>
    <t>1365-2869</t>
  </si>
  <si>
    <t>J SLEEP RES</t>
  </si>
  <si>
    <t>J. Sleep Res.</t>
  </si>
  <si>
    <t>e70093</t>
  </si>
  <si>
    <t>10.1111/jsr.70093</t>
  </si>
  <si>
    <t>http://dx.doi.org/10.1111/jsr.70093</t>
  </si>
  <si>
    <t>DO2TB</t>
  </si>
  <si>
    <t>40346945</t>
  </si>
  <si>
    <t>WOS:001484883200001</t>
  </si>
  <si>
    <t>Li, G; Wei, WS</t>
  </si>
  <si>
    <t>Background Malnutrition frequently occurs in patients with acute ischaemic stroke (AIS) and is associated with adverse clinical outcomes. Nevertheless, the prognostic utility of the Controlling Nutritional Status (CONUT) score in this population remains unclear. Therefore, we investigated the relationship between the CONUT score and mortality and developed a machine learning model for early risk prediction.Methods Data from 1,103 patients with AIS in the MIMIC-IV database were retrospectively analyzed. An independent cohort comprising 659 patients from a Chinese tertiary hospital was included in the study. Survival analyses, multivariable Cox models, and subgroup analyses were conducted to evaluate the relationship between CONUT score and both 30-day and 365-day all-cause mortality. Machine learning models for 30-day mortality prediction were developed after Boruta-based feature selection in the training cohort, and model performance was evaluated by discrimination, calibration, decision analysis, and SHAP interpretation.Results Elevated CONUT scores were independently associated with higher risks. After multivariable adjustment, a 1-unit increase in CONUT score corresponded to a 14.1% rise in short-term mortality risk and a 15.9% rise in long-term mortality risk. Kaplan-Meier curves further showed progressively reduced survival among patients with poorer nutritional status, and the associations remained stable across subgroup analyses. Among the six machine learning approaches, the CatBoost model achieved the strongest discriminative ability, yielding AUC values of 0.794 and 0.761 in the internal and external validation cohorts. Decision curve and calibration analyses also supported the robustness of the model.Conclusion The CONUT score was independently associated with both short- and long-term mortality among critically ill AIS patients. The CatBoost-based prediction model showed favorable predictive performance in individualized risk assessment.</t>
  </si>
  <si>
    <t>Li, Ge; Wei, Wenshi</t>
  </si>
  <si>
    <t>Wei, WS (corresponding author), Fudan Univ, Dept Nephrol, Huadong Hosp, Shanghai, Peoples R China.</t>
  </si>
  <si>
    <t>wenshiwei1994@163.com</t>
  </si>
  <si>
    <t>Huadong Hospital Affiliated to Fudan University [LCZX2207]</t>
  </si>
  <si>
    <t>Huadong Hospital Affiliated to Fudan University</t>
  </si>
  <si>
    <t>The author(s) declared that financial support was received for this work and/or its publication. This work was supported by Huadong Hospital Affiliated to Fudan University Funding [LCZX2207].</t>
  </si>
  <si>
    <t>[Li, Ge; Wei, Wenshi] Fudan Univ, Dept Nephrol, Huadong Hosp, Shanghai, Peoples R China</t>
  </si>
  <si>
    <t>Fudan University</t>
  </si>
  <si>
    <t>Association of the CONUT score with mortality in critically ill patients with acute ischaemic stroke: a machine learning study with external validation</t>
  </si>
  <si>
    <t>FRONTIERS IN NEUROLOGY</t>
  </si>
  <si>
    <t>acute ischaemic stroke; CONUT score; intensive care unit; machine learning; malnutrition; mortality; prognosis; survival analysis</t>
  </si>
  <si>
    <t>PREDICTOR; OBESITY</t>
  </si>
  <si>
    <t>1664-2295</t>
  </si>
  <si>
    <t>FRONT NEUROL</t>
  </si>
  <si>
    <t>Front. Neurol.</t>
  </si>
  <si>
    <t>JUL 27 2026</t>
  </si>
  <si>
    <t>1889258</t>
  </si>
  <si>
    <t>10.3389/fneur.2026.1889258</t>
  </si>
  <si>
    <t>http://dx.doi.org/10.3389/fneur.2026.1889258</t>
  </si>
  <si>
    <t>MI8ZJ</t>
  </si>
  <si>
    <t>WOS:001843310000001</t>
  </si>
  <si>
    <t>Yang, L; Li, ZY; Liang, X; Xu, JX; Cai, YS; Huang, CC; Zhang, MN; Yao, J; Song, B</t>
  </si>
  <si>
    <t>PurposeTo assess the association of radiomics features based on multiparametric MRI (mpMRI) with the proportion of intraductal carcinoma of prostate (IDC-P) and validate the predictive models. Materials and MethodsWe retrospectively included pre-treatment MR images of prostate cancer (PCa) with IDC components of high proportion (&gt;= 10%, hpIDC-P), low proportion (&lt;10%, lpIDC-P), and pure acinar adenocarcinoma (PAC) from our institution for training and internal validation and cooperated cohort for external validation. Normalized images of T2WI, diffusion weighted imaging (DWI) and apparent diffusion coefficient (ADC) map, and dynamic contrast enhanced (DCE) sequences were used for radiomics modeling. The clinical model was built based on serum total prostate specific antigen (tPSA) and Gleason score (GS), and the integrated model was the combination of Rad-score and clinicopathological data. The discrimination ability was assessed by area under the receiver operating characteristic curve (ROC-AUC) in the internal and external validation sets and compared by DeLong test. ResultsOverall, 97 patients with hpIDC-P, 87 lpIDC-P, and 78 PAC were included for training and internal validation, and 11, 16, and 19 patients for external validation. The integrated model for predicting hpIDC-P got the best ROC-AUC of 0.88 (95%CI = 0.83-0.93) in internal and 0.86 (95%CI = 0.72-1.0) in external validation, which both outperformed clinical models (AUC=0.78, 95% CI = 0.72-0.85, AUC=0.69, 95% CI = 0.5-0.85, respectively) based solely on GS, and the radiomics model (AUC=0.85, 95% CI = 0.79-0.91) was slightly inferior to the integrated model and better than the clinical model in internal dataset. The integrated model for predicting lpIDC-P outperformed both radiomics and clinical models in the internal dataset, while slightly inferior to the integrated model for predicting hpIDC-P. ConclusionsRadiomics signature improved differentiation of both hpIDC-P and lpIDC-P versus PAC when compared with the clinical model based on Gleason score, and was validated in an external cohort.</t>
  </si>
  <si>
    <t>Yang, Ling; Li, Zhengyan; Liang, Xu; Xu, Jingxu; Cai, Yusen; Huang, Chencui; Zhang, Mengni; Yao, Jin; Song, Bin</t>
  </si>
  <si>
    <t>Yao, J; Song, B (corresponding author), Sichuan Univ, Dept Radiol, West China Hosp, Chengdu, Peoples R China.</t>
  </si>
  <si>
    <t>shelleyyao@163.com; songlab_radiology@163.com</t>
  </si>
  <si>
    <t>1*3*5 Project for Disciplines of Excellence, West China Hospital, Sichuan University [ZY2017304]; Science and Technology Support Program of Sichuan Province [22NSFSC117]; sky imaging research foundation [Z-2014-07-1912]</t>
  </si>
  <si>
    <t>1*3*5 Project for Disciplines of Excellence, West China Hospital, Sichuan University; Science and Technology Support Program of Sichuan Province; sky imaging research foundation</t>
  </si>
  <si>
    <t>This work was supported by the 1*3*5 Project for Disciplines of Excellence, West China Hospital, Sichuan University (No. ZY2017304),Science and Technology Support Program of Sichuan Province (No. 22NSFSC117) and the sky imaging research foundation (Z-2014-07-1912).</t>
  </si>
  <si>
    <t>[Yang, Ling; Li, Zhengyan; Yao, Jin; Song, Bin] Sichuan Univ, Dept Radiol, West China Hosp, Chengdu, Peoples R China; [Liang, Xu] Univ Elect Sci &amp; Technol China, Sichuan Canc Hosp &amp; Inst, Sichuan Canc Ctr, Sch Med,Dept Radiol, Chengdu, Peoples R China; [Xu, Jingxu; Cai, Yusen; Huang, Chencui] Beijing Deepwise &amp; League PHD Technol Co Ltd, Dept Res Collaborat, R&amp;D Ctr, Beijing, Peoples R China; [Zhang, Mengni] Sichuan Univ, Dept Pathol, West China Hosp, Chengdu, Peoples R China</t>
  </si>
  <si>
    <t>Sichuan University; University of Electronic Science &amp; Technology of China; Sichuan University</t>
  </si>
  <si>
    <t>Radiomic Machine Learning and External Validation Based on 3.0 T mpMRI for Prediction of Intraductal Carcinoma of Prostate With Different Proportion</t>
  </si>
  <si>
    <t>radiomics; machine learning; prostate cancer; intraductal carcinoma; multiparametric MRI</t>
  </si>
  <si>
    <t>Song, Bin/AAD-3670-2020; Li, Zhengyan/GSD-3935-2022; Xu, Jingxu/KFQ-4591-2024</t>
  </si>
  <si>
    <t>JUN 28 2022</t>
  </si>
  <si>
    <t>934291</t>
  </si>
  <si>
    <t>10.3389/fonc.2022.934291</t>
  </si>
  <si>
    <t>http://dx.doi.org/10.3389/fonc.2022.934291</t>
  </si>
  <si>
    <t>2W4UD</t>
  </si>
  <si>
    <t>35837116</t>
  </si>
  <si>
    <t>WOS:000824519800001</t>
  </si>
  <si>
    <t>Ge, YT; Liu, XQ; Shu, JL; Jiang, X; Wu, YG</t>
  </si>
  <si>
    <t>Background: Focal segmental glomerulosclerosis (FSGS) represents a major global health challenge, with its incidence rising in parallel with advances in diagnostic techniques and the growing prevalence of chronic diseases. This study seeks to enhance the diagnostic accuracy of FSGS by integrating machine learning approaches to identify activated pathways, complemented by robust clinical validation. Methods: We analyzed data from 163 FSGS patients and 42 living donors across multiple GEO cohorts via the ComBat algorithm to address batch effects and ensure the comparability of gene expression profiles. Gene set enrichment analysis (GSEA) identified key signaling pathways involved in FSGS pathogenesis. We then developed a highly accurate diagnostic model by integrating nine machine learning algorithms into 101 combinations, achieving near-perfect AUC values across training, validation, and external cohorts. The model identified six genes as potential biomarkers for FSGS. Additionally, immune cell infiltration patterns, particularly those involving natural killer (NK) cells, were explored, revealing the complex interplay between genetics and the immune response in FSGS patients. Immunohistochemical analysis validated the expression of the key markers CD99 and OAZ2 and confirmed the association between NK cells and FSGS. Results: The glmBoost+Ridge model exhibited exceptional diagnostic accuracy, achieving an AUC of 0.998 using just six genes: BANF1, TUSC2, SMAD3, TGFB1, CD99, and OAZ2. The prediction score was calculated as follows: score = (0.3997xBANF1) + confirmed significantly elevated expression levels of CD99 and OAZ2 in the glomeruli and tubulointerstitial tissues of FSGS patients compared with those of controls. Conclusion: This study demonstrates a highly accurate machine learning model for FSGS diagnosis. Immunohistochemical validation confirmed elevated expression of CD99 and OAZ2, offering valuable insights into FSGS pathogenesis and potential biomarkers for clinical application.</t>
  </si>
  <si>
    <t>Ge, Yating; Liu, Xueqi; Shu, Jinlian; Jiang, Xiao; Wu, Yonggui</t>
  </si>
  <si>
    <t>Wu, YG (corresponding author), Anhui Med Univ, Affiliated Hosp 1, Dept Nephrol, Hefei, Anhui, Peoples R China.</t>
  </si>
  <si>
    <t>wuyonggui@medmail.com.cn</t>
  </si>
  <si>
    <t>[Ge, Yating; Liu, Xueqi; Shu, Jinlian; Jiang, Xiao; Wu, Yonggui] Anhui Med Univ, Affiliated Hosp 1, Dept Nephrol, Hefei, Anhui, Peoples R China; [Ge, Yating; Shu, Jinlian] Anhui Med Univ, Peoples Hosp Hefei 2, Hefei Hosp, Dept Nephrol, Hefei, Anhui, Peoples R China; [Liu, Xueqi; Jiang, Xiao; Wu, Yonggui] Anhui Med Univ, Ctr Sci Res, Hefei, Anhui, Peoples R China</t>
  </si>
  <si>
    <t>Anhui Medical University; Anhui Medical University; Anhui Medical University</t>
  </si>
  <si>
    <t>Development of a Diagnostic Model for Focal Segmental Glomerulosclerosis: Integrating Machine Learning on Activated Pathways and Clinical Validation</t>
  </si>
  <si>
    <t>INTERNATIONAL JOURNAL OF GENERAL MEDICINE</t>
  </si>
  <si>
    <t>focal segmental glomerulosclerosis (FSGS); machine learning diagnostic model; gene set enrichment analysis (GSEA); immune cell infiltration</t>
  </si>
  <si>
    <t>NEPHROTIC SYNDROME; DISEASE; EPIDEMIOLOGY; TRENDS; ADULTS; BETA</t>
  </si>
  <si>
    <t>1178-7074</t>
  </si>
  <si>
    <t>INT J GEN MED</t>
  </si>
  <si>
    <t>Int. J. Gen. Med.</t>
  </si>
  <si>
    <t>1127</t>
  </si>
  <si>
    <t>1142</t>
  </si>
  <si>
    <t>10.2147/IJGM.S498407</t>
  </si>
  <si>
    <t>http://dx.doi.org/10.2147/IJGM.S498407</t>
  </si>
  <si>
    <t>Y5R8U</t>
  </si>
  <si>
    <t>40026806</t>
  </si>
  <si>
    <t>WOS:001432701600001</t>
  </si>
  <si>
    <t>Yang, XJ; Zhang, D; Li, Y; Wang, AS; Chen, ZW; Wang, L; Xiao, L; Yu, SJ; Chen, HX; Zhang, FH; Wang, M; Li, SJ; Yang, HP; Li, Q</t>
  </si>
  <si>
    <t>Background Acute kidney injury (AKI), a critical complication of childhood idiopathic nephrotic syndrome (INS), markedly increases the risk of chronic kidney disease (CKD) and mortality. This study developed an interpretable machine learning (ML) model for early AKI prediction in pediatric INS to enable proactive interventions and mitigate adverse outcomes. Methods A total of 3,390 patients and 356 hospitalized pediatric patients with INS were included in the derivation and external cohorts, respectively, from four hospitals across China. Logistic regression, Random Forest, K-nearest neighbors, Na &amp; iuml;ve Bayes, and Support Vector machines were integrated into a stacking ensemble model and optimized for class imbalance using SMOTE-Tomek. Model performance was assessed using the area under the curve (AUC), area under the precision-recall curve, sensitivity, specificity, and balanced accuracy. SHapley Additive Explanations (SHAP) analysis elucidated the importance of features, and a Random Forest model was developed to predict CKD progression in patients with AKI. Results Of the 3,390 patients with INS, 12.9% developed AKI.The stacking model outperformed the individual algorithms, achieving an AUC of 0.888 internally and 0.822 externally, which could be well explained by the SHAP algorithm. It was then deployed as a web-based calculator for real-time risk assessment. Key predictors included exposure to nephrotoxic antibiotics, exposure to cyclophosphamide, respiratory tract infection, urine pH, and admission times. In the AKI cohort, alanine transaminase, aspartate transaminase, and serum phosphate levels were primarily associated with the development of CKD. Conclusions This study presents an interpretable ML model for early AKI prediction in pediatric Chinese patients with INS, which could serve as a practical, efficient, and economical tool for preventing AKI by identifying modifiable risk factors to reduce AKI incidence and mitigate CKD progression.</t>
  </si>
  <si>
    <t>Yang, Xuejun; Zhang, De; Li, Yan; Wang, Anshuo; Chen, Zongwen; Wang, Li; Xiao, Li; Yu, Sijie; Chen, Hongxing; Zhang, Fanghong; Wang, Mo; Li, Shaojun; Yang, Haiping; Li, Qiu</t>
  </si>
  <si>
    <t>Yang, HP; Li, Q (corresponding author), Chongqing Med Univ, Natl Clin Res Ctr Child Hlth &amp; Disorders, Dept Nephrol,Childrens Hosp, Minist Educ,Key Lab Child Dev &amp; Disorders,Chongqin, Chongqing, Peoples R China.; Li, SJ (corresponding author), Chongqing Med Univ, Dept Emergency, Childrens Hosp, Chongqing, Peoples R China.</t>
  </si>
  <si>
    <t>oyhp0708@163.com; lishaojun1980@hotmail.com; liqiu809@126.com</t>
  </si>
  <si>
    <t>National Key R&amp;D Program of China [2022YFC2705101]; Chongqing Science and Health Joint Medical Research Project [2023GGXM001]; Program for Youth Innovation in Future Medicine, and Chongqing Medical University [W0098]; Natural Science Foundation of Chongqing (Postdoctoral Fund) [CSTB2022NSCQ-BHX0653]; Major Program of National Clinical Research Center for Child Health and Disorders in Children's Hospital of Chongqing Medical University [NCRCCHD-2023-MP-01]</t>
  </si>
  <si>
    <t>National Key R&amp;D Program of China (National Key Research &amp; Development Program of China); Chongqing Science and Health Joint Medical Research Project; Program for Youth Innovation in Future Medicine, and Chongqing Medical University; Natural Science Foundation of Chongqing (Postdoctoral Fund); Major Program of National Clinical Research Center for Child Health and Disorders in Children's Hospital of Chongqing Medical University</t>
  </si>
  <si>
    <t>This work was supported by grants from the National Key R&amp;D Program of China (2022YFC2705101), Chongqing Science and Health Joint Medical Research Project (2023GGXM001), Program for Youth Innovation in Future Medicine, and Chongqing Medical University (no. W0098), Natural Science Foundation of Chongqing (Postdoctoral Fund) (CSTB2022NSCQ-BHX0653), and Major Program of National Clinical Research Center for Child Health and Disorders in Children's Hospital of Chongqing Medical University (NCRCCHD-2023-MP-01).</t>
  </si>
  <si>
    <t>[Yang, Xuejun; Wang, Anshuo; Yu, Sijie; Chen, Hongxing; Wang, Mo; Yang, Haiping; Li, Qiu] Chongqing Med Univ, Natl Clin Res Ctr Child Hlth &amp; Disorders, Dept Nephrol,Childrens Hosp, Minist Educ,Key Lab Child Dev &amp; Disorders,Chongqin, Chongqing, Peoples R China; [Zhang, De] Chongqing Normal Univ, Coll Comp &amp; Informat Sci, Chongqing, Peoples R China; [Li, Yan] Xuzhou Childrens Hosp, Dept Nephrol, Xuzhou, Jiangsu, Peoples R China; [Chen, Zongwen] Chongqing Univ, Dept Pediat, Gorges Hosp 3, Chongqing, Peoples R China; [Wang, Li] Chengdu Womens &amp; Childrens Cent Hosp, Dept Nephrol, Chengdu, Sichuan, Peoples R China; [Xiao, Li] Chongqing Med Univ, Childrens Hosp, Big Data Ctr Childrens Med Care, Chongqing, Peoples R China; [Zhang, Fanghong] Chongqing Normal Univ, Natl Ctr Appl Math, Chongqing, Peoples R China; [Li, Shaojun] Chongqing Med Univ, Dept Emergency, Childrens Hosp, Chongqing, Peoples R China</t>
  </si>
  <si>
    <t>Chongqing Medical University; Chongqing Normal University; Chongqing University; Chongqing Medical University; Chongqing Normal University; Chongqing Medical University</t>
  </si>
  <si>
    <t>Development and external validation of a machine learning-based predictive model for acute kidney injury in hospitalized children with idiopathic nephrotic syndrome</t>
  </si>
  <si>
    <t>Acute kidney injury; Idiopathic nephrotic syndrome; Pediatrics; Machine learning; Predictive model</t>
  </si>
  <si>
    <t>AKI; CHILDHOOD; SECONDARY; ONSET</t>
  </si>
  <si>
    <t>Li, Qiu/HJA-5759-2022</t>
  </si>
  <si>
    <t>OCT 7 2025</t>
  </si>
  <si>
    <t>364</t>
  </si>
  <si>
    <t>10.1186/s12911-025-03203-4</t>
  </si>
  <si>
    <t>http://dx.doi.org/10.1186/s12911-025-03203-4</t>
  </si>
  <si>
    <t>8IU8K</t>
  </si>
  <si>
    <t>41057927</t>
  </si>
  <si>
    <t>WOS:001589688600001</t>
  </si>
  <si>
    <t>Yang, SW; Yu, JN; Chen, QY; Sun, XD; Hu, YF; Su, TH; Li, J; Jin, L</t>
  </si>
  <si>
    <t>Introduction and Objectives: With rising prevalence of pre-sarcopenia in metabolic dysfunction-associated steatotic liver disease (MASLD), this study aimed to develop and validate machine learning-based model to identify pre-sarcopenia in MASLD population. Materials and Methods: A total of 571 MASLD subjects were screened from the National Health and Nutrition Examination Survey 2017-2018. This cohort was randomly divided into training set and internal testing set with a ratio of 7:3. Sixty-six MASLD subjects were collected from our institution as external validation set. Four binary classifiers, including Random Forest (RF), support vector machine, and extreme gradient boosting and logistic regression, were fitted to identify pre-sarcopenia. The best-performing model was further validated in external validation set. Model performance was assessed in terms of discrimination and calibration. Shapley Additive explanations were used for model interpretability. Results: The pre-sarcopenia rate was 17.51 % and 15.16 % in NHANES cohort and external validation set, respectively. RF outperformed other models with area under receiver operating characteristic curve (AUROC) of 0.819 (95 %CI: 0.749, 0.889). When six top-ranking features were retained as per variable importance, including weight-adjusted waist, sex, race, creatinine, education and alkaline phosphatase, a final RF model reached an AUROC being 0.824 (0.737, 0.910) and 0.732 (95 %CI: 0.529, 0.936) in internal and external validation sets, respectively. The model robustness was proved in sensitivity analysis. The calibration curve and decision curve analysis confirmed a good calibration capacity and good clinical usage. Conclusions: This study proposed a user-friendly model using explainable machine learning algorithm to predict pre-sarcopenia in MASLD population. A web-based tool was provided to screening pre-sarcopenia in community and hospitalization settings. (c) 2024 Fundaci &amp; oacute;n Cl &amp; iacute;nica M &amp; eacute;dica Sur, A.C. Published by Elsevier Espa &amp; ntilde;a, S.L.U. This is an open access article under the CC BY-NC-ND license (http://creativecommons.org/licenses/by-nc-nd/4.0/)</t>
  </si>
  <si>
    <t>Yang, Siwei; Yu, Jianan; Chen, Qiyang; Sun, Xuedong; Hu, Yuefeng; Su, Tianhao; Li, Jian; Jin, Long</t>
  </si>
  <si>
    <t>Jin, L (corresponding author), Capital Med Univ, Beijing Friendship Hosp, Dept Intervent Radiol, Beijing, Peoples R China.</t>
  </si>
  <si>
    <t>jinlong@ccmu.edu.cn</t>
  </si>
  <si>
    <t>[Yang, Siwei; Yu, Jianan; Sun, Xuedong; Hu, Yuefeng; Su, Tianhao; Li, Jian; Jin, Long] Capital Med Univ, Beijing Friendship Hosp, Dept Intervent Radiol, Beijing, Peoples R China; [Chen, Qiyang] Capital Med Univ, Beijing Tongren Hosp, Dept Ultrasound, Beijing, Peoples R China</t>
  </si>
  <si>
    <t>Capital Medical University; Capital Medical University</t>
  </si>
  <si>
    <t>Development and external validation of a machine-learning based model to predict pre-sarcopenia in MASLD population: Results from NHANES 2017-2018</t>
  </si>
  <si>
    <t>ANNALS OF HEPATOLOGY</t>
  </si>
  <si>
    <t>Metabolic dysfunction-associated steatotic; liver disease; Sarcopenia; Machine learning; Nutrition surveys</t>
  </si>
  <si>
    <t>FATTY LIVER-DISEASE; NONALCOHOLIC STEATOHEPATITIS; WORKING GROUP; CONSENSUS; OBESITY; CIRRHOSIS</t>
  </si>
  <si>
    <t>Su, Tianhao/PCR-8833-2025; Yang, Siwei/PGT-3145-2026</t>
  </si>
  <si>
    <t>ELSEVIER ESPANA</t>
  </si>
  <si>
    <t>MADRID</t>
  </si>
  <si>
    <t>CALLE DE ZURBANO, 76-4TH FLR LEFT, MADRID, 28010, SPAIN</t>
  </si>
  <si>
    <t>1665-2681</t>
  </si>
  <si>
    <t>ANN HEPATOL</t>
  </si>
  <si>
    <t>Ann. Hepatol.</t>
  </si>
  <si>
    <t>MAR-APR 2025</t>
  </si>
  <si>
    <t>101585</t>
  </si>
  <si>
    <t>10.1016/j.aohep.2024.101585</t>
  </si>
  <si>
    <t>http://dx.doi.org/10.1016/j.aohep.2024.101585</t>
  </si>
  <si>
    <t>L4I0B</t>
  </si>
  <si>
    <t>39374737</t>
  </si>
  <si>
    <t>WOS:001350358500001</t>
  </si>
  <si>
    <t>Sun, R; Wang, X; Jiang, HY; Yan, Y; Dong, YS; Yan, WX; Luo, XY; Miu, H; Qi, L; Huang, ZW</t>
  </si>
  <si>
    <t>BackgroundThis study aimed to explore the impact of hypoxic hepatitis (HH) on survival in heart failure (HF) patients and to develop an effective machine learning model to predict 30-day mortality risk in HF patients with HH. MethodsIn the Medical Information Mart for Intensive Care (MIMIC)-III and IV databases, clinical data and survival situations of HF patients admitted to the intensive care unit (ICU) were retrospectively collected. Propensity Score Matching (PSM) analysis was used to balance baseline differences between HF patients with and without HH. Kaplan Meier analysis and multivariate Cox analysis were used to determining the effect of HH on the survival of CF patients. For developing a model that can predict 30-day mortality in CF patients with HH, the feature recurrence elimination (RFE) method was applied to feature selection, and seven machine learning algorithms were employed to model construction. After training and hyper-parameter optimization (HPO) of the model through cross-validation in the training set, a performance comparison was performed through internal and external validation. To interpret the optimal model, Shapley Additive Explanations (SHAP) were used along with the Local Interpretable Model-agnostic Explanations (LIME) and the Partial Dependence Plot (PDP) techniques. ResultsThe incidence of HH was 6.5% in HF patients in the MIMIC cohort. HF patients with HH had a 30-day mortality rate of 33% and a 1-year mortality rate of 51%, and HH was an independent risk factor for increased short-term and long-term mortality risk in HF patients. After RFE, 21 key features (21/56) were selected to build the model. Internal validation and external validation suggested that Categorical Boosting (Catboost) had a higher discriminatory capability than the other models (internal validation: AUC, 0.832; 95% CI, 0.819-0.845; external validation: AUC, 0.757 95% CI, 0.739-0.776), and the simplified Catboost model (S-Catboost) also had good performance in both internal validation and external validation (internal validation: AUC, 0.801; 95% CI, 0.787-0.813; external validation: AUC, 0.729, 95% CI, 0.711-0.745). ConclusionHH was associated with increased mortality in HF patients. Machine learning methods had good performance in identifying the 30-day mortality risk of HF with HH. With interpretability techniques, the transparency of machine learning models has been enhanced to facilitate user understanding of the prediction results.</t>
  </si>
  <si>
    <t>Sun, Run; Wang, Xue; Jiang, Haiyan; Yan, Yan; Dong, Yansong; Yan, Wenxiao; Luo, Xinye; Miu, Hua; Qi, Lei; Huang, Zhongwei</t>
  </si>
  <si>
    <t>Qi, L; Huang, ZW (corresponding author), Nantong Univ, Affiliated Hosp, Dept Emergency Med, Nantong, Peoples R China.; Qi, L; Huang, ZW (corresponding author), Nantong Univ, Med Sch, Nantong, Peoples R China.</t>
  </si>
  <si>
    <t>qilei723@ntu.edu.cn; hzw889@163.com</t>
  </si>
  <si>
    <t>Natural Science Research Project of Nantong Science and Technology Bureau; Jiangsu Planned Projects for Postdoctoral Research Fund</t>
  </si>
  <si>
    <t>Funding This research received funding from the Natural Science Research Project of Nantong Science and Technology Bureau (MS12021021, MS12020006, MS12020017, and MS12021035) and the Jiangsu Planned Projects for Postdoctoral Research Fund (2021K031A).</t>
  </si>
  <si>
    <t>[Sun, Run; Wang, Xue; Dong, Yansong; Luo, Xinye; Qi, Lei; Huang, Zhongwei] Nantong Univ, Affiliated Hosp, Dept Emergency Med, Nantong, Peoples R China; [Sun, Run; Wang, Xue; Jiang, Haiyan; Yan, Yan; Yan, Wenxiao; Luo, Xinye; Miu, Hua; Qi, Lei; Huang, Zhongwei] Nantong Univ, Med Sch, Nantong, Peoples R China; [Jiang, Haiyan] Nantong Univ, Affiliated Hosp, Hlth Management Ctr, Nantong, Peoples R China</t>
  </si>
  <si>
    <t>Nantong University; Nantong University; Nantong University</t>
  </si>
  <si>
    <t>Prediction of 30-day mortality in heart failure patients with hypoxic hepatitis: Development and external validation of an interpretable machine learning model</t>
  </si>
  <si>
    <t>hypoxic hepatitis; heart failure; machine learning; interpretability; prediction model</t>
  </si>
  <si>
    <t>ISCHEMIC HEPATITIS; RISK-FACTORS; PATHOPHYSIOLOGY; HEPATOPATHY; DYSFUNCTION; OUTCOMES; INJURY</t>
  </si>
  <si>
    <t>Yansong, Dong/ABC-2098-2020</t>
  </si>
  <si>
    <t>Shen, Amy/0009-0005-7130-5631</t>
  </si>
  <si>
    <t>OCT 28 2022</t>
  </si>
  <si>
    <t>1035675</t>
  </si>
  <si>
    <t>10.3389/fcvm.2022.1035675</t>
  </si>
  <si>
    <t>http://dx.doi.org/10.3389/fcvm.2022.1035675</t>
  </si>
  <si>
    <t>6H0KO</t>
  </si>
  <si>
    <t>36386374</t>
  </si>
  <si>
    <t>WOS:000885140400001</t>
  </si>
  <si>
    <t>Mari, T; Ali, SH; Pacinotti, L; Powsey, S; Fallon, N</t>
  </si>
  <si>
    <t>Previous research has demonstrated that machine learning (ML) could not effectively decode passive observation of neutral versus pain photographs by using electroencephalogram (EEG) data. Consequently, the present study explored whether active viewing, i.e., requiring participant engagement in a task, of neutral and pain stimuli improves ML performance. Random forest (RF) models were trained on cortical event-related potentials (ERPs) during a two-alternative forced choice paradigm, whereby participants determined the presence or absence of pain in photographs of facial expressions and action scenes. Sixty-two participants were recruited for the model development sample. Moreover, a within-subject temporal validation sample was collected, consisting of 27 subjects. In line with our previous research, three RF models were developed to classify images into faces and scenes, neutral and pain scenes, and neutral and pain expressions. The results demonstrated that the RF successfully classified discrete categories of visual stimuli (faces and scenes) with accuracies of 78% and 66% on cross-validation and external validation, respectively. However, despite promising cross-validation results of 61% and 67% for the classification of neutral and pain scenes and neutral and pain faces, respectively, the RF models failed to exceed chance performance on the external validation dataset on both empathy classification attempts. These results align with previous research, highlighting the challenges of classifying complex states, such as pain empathy using ERPs. Moreover, the results suggest that active observation fails to enhance ML performance beyond previous passive studies. Future research should prioritise improving model performance to obtain levels exceeding chance, which would demonstrate increased utility.</t>
  </si>
  <si>
    <t>Mari, Tyler; Ali, S. Hasan; Pacinotti, Lucrezia; Powsey, Sarah; Fallon, Nicholas</t>
  </si>
  <si>
    <t>Mari, T (corresponding author), Univ Liverpool, Inst Populat Hlth, Fac Hlth &amp; Life Sci, Dept Psychol, Bedford St South, Liverpool L69 7ZA, England.</t>
  </si>
  <si>
    <t>tyler.mari@liverpool.ac.uk</t>
  </si>
  <si>
    <t>Wellcome Trust [219574/Z/19/Z]; Wellcome Trust [219574/Z/19/Z] Funding Source: Wellcome Trust</t>
  </si>
  <si>
    <t>This work was supported by the Wellcome Trust [219574/Z/19/Z].</t>
  </si>
  <si>
    <t>[Mari, Tyler; Ali, S. Hasan; Pacinotti, Lucrezia; Powsey, Sarah; Fallon, Nicholas] Univ Liverpool, Inst Populat Hlth, Fac Hlth &amp; Life Sci, Dept Psychol, Bedford St South, Liverpool L69 7ZA, England</t>
  </si>
  <si>
    <t>Machine learning classification of active viewing of pain and non-pain images using EEG does not exceed chance in external validation samples</t>
  </si>
  <si>
    <t>COGNITIVE AFFECTIVE &amp; BEHAVIORAL NEUROSCIENCE</t>
  </si>
  <si>
    <t>Empathy; Electroencephalography; Event-related potential; Random forest; Faces</t>
  </si>
  <si>
    <t>PREDICTION MODELS; VISUAL-ATTENTION; RACIAL BIAS; EMPATHY; CALIBRATION; MAGNETOENCEPHALOGRAPHY; COMPONENTS; NETWORKS; STATE</t>
  </si>
  <si>
    <t>Fallon, Nicholas/ABE-4242-2021; Ali, Hasan/HTL-9150-2023</t>
  </si>
  <si>
    <t>Pacinotti, Lucrezia/0000-0003-3558-220X; Ali, Hasan/0000-0003-4744-4963; Mari, Tyler/0000-0001-9062-5175</t>
  </si>
  <si>
    <t>1530-7026</t>
  </si>
  <si>
    <t>1531-135X</t>
  </si>
  <si>
    <t>COGN AFFECT BEHAV NE</t>
  </si>
  <si>
    <t>Cogn. Affect. Behav. Neurosci.</t>
  </si>
  <si>
    <t>814</t>
  </si>
  <si>
    <t>831</t>
  </si>
  <si>
    <t>10.3758/s13415-025-01268-2</t>
  </si>
  <si>
    <t>http://dx.doi.org/10.3758/s13415-025-01268-2</t>
  </si>
  <si>
    <t>Behavioral Sciences; Neurosciences</t>
  </si>
  <si>
    <t>Behavioral Sciences; Neurosciences &amp; Neurology</t>
  </si>
  <si>
    <t>3HZ5W</t>
  </si>
  <si>
    <t>39966304</t>
  </si>
  <si>
    <t>WOS:001424193200001</t>
  </si>
  <si>
    <t>Wie, JH; Lee, SJ; Choi, SK; Jo, YS; Hwang, HS; Park, MH; Kim, YH; Shin, JE; Kil, KC; Kim, SM; Choi, BS; Hong, H; Seol, HJ; Won, HS; Ko, HS; Na, S</t>
  </si>
  <si>
    <t>This study was a multicenter retrospective cohort study of term nulliparous women who underwent labor, and was conducted to develop an automated machine learning model for prediction of emergent cesarean section (CS) before onset of labor. Nine machine learning methods of logistic regression, random forest, Support Vector Machine (SVM), gradient boosting, extreme gradient boosting (XGBoost), light gradient boosting machine (LGBM), k-nearest neighbors (KNN), Voting, and Stacking were applied and compared for prediction of emergent CS during active labor. External validation was performed using a nationwide multicenter dataset for Korean fetal growth. A total of 6549 term nulliparous women was included in the analysis, and the emergent CS rate was 16.1%. The C-statistics values for KNN, Voting, XGBoost, Stacking, gradient boosting, random forest, LGBM, logistic regression, and SVM were 0.6, 0.69, 0.64, 0.59, 0.66, 0.68, 0.68, 0.7, and 0.69, respectively. The logistic regression model showed the best predictive performance with an accuracy of 0.78. The machine learning model identified nine significant variables of maternal age, height, weight at pre-pregnancy, pregnancy-associated hypertension, gestational age, and fetal sonographic findings. The C-statistic value for the logistic regression machine learning model in the external validation set (1391 term nulliparous women) was 0.69, with an overall accuracy of 0.68, a specificity of 0.83, and a sensitivity of 0.41. Machine learning algorithms with clinical and sonographic parameters at near term could be useful tools to predict individual risk of emergent CS during active labor in nulliparous women.</t>
  </si>
  <si>
    <t>Wie, Jeong Ha; Lee, Se Jin; Choi, Sae Kyung; Jo, Yun Sung; Hwang, Han Sung; Park, Mi Hye; Kim, Yeon Hee; Shin, Jae Eun; Kil, Ki Cheol; Kim, Su Mi; Choi, Bong Suk; Hong, Hanul; Seol, Hyun-Joo; Won, Hye-Sung; Ko, Hyun Sun; Na, Sunghun</t>
  </si>
  <si>
    <t>Na, S (corresponding author), Kangwon Natl Univ, Kangwon Natl Univ Hosp, Sch Med, Dept Obstet &amp; Gynecol, Chunchon 24289, South Korea.; Ko, HS (corresponding author), Catholic Univ Korea, Coll Med, Seoul St Marys Hosp, Dept Obstet &amp; Gynecol, Seoul 06591, South Korea.</t>
  </si>
  <si>
    <t>ewhapmh@ewha.ac.kr; obgysk@catholic.ac.kr; sky_h@innerwave.co.kr; 23wls@naver.com; bschoi@innerwave.co.kr; jennie1008@catholic.ac.kr; lahun@kangwon.ac.kr; alex4yu@catholic.ac.kr; hswon@amc.seoul.kr; 20080251@kuh.ac.kr; wiejh@catholic.ac.kr; yoni@catholic.ac.kr; kilssine@catholic.ac.kr; mongkoko@catholic.ac.kr; eggs76@catholic.ac.kr; seolhj@khu.ac.kr</t>
  </si>
  <si>
    <t>Korean Health Technology R&amp;D Project through the Korea Health Industry Development Institute (KHIDI) - Ministry of Health &amp; Welfare, Republic of Korea [HI21C1300]</t>
  </si>
  <si>
    <t>Korean Health Technology R&amp;D Project through the Korea Health Industry Development Institute (KHIDI) - Ministry of Health &amp; Welfare, Republic of Korea</t>
  </si>
  <si>
    <t>This study was supported by a grant of the Korean Health Technology R&amp;D Project through the Korea Health Industry Development Institute (KHIDI), funded by the Ministry of Health &amp; Welfare, Republic of Korea (grant number: HI21C1300).</t>
  </si>
  <si>
    <t>[Wie, Jeong Ha] Catholic Univ Korea, Coll Med, Eunpyeong St Marys Hosp, Dept Obstet &amp; Gynecol, Seoul 03312, South Korea; [Lee, Se Jin; Na, Sunghun] Kangwon Natl Univ, Kangwon Natl Univ Hosp, Sch Med, Dept Obstet &amp; Gynecol, Chunchon 24289, South Korea; [Choi, Sae Kyung] Catholic Univ Korea, Incheon St Marys Hosp, Coll Med, Dept Obstet &amp; Gynecol, Seoul 21431, South Korea; [Jo, Yun Sung] Catholic Univ Korea, St Vincents Hosp, Coll Med, Dept Obstet &amp; Gynecol, Seoul 16247, South Korea; [Hwang, Han Sung] Konkuk Univ, Sch Med, Res Inst Med Sci, Dept Obstet &amp; Gynecol, Seoul 05030, South Korea; [Park, Mi Hye] Ewha Womans Univ, Coll Med, Ewha Med Ctr, Ewha Med Inst,Dept Obstet &amp; Gynecol, Seoul 07804, South Korea; [Kim, Yeon Hee] Catholic Univ Korea, Coll Med, Uijeongbu St Marys Hosp, Dept Obstet &amp; Gynecol, Seoul 11765, South Korea; [Shin, Jae Eun] Catholic Univ Korea, Coll Med, Bucheon St Marys Hosp, Dept Obstet &amp; Gynecol, Seoul 14647, South Korea; [Kil, Ki Cheol] Catholic Univ Korea, Coll Med, Yeouido St Marys Hosp, Dept Obstet &amp; Gynecol, Seoul 07345, South Korea; [Kim, Su Mi] Catholic Univ Korea, Coll Med, Daejeon St Marys Hosp, Dept Obstet &amp; Gynecol, Seoul 34943, South Korea; [Choi, Bong Suk; Hong, Hanul] Innerwave Co Ltd, Seoul 08510, South Korea; [Seol, Hyun-Joo] Kyung Hee Univ, Sch Med, Dept Obstet &amp; Gynecol, Seoul 05278, South Korea; [Won, Hye-Sung] Univ Ulsan, Asan Med Ctr, Coll Med, Dept Obstet &amp; Gynecol, Seoul 05505, South Korea; [Ko, Hyun Sun] Catholic Univ Korea, Coll Med, Seoul St Marys Hosp, Dept Obstet &amp; Gynecol, Seoul 06591, South Korea</t>
  </si>
  <si>
    <t>Catholic University of Korea; Kangwon National University; Kangwon National University Hospital; Catholic University of Korea; Catholic University of Korea; Konkuk University; Konkuk University Medical Center; Ewha Womans University; Catholic University of Korea; Catholic University of Korea; Catholic University of Korea; Catholic University of Korea; Kyung Hee University; University of Ulsan; Asan Medical Center; Asan Medical Center; Catholic University of Korea; Seoul St. Mary's Hospital</t>
  </si>
  <si>
    <t>Prediction of Emergency Cesarean Section Using Machine Learning Methods: Development and External Validation of a Nationwide Multicenter Dataset in Republic of Korea</t>
  </si>
  <si>
    <t>emergency; cesarean; nulliparous; prediction; labor; machine learning</t>
  </si>
  <si>
    <t>ESTIMATED FETAL WEIGHT; IMBALANCED DATA; BIRTH-WEIGHT; DELIVERY; INDUCTION; SMOTE; LABOR; RISK</t>
  </si>
  <si>
    <t>Wie, Jeongha/QQZ-8258-2026; Na, Sunghun/AAE-3929-2022</t>
  </si>
  <si>
    <t>Lee, Se Jin/0000-0002-8626-6250; KO, HYUN SUN/0000-0001-6310-6206; Hwang, Han Sung/0000-0003-0622-0701; JO, YUN SUNG/0000-0002-5618-9338; Wie, Jeong Ha/0000-0001-7897-5148; Shin, Jae Eun/0000-0002-8326-8541; Seol, Hyun-Joo/0000-0003-0303-7813</t>
  </si>
  <si>
    <t>10.3390/life12040604</t>
  </si>
  <si>
    <t>http://dx.doi.org/10.3390/life12040604</t>
  </si>
  <si>
    <t>0Q7CO</t>
  </si>
  <si>
    <t>35455095</t>
  </si>
  <si>
    <t>WOS:000785072100001</t>
  </si>
  <si>
    <t>Wang, SY; Qiao, J; Wang, R; Chen, HJ; Ouyang, YQ</t>
  </si>
  <si>
    <t>Objective: This study aimed to develop a machine learning (ML)-based prediction model for antenatal depression (AND) in Chinese women. Given the significant impact of AND on maternal and infant health, the goal was to create an accurate and interpretable model to identify women at risk early. Methods: Five ML models were compared, including Extreme Gradient Boosting (XGBoost) and Light Gradient Boosting Machine (LightGBM). The models were evaluated on accuracy, sensitivity, specificity, the area under the receiver operating characteristic curve (AUC), and decision curve analysis (DCA). SHapley Additive exPlanations (SHAP) were utilized to improve model interpretability and highlight important predictive features. The training set comprised 442 pregnant women during prenatal visits at the obstetrics clinic of a major hospital in Wuhan, China. In comparison, the external validation set comprised 190 pregnant women at the obstetrics clinic of another major hospital in Wuhan, China. Results: The LightGBM model outperformed the other models in terms of predictive accuracy and generalizability. Key predictors of AND included educational attainment, coping strategies, social support and personality traits. The model demonstrated robust performance in both the training and validation datasets, offering an effective tool for AND prediction. Conclusion: This study developed a reliable and interpretable ML-based model for early identification of women at risk for AND. The findings suggest that ML techniques, specifically LightGBM, can be integrated into prenatal care to enhance early screening and provide timely interventions for at-risk women, improving maternal mental health outcomes.</t>
  </si>
  <si>
    <t>Wang, Shi-Yun; Qiao, Jia; Wang, Rong; Chen, Hui-Jun; Ouyang, Yan-Qiong</t>
  </si>
  <si>
    <t>Ouyang, YQ (corresponding author), Wuhan Univ, Sch Nursing, Wuhan 430071, Peoples R China.; Chen, HJ (corresponding author), Wuhan Univ, Zhongnan Hosp, Obstet Dept, Wuhan 430071, Peoples R China.</t>
  </si>
  <si>
    <t>karrel@sina.com; ouyangyq@whu.edu.cn</t>
  </si>
  <si>
    <t>Health Bureau of Songzi City [HBSSZSHLZX0003]; Hubei Psychological Counselors Association [ZXS 2024-006]</t>
  </si>
  <si>
    <t>Health Bureau of Songzi City; Hubei Psychological Counselors Association</t>
  </si>
  <si>
    <t>The authors disclosed that the research has been funded by the Health Bureau of Songzi City (Project No. HBSSZSHLZX0003) and Hubei Psychological Counselors Association (Grant No. ZXS 2024-006) .</t>
  </si>
  <si>
    <t>[Wang, Shi-Yun; Qiao, Jia; Ouyang, Yan-Qiong] Wuhan Univ, Sch Nursing, Wuhan 430071, Peoples R China; [Wang, Rong] Wuhan Univ, Renmin Hosp, Wuhan 430071, Peoples R China; [Chen, Hui-Jun] Wuhan Univ, Zhongnan Hosp, Obstet Dept, Wuhan 430071, Peoples R China</t>
  </si>
  <si>
    <t>Wuhan University; Wuhan University; Wuhan University</t>
  </si>
  <si>
    <t>Development and external validation of an interpretable machine learning model for predicting perinatal depression in Chinese women during mid-and late pregnancy</t>
  </si>
  <si>
    <t>Depression; Mid; and late-pregnancy women; Machine learning; Risk prediction model; Prediction model; LightGBM</t>
  </si>
  <si>
    <t>POSTPARTUM DEPRESSION; MOTHERS; SYMPTOMS; EFFICACY</t>
  </si>
  <si>
    <t>Wang, Rong/GVU-6904-2022</t>
  </si>
  <si>
    <t>203</t>
  </si>
  <si>
    <t>106000</t>
  </si>
  <si>
    <t>10.1016/j.ijmedinf.2025.106000</t>
  </si>
  <si>
    <t>http://dx.doi.org/10.1016/j.ijmedinf.2025.106000</t>
  </si>
  <si>
    <t>3ZS8C</t>
  </si>
  <si>
    <t>40523336</t>
  </si>
  <si>
    <t>WOS:001512872300001</t>
  </si>
  <si>
    <t>Xu, WB; Cheng, SC; Wu, CX; Li, C; Ni, TH; Ni, PF; Zhang, GS; Diao, MY; Hu, W</t>
  </si>
  <si>
    <t>Background Cardiac arrest-associated acute kidney injury is common after cardiac arrest and adversely affects patient survival and disease outcomes. Early prediction of acute kidney injury is essential for guiding clinical management, especially in cardiac arrest patients admitted to the intensive care unit. Early detection of acute kidney injury can improve long-term outcomes.Methods Data were obtained from two local hospitals and the Medical Information Mart for Intensive Care (MIMIC)-IV database. Feature selection was performed using least absolute shrinkage and selection operator regression. Model performance was evaluated using decision curve analysis and calibration curves, and the best-performing model was interpreted with SHapley Additive exPlanations.Results This study included 873 patients from local hospitals and 719 patients from the MIMIC-IV database as an external validation cohort, least absolute shrinkage and selection operator regression identified 10 predictor variables. The logistic regression model demonstrated the best performance in predicting cardiac arrest-associated acute kidney injury, with an area under the curve of 0.958 (95% CI: 0.942-0.974) in the training set, 0.953 (95% CI: 0.920-0.987) in the internal validation set, and 0.825 (95% CI: 0.791-0.859) in the external validation set. The model was further interpreted using the SHAP framework.Conclusion An externally validated logistic regression model incorporating 10 variables effectively predicted early acute kidney injury onset in cardiac arrest patients. The SHapley Additive exPlanations algorithm facilitated model interpretation, helping clinicians understand the contribution of each variable to acute kidney injury risk, to determine which factors contribute most significantly to patient risk.</t>
  </si>
  <si>
    <t>Xu, Wenbo; Cheng, Shenchi; Wu, Chenxi; Li, Chen; Ni, Tianhao; Ni, Peifeng; Zhang, Gensheng; Diao, Mengyuan; Hu, Wei</t>
  </si>
  <si>
    <t>Diao, MY; Hu, W (corresponding author), Westlake Univ, Affiliated Hangzhou Peoples Hosp 1, Sch Med, Dept Crit Care Med, Hangzhou, Zhejiang, Peoples R China.</t>
  </si>
  <si>
    <t>diaomengyuan@hospital.westlake.edu.cn; huwei@hospital.westlake.edu.cn</t>
  </si>
  <si>
    <t>Zhejiang Provincial Medical and Health Technology Project [WKJ-ZJ-2315]; Construction Fund of Key Medical Disciplines of Hangzhou [2025HZZD04]</t>
  </si>
  <si>
    <t>Zhejiang Provincial Medical and Health Technology Project; Construction Fund of Key Medical Disciplines of Hangzhou</t>
  </si>
  <si>
    <t>The author(s) declared that financial support was received for this work and/or its publication. This work was financial support from the Zhejiang Provincial Medical and Health Technology Project (Grant: 2025KY1091), the Zhejiang Provincial Medical and Health Technology Project (Grant. WKJ-ZJ-2315), the Construction Fund of Key Medical Disciplines of Hangzhou (Grant: 2025HZZD04).</t>
  </si>
  <si>
    <t>[Xu, Wenbo; Cheng, Shenchi; Wu, Chenxi; Li, Chen; Ni, Tianhao] Zhejiang Chinese Med Univ, Sch Clin Med 4, Hangzhou, Zhejiang, Peoples R China; [Xu, Wenbo; Cheng, Shenchi; Wu, Chenxi; Li, Chen; Ni, Tianhao; Ni, Peifeng; Diao, Mengyuan; Hu, Wei] Westlake Univ, Affiliated Hangzhou Peoples Hosp 1, Sch Med, Dept Crit Care Med, Hangzhou, Zhejiang, Peoples R China; [Ni, Peifeng] Zhejiang Univ, Sch Med, Dept Crit Care Med, Hangzhou, Zhejiang, Peoples R China; [Zhang, Gensheng] Zhejiang Univ, Sch Med, Affiliated Hosp 2, Dept Crit Care Med, Hangzhou, Peoples R China</t>
  </si>
  <si>
    <t>Zhejiang Chinese Medical University; Westlake University; Zhejiang University; Zhejiang University</t>
  </si>
  <si>
    <t>A machine learning model for prediction of cardiac arrest-associated acute kidney injury in the ICU: an internal and external validation study</t>
  </si>
  <si>
    <t>acute kidney injury; cardiac arrest; machine learning; MIMIC-IV database; predictive modeling</t>
  </si>
  <si>
    <t>CARDIOVASCULAR CARE COMMITTEE; AMERICAN-HEART-ASSOCIATION; SYNDROME EPIDEMIOLOGY; CLINICAL CARDIOLOGY; LIAISON COMMITTEE; CARDIOPULMONARY; PROGNOSTICATION; PATHOPHYSIOLOGY; RESUSCITATION; BIOMARKERS</t>
  </si>
  <si>
    <t>JAN 20 2026</t>
  </si>
  <si>
    <t>1717973</t>
  </si>
  <si>
    <t>10.3389/fmed.2025.1717973</t>
  </si>
  <si>
    <t>http://dx.doi.org/10.3389/fmed.2025.1717973</t>
  </si>
  <si>
    <t>CY9VK</t>
  </si>
  <si>
    <t>41641253</t>
  </si>
  <si>
    <t>WOS:001677769100001</t>
  </si>
  <si>
    <t>Luo, N; Tan, SF; Li, XC; Liu, S; Xie, SY; Huang, XY; Wu, D</t>
  </si>
  <si>
    <t>IntroductionBrain metastases (BM) represent a common and fatal progression in small cell lung cancer (SCLC), yet prognostic tools for this population remain underdeveloped. This study aimed to establish and externally validate a machine learning-based model to predict overall survival (OS) in SCLC patients with BM.MethodsWe extracted clinical data from 2392 SCLC patients with BM from the SEER database to construct prognostic models using Cox regression, AJCC staging, and four machine learning algorithms: Random Survival Forest (RSF), Extreme Gradient Boosting (XGB), Elastic Net (Enet), and Artificial Neural Network (ANN). Key features were selected via Lasso-Cox regression. Model performance was evaluated using time-dependent AUC, calibration curves, Brier scores, precision-recall (PR) curves, and decision curve analysis (DCA). SHAP and partial dependence plots were applied for model interpretability. External validation was conducted using an independent hospital-based cohort of 85 patients, with comparability to the SEER cohort addressed through inverse probability of treatment weighting (IPTW).ResultsAmong all models, the RSF algorithm demonstrated the best overall performance. In the training cohort, it achieved AUCs of 0.738 and 0.809 for 1-year and 2-year OS, respectively. In the internal validation cohort, AUCs were 0.718 and 0.748, and in the external validation cohort, 0.686 and 0.802, respectively. The RSF model also showed favorable calibration and the lowest Brier scores across datasets. SHAP analysis ranked chemotherapy, liver metastasis, N stage, and age as the most influential prognostic features. A web-based calculator was developed to enable real-time individualized risk prediction.ConclusionsThis study presents a robust, interpretable, and externally validated RSF-based model for predicting OS in SCLC patients with BM. The model offers clinically relevant insights and is accessible via an online tool, supporting its potential integration into personalized treatment planning.</t>
  </si>
  <si>
    <t>Luo, Ning; Tan, Shifan; Li, Xiaocai; Liu, Si; Xie, Shangyu; Huang, Xiaoying; Wu, Dong</t>
  </si>
  <si>
    <t>Wu, D (corresponding author), Guangdong Med Univ, Affiliated Hosp, Dept Resp &amp; Crit Care Med, 2 Wenming East Rd, Zhanjiang 524023, Peoples R China.</t>
  </si>
  <si>
    <t>wudong98@126.com</t>
  </si>
  <si>
    <t>[Luo, Ning; Wu, Dong] Guangdong Med Univ, Affiliated Hosp, Dept Resp &amp; Crit Care Med, 2 Wenming East Rd, Zhanjiang 524023, Peoples R China; [Luo, Ning; Tan, Shifan; Li, Xiaocai; Liu, Si; Xie, Shangyu; Huang, Xiaoying] Maoming Peoples Hosp, Dept Resp &amp; Crit Care Med, Maoming, Peoples R China</t>
  </si>
  <si>
    <t>Guangdong Medical University</t>
  </si>
  <si>
    <t>Interpretable Machine Learning for Survival Prediction in Small Cell Lung Cancer Patients With Brain Metastases: A Population-Based Study With External Validation</t>
  </si>
  <si>
    <t>CANCER CONTROL</t>
  </si>
  <si>
    <t>small cell lung cancer; brain metastasis; machine learning; prognostic model; random survival forest; SEER; internal validation; external validation; SHAP; web-based tool</t>
  </si>
  <si>
    <t>1073-2748</t>
  </si>
  <si>
    <t>1526-2359</t>
  </si>
  <si>
    <t>Cancer Control</t>
  </si>
  <si>
    <t>10732748261419190</t>
  </si>
  <si>
    <t>10.1177/10732748261419190</t>
  </si>
  <si>
    <t>http://dx.doi.org/10.1177/10732748261419190</t>
  </si>
  <si>
    <t>CH0XC</t>
  </si>
  <si>
    <t>41557941</t>
  </si>
  <si>
    <t>WOS:001665623200001</t>
  </si>
  <si>
    <t>Shajeef, NM; Sobi, TM; Jayaprakash, C; Abraham, S</t>
  </si>
  <si>
    <t>Background and aims: Multidrug-resistant organisms (MDROs) are a growing threat in critical care settings, causing prolonged hospitalization, increased costs, and mortality. Irrational antibiotic use, invasive procedures, and limited diagnostic times contribute to the prevalence of MDROs. Machine learning (ML) offers a promising approach for early risk identification. This study aimed to develop and pilot validate an ML-based tool to predict MDRO infection risk in Critical Care Unit (CCU) patients using baseline clinical data. Patients and methods: Retrospective data from 323 patients admitted to the CCU of a tertiary care hospital in Kerala, India, were used to develop and evaluate five ML models using Python (version 3.11). Predictor variables included demographics, comorbidities, and initial medical device usage. A pilot prospective validation was subsequently conducted on 49 new CCU admissions to assess real-world predictive performance within 48 hours of admission. Results: Among 323 patients, 76 developed MDRO infections (23.5%). Major risk factors identified included prolonged hospitalization and invasive device use. The random forest model demonstrated a training accuracy of 96.0% and a test-set accuracy of 75.3%. In the pilot prospective validation, the tool yielded a sensitivity of 81.8%, a specificity of 100%, and an overall accuracy of 95.9%. Conclusions: This study demonstrates that the ML-based tool can effectively stratify MDRO risk in a CCU setting. While the performance discrepancy between training and testing indicates overfitting, the high specificity and sensitivity observed in the prospective pilot phase support its potential as a bedside aid for early antimicrobial stewardship (AMS). Clinical significance: The ML tool enables early risk stratification, allowing for timely infection control and efficient resource utilization in constrained clinical settings.</t>
  </si>
  <si>
    <t>Shajeef, Nadheem M.; Sobi, Teresa M.; Jayaprakash, Chithra; Abraham, Suja</t>
  </si>
  <si>
    <t>Abraham, S (corresponding author), Nirmala Coll Pharm, Dept Pharm Practice, Muvattupuzha, Kerala, India.</t>
  </si>
  <si>
    <t>sujanirmalacp@gmail.com</t>
  </si>
  <si>
    <t>[Shajeef, Nadheem M.; Sobi, Teresa M.; Abraham, Suja] Nirmala Coll Pharm, Dept Pharm Practice, Muvattupuzha, Kerala, India; [Jayaprakash, Chithra] MOSC Med Coll, Dept Microbiol &amp; Infect Control Officer, Kolenchery, Kerala, India</t>
  </si>
  <si>
    <t>Development and Prospective Validation of a Machine Learning Tool for Predicting Multidrug-resistant Organism Infections in an Indian Critical Care Unit</t>
  </si>
  <si>
    <t>INDIAN JOURNAL OF CRITICAL CARE MEDICINE</t>
  </si>
  <si>
    <t>Antibiotic resistance; Critical care; Machine learning; Multidrug-resistant organism; Risk prediction tool</t>
  </si>
  <si>
    <t>JAYPEE BROTHERS MEDICAL PUBLISHERS PVT LTD</t>
  </si>
  <si>
    <t>NEW DEHLI</t>
  </si>
  <si>
    <t>4347-B/4C, Madan Mohan Street, Ansari Road, Daryaganj, NEW DEHLI, 110 002, INDIA</t>
  </si>
  <si>
    <t>0972-5229</t>
  </si>
  <si>
    <t>1998-359X</t>
  </si>
  <si>
    <t>INDIAN J CRIT CARE M</t>
  </si>
  <si>
    <t>Indian J. Crit. Care Med.</t>
  </si>
  <si>
    <t>601</t>
  </si>
  <si>
    <t>608</t>
  </si>
  <si>
    <t>10.5005/jp-journals-10071-25242</t>
  </si>
  <si>
    <t>http://dx.doi.org/10.5005/jp-journals-10071-25242</t>
  </si>
  <si>
    <t>MC2FD</t>
  </si>
  <si>
    <t>WOS:001838774000012</t>
  </si>
  <si>
    <t>Dragomir, RD; Saftescu, S; Sandu, DL; Dulan, A; Croitoru-Cazacu, IM; Croitoru, AE; Croitoru, VM; Vornicu, V; Nagy, DE; Perva, IT; Sirca, D; Popovici, DI</t>
  </si>
  <si>
    <t>Background/Objectives: Persistent gastrointestinal (GI) symptoms following oncologic treatment represent a major unmet need in survivorship care, often managed symptomatically without addressing underlying biological mechanisms. This study aimed to evaluate the clinical efficacy and biological correlates of an artificial intelligence (AI)-guided, personalized microbiome modulation strategy in oncology patients with chronic secondary GI dysfunction. Methods: We conducted a prospective, single-arm, open-label validation study including 29 adult female oncology patients with persistent GI symptoms lasting &gt;= 3 months. Participants underwent baseline multidimensional assessment integrating shotgun metagenomic sequencing, inflammatory and nutritional biomarkers, and clinical symptom profiling. An AI-guided platform generated individualized dietary, supplement, and lifestyle recommendations. Outcomes were assessed at baseline and after a 3-month intervention, focusing on intra-individual changes in stool frequency (primary endpoint), self-reported energy, microbiome composition, and metabolic biomarkers. Paired statistical analyses, correlation testing, and multivariable regression were performed. Results: After three months, stool frequency significantly decreased (4.69 +/- 2.41 to 2.07 +/- 1.19 episodes/day; p &lt; 0.0001), accompanied by a marked increase in energy levels (4.00 +/- 1.04 to 7.24 +/- 1.12; p &lt; 0.0001). Microbiome analysis revealed consistent enrichment of butyrate-producing and barrier-supportive taxa, including Faecalibacterium prausnitzii, Eubacterium rectale, Roseburia intestinalis, Akkermansia muciniphila, and Bifidobacterium longum. Butyrate-related biomarkers and vitamin-associated parameters (B-complex, vitamin D) showed significant improvement, while lactate levels normalized. Changes in Bifidobacterium longum were independently associated with stool frequency reduction (beta = -0.783, p = 0.0082). Conclusions: AI-guided personalized microbiome modulation was associated with significant clinical improvement and biologically coherent microbial and metabolic shifts in oncology patients with persistent GI symptoms. These findings support a precision supportive-care approach targeting microbiome restoration, warranting further validation in randomized controlled trials.</t>
  </si>
  <si>
    <t>Dragomir, Radu Dumitru; Saftescu, Sorin; Sandu, Daniela Lidia; Dulan, Ana; Croitoru-Cazacu, Irina Mihaela; Croitoru, Adina Emilia; Croitoru, Vlad Mihai; Vornicu, Vlad; Nagy, Daniela Elena; Perva, Iulia Teodora; Sirca, Diana; Popovici, Dorel Ionel</t>
  </si>
  <si>
    <t>Saftescu, S (corresponding author), Victor Babes Univ Med &amp; Pharm Timisoara, Fac Med, Dept Oncol, Eftimie Murgu Sq 2, Timisoara 300041, Romania.</t>
  </si>
  <si>
    <t>daniela.sandu@umft.ro; diana-cristiana.sirca@student.umft.ro; ana.dulan@umft.ro; irina-mihaela.cazacu@umfcd.ro; vlad.m.croitoru@gmail.com; sorin.saftescu@umft.ro; vlad.vornicu@umft.ro; radu.dragomir@umft.ro; dana.nagy85@gmail.com; dorel.popovici@umft.ro; adina.croitoru@umfcd.ro; iulia.perva@umft.ro</t>
  </si>
  <si>
    <t>"Victor Babes" University of Medicine and Pharmacy</t>
  </si>
  <si>
    <t>"Victor Babes" University of Medicine and Pharmacy, Eftimie Murgu Square, No. 2, 300041 Timisoara, Romania.</t>
  </si>
  <si>
    <t>[Dragomir, Radu Dumitru; Saftescu, Sorin; Sandu, Daniela Lidia; Dulan, Ana; Popovici, Dorel Ionel] Victor Babes Univ Med &amp; Pharm Timisoara, Fac Med, Dept Oncol, Eftimie Murgu Sq 2, Timisoara 300041, Romania; [Croitoru-Cazacu, Irina Mihaela; Croitoru, Adina Emilia; Croitoru, Vlad Mihai] Carol Davila Univ Med &amp; Pharm, Fundeni Clin Inst, Dept Oncol, Bucharest 022328, Romania; [Vornicu, Vlad] Victor Babes Univ Med &amp; Pharm, Doctoral Sch Med, Timisoara 300041, Romania; [Nagy, Daniela Elena; Perva, Iulia Teodora] Oncohelp Oncol Ctr, Timisoara 300239, Romania; [Sirca, Diana] Victor Babes Univ Med &amp; Pharm, Fac Med, Timisoara 300041, Romania</t>
  </si>
  <si>
    <t>Victor Babes University of Medicine &amp; Pharmacy, Timisoara; Carol Davila University of Medicine &amp; Pharmacy; Institutul Clinic Fundeni; Victor Babes University of Medicine &amp; Pharmacy, Timisoara; Victor Babes University of Medicine &amp; Pharmacy, Timisoara</t>
  </si>
  <si>
    <t>Artificial Intelligence-Guided Personalized Gut Microbiome Modulation for Persistent Secondary Gastrointestinal Symptoms in Oncology Patients: Clinical Efficacy and Biological Correlates from a Prospective Validation Study</t>
  </si>
  <si>
    <t>cancer survivorship; gastrointestinal toxicity; gut microbiome; dysbiosis; personalized medicine; artificial intelligence; microbiome modulation; short-chain fatty acids; Bifidobacterium longum; precision supportive care</t>
  </si>
  <si>
    <t>NUTRITION; DYSBIOSIS</t>
  </si>
  <si>
    <t>Croitoru, Vlad/AAK-1581-2020; saftescu, sorin/HZL-3755-2023; Sandu, Daniela/MBG-5306-2025; Popovici, Dorel/AAR-5711-2021; Croitoru, Adina/O-2978-2013; Dragomir, Radu/JOJ-6384-2023; Perva, Iulia-Teodora/LFU-4698-2024</t>
  </si>
  <si>
    <t>1453</t>
  </si>
  <si>
    <t>10.3390/cancers18091453</t>
  </si>
  <si>
    <t>http://dx.doi.org/10.3390/cancers18091453</t>
  </si>
  <si>
    <t>HU9KJ</t>
  </si>
  <si>
    <t>42122249</t>
  </si>
  <si>
    <t>WOS:001763289300001</t>
  </si>
  <si>
    <t>Stenhouse, K; Roumeliotis, M; Ciunkiewicz, P; Martell, K; Quirk, S; Banerjee, R; Doll, C; Phan, T; Yanushkevich, S; McGeachy, P</t>
  </si>
  <si>
    <t>PURPOSE: To Demonstrate the clinical validation of a machine learning (ML) model for applicator and interstitial needle prediction in gynecologic brachytherapy through a prospective clinical study in a single institution. METHODS: The study included cervical cancer patients receiving high -dose -rate brachytherapy using intracavitary (IC) or hybrid interstitial (IC/IS) applicators. For each patient, the primary radiation oncologist contoured the high -risk clinical target volume on a pre-brachytherapy MRI, indicated the approximate applicator location, and made a clinical determination of the first fraction applicator. A pre -trained ML model predicted the applicator and IC/IS needle arrangement using tumor geometry. Following the first fraction, ML and radiation oncologist predictions were compared and a replanning study determined the applicator providing optimal organ -at -risk (OAR) dosimetry. The ML -predicted applicator and needle arrangement and the clinical determination were compared to this dosimetric ground truth. RESULTS: Ten patients were accrued from December 2020 to October 2022. Compared to the dosimetrically optimal applicator, both the radiation oncologist and ML had an accuracy of 70%. ML demonstrated better identification of patients requiring IC/IS applicators and provided balanced IC and IC/IS predictions. The needle selection model achieved an average accuracy of 82.5%. ML -predicted needle arrangements matched or improved plan quality when compared to clinically selected arrangements. Overall, ML predictions led to an average total improvement of 2.0 Gy to OAR doses over three treatment fractions when compared to clinical predictions. CONCLUSION: In the context of a single institution study, the presented ML model demonstrates valuable decision -support for the applicator and needle selection process with the potential to provide improved dosimetry. Future work will include a multi -center study to assess generalizability. (c) 2024 American Brachytherapy Society. Published by Elsevier Inc. All rights reserved.</t>
  </si>
  <si>
    <t>Stenhouse, Kailyn; Roumeliotis, Michael; Ciunkiewicz, Philip; Martell, Kevin; Quirk, Sarah; Banerjee, Robyn; Doll, Corinne; Phan, Tien; Yanushkevich, Svetlana; McGeachy, Philip</t>
  </si>
  <si>
    <t>Stenhouse, K (corresponding author), Univ Calgary, Dept Phys &amp; Astron, Calgary, AB, Canada.; Stenhouse, K (corresponding author), Tom Baker Canc Clin, Dept Med Phys, Calgary, AB, Canada.</t>
  </si>
  <si>
    <t>kailyn.stenhouse@gmail.com</t>
  </si>
  <si>
    <t>The authors would like to disclose that financial support for this project was partially provided by the Natural Sciences and Engi-neering Research Council of Canada, Alberta Innovates, and the Univer-sity of Calgary. Additionally, we disclose the potential conflict of interest that the author Michael Roumeliotis has ownership interest in Okolo Health, a brachytherapy company.</t>
  </si>
  <si>
    <t>[Stenhouse, Kailyn; Roumeliotis, Michael; Quirk, Sarah; McGeachy, Philip] Univ Calgary, Dept Phys &amp; Astron, Calgary, AB, Canada; [Stenhouse, Kailyn; McGeachy, Philip] Tom Baker Canc Clin, Dept Med Phys, Calgary, AB, Canada; [Roumeliotis, Michael] Johns Hopkins Univ, Dept Radiat Oncol &amp; Mol Radiat Sci, Baltimore, MD USA; [Ciunkiewicz, Philip] Univ Calgary, Dept Biomed Engn, Calgary, AB, Canada; [Martell, Kevin; Banerjee, Robyn; Doll, Corinne; Phan, Tien; McGeachy, Philip] Univ Calgary, Dept Oncol, Calgary, AB, Canada; [Quirk, Sarah] Brigham &amp; Womens Hosp, Dept Radiat Oncol, Boston, MA USA; [Yanushkevich, Svetlana] Univ Calgary, Dept Elect &amp; Comp Engn, Calgary, AB, Canada</t>
  </si>
  <si>
    <t>University of Calgary; Tom Baker Cancer Clinic; University of Calgary; Johns Hopkins University; University of Calgary; University of Calgary; Harvard University; Harvard University Medical Affiliates; Brigham &amp; Women's Hospital; University of Calgary</t>
  </si>
  <si>
    <t>Prospective validation of a machine learning model for applicator and hybrid interstitial needle selection in high-dose-rate (HDR) cervical brachytherapy</t>
  </si>
  <si>
    <t>BRACHYTHERAPY</t>
  </si>
  <si>
    <t>Cervical brachytherapy; High -dose -rate brachytherapy; Machine learning; Validation study</t>
  </si>
  <si>
    <t>GUIDED ADAPTIVE BRACHYTHERAPY; PROSTATE BRACHYTHERAPY; COMBINED INTRACAVITARY; CANCER; RADIOTHERAPY; PARAMETERS</t>
  </si>
  <si>
    <t>Yanushkevich, Svetlana/AAS-1052-2021; Stenhouse, Kailyn/JSL-4610-2023</t>
  </si>
  <si>
    <t>Ciunkiewicz, Philip/0000-0002-9796-2075; Yanushkevich, Svetlana/0000-0003-4794-9849; Roumeliotis, Michael/0000-0003-2429-0690</t>
  </si>
  <si>
    <t>1538-4721</t>
  </si>
  <si>
    <t>1873-1449</t>
  </si>
  <si>
    <t>Brachytherapy</t>
  </si>
  <si>
    <t>368</t>
  </si>
  <si>
    <t>10.1016/j.brachy.2024.02.008</t>
  </si>
  <si>
    <t>http://dx.doi.org/10.1016/j.brachy.2024.02.008</t>
  </si>
  <si>
    <t>TL0L8</t>
  </si>
  <si>
    <t>38538415</t>
  </si>
  <si>
    <t>WOS:001241299700001</t>
  </si>
  <si>
    <t>Hosny, A; Bitterman, DS; Guthier, CV; Qian, JM; Roberts, H; Perni, S; Saraf, A; Peng, LC; Pashtan, I; Ye, ZZ; Kann, BH; Kozono, DE; Christiani, D; Catalano, PJ; Aerts, HJWL; Mak, RH</t>
  </si>
  <si>
    <t>Background Artificial intelligence (AI) and deep learning have shown great potential in streamlining clinical tasks. However, most studies remain confined to in silico validation in small internal cohorts, without external validation or data on real-world clinical utility. We developed a strategy for the clinical validation of deep learning models for segmenting primary non-small-cell lung cancer (NSCLC) tumours and involved lymph nodes in CT images, which is a time-intensive step in radiation treatment planning, with large variability among experts.Methods In this observational study, CT images and segmentations were collected from eight internal and external sources from the USA, the Netherlands, Canada, and China, with patients from the Maastro and Harvard-RT1 datasets used for model discovery (segmented by a single expert). Validation consisted of interobserver and intraobserver benchmarking, primary validation, functional validation, and end-user testing on the following datasets: multi-delineation, Harvard-RT1, Harvard-RT2, RTOG-0617, NSCLC-radiogenomics, Lung-PET-CT-Dx, RIDER, and thorax phantom. Primary validation consisted of stepwise testing on increasingly external datasets using measures of overlap including volumetric dice (VD) and surface dice (SD). Functional validation explored dosimetric effect, model failure modes, test-retest stability, and accuracy. End-user testing with eight experts assessed automated segmentations in a simulated clinical setting.Findings We included 2208 patients imaged between 2001 and 2015, with 787 patients used for model discovery and 1421 for model validation, including 28 patients for end-user testing. Models showed an improvement over the interobserver benchmark (multi-delineation dataset; VD 0.91 [IQR 0.83-0.92], p=0.0062; SD 0.86 [0.71-0.91], p=0.0005), and were within the intraobserver benchmark. For primary validation, AI performance on internal Harvard-RT1 data (segmented by the same expert who segmented the discovery data) was VD 0.83 (IQR 0.76-0.88) and SD 0.79 (0.68-0.88), within the interobserver benchmark. Performance on internal Harvard-RT2 data segmented by other experts was VD 0.70 (0.56-0.80) and SD 0.50 (0.34-0.71). Performance on RTOG-0617 clinical trial data was VD 0.71 (0.60-0.81) and SD 0.47 (0.35-0.59), with similar results on diagnostic radiology datasets NSCLC-radiogenomics and Lung-PET-CT-Dx. Despite these geometric overlap results, models yielded target volumes with equivalent radiation dose coverage to those of experts. We also found non-significant differences between de novo expert and AI-assisted segmentations. AI assistance led to a 65% reduction in segmentation time (5.4 min; p&lt;0.0001) and a 32% reduction in interobserver variability (SD; p=0.013).Interpretation We present a clinical validation strategy for AI models. We found that in silico geometric segmentation metrics might not correlate with clinical utility of the models. Experts' segmentation style and preference might affect model performance. Copyright (C) 2022 The Author(s). Published by Elsevier Ltd.</t>
  </si>
  <si>
    <t>Hosny, Ahmed; Bitterman, Danielle S.; Guthier, Christian V.; Qian, Jack M.; Roberts, Hannah; Perni, Subha; Saraf, Anurag; Peng, Luke C.; Pashtan, Itai; Ye, Zezhong; Kann, Benjamin H.; Kozono, David E.; Christiani, David; Catalano, Paul J.; Aerts, Hugo J. W. L.; Mak, Raymond H.</t>
  </si>
  <si>
    <t>Mak, RH (corresponding author), Mass Gen Brigham, Artificial Intelligence Med Program, Boston, MA 02215 USA.</t>
  </si>
  <si>
    <t>rmak@partners.org</t>
  </si>
  <si>
    <t>US National Institutes of Health; EU European Research Council; National Cancer Institute [R35CA220523, U01CA209414] Funding Source: NIH RePORTER; National Institute of Dental and Craniofacial Research [K08DE030216] Funding Source: NIH RePORTER</t>
  </si>
  <si>
    <t>US National Institutes of Health (United States Department of Health &amp; Human Services, National Institutes of Health (NIH) - USA); EU European Research Council; National Cancer Institute (United States Department of Health &amp; Human Services, National Institutes of Health (NIH) - USA, NIH National Cancer Institute (NCI)); National Institute of Dental and Craniofacial Research (United States Department of Health &amp; Human Services, National Institutes of Health (NIH) - USA, NIH National Institute of Dental &amp; Craniofacial Research (NIDCR))</t>
  </si>
  <si>
    <t>US National Institutes of Health and EU European Research Council.</t>
  </si>
  <si>
    <t>[Hosny, Ahmed; Bitterman, Danielle S.; Ye, Zezhong; Kann, Benjamin H.; Aerts, Hugo J. W. L.; Mak, Raymond H.] Harvard Med Sch, Mass Gen Brigham, Artificial Intelligence Med Program, Boston, MA 02115 USA; [Hosny, Ahmed; Bitterman, Danielle S.; Guthier, Christian V.; Pashtan, Itai; Ye, Zezhong; Kann, Benjamin H.; Kozono, David E.; Aerts, Hugo J. W. L.; Mak, Raymond H.] Harvard Med Sch, Brigham &amp; Womens Hosp, Dept Radiat Oncol, Boston, MA 02115 USA; [Hosny, Ahmed; Bitterman, Danielle S.; Guthier, Christian V.; Pashtan, Itai; Ye, Zezhong; Kann, Benjamin H.; Kozono, David E.; Aerts, Hugo J. W. L.; Mak, Raymond H.] Harvard Med Sch, Dana Farber Canc Inst, Boston, MA 02115 USA; [Bitterman, Danielle S.] Boston Childrens Hosp, Computat Hlth Informat Program, Boston, MA USA; [Qian, Jack M.; Roberts, Hannah; Perni, Subha; Saraf, Anurag; Peng, Luke C.] Brigham &amp; Womens Hosp, Dana Farber Canc Inst, Harvard Radiat Oncol Program, Mass Gen Brigham, 75 Francis St, Boston, MA 02115 USA; [Christiani, David] Massachusetts Gen Hosp, Harvard TH Chan Sch Publ Hlth, Baltimore, MD USA; [Christiani, David] Harvard Med Sch, Baltimore, MD USA; [Catalano, Paul J.] Johns Hopkins Univ, Sch Med, Dept Radiat Oncol &amp; Mol Radiat Sci, Baltimore, MD USA; [Aerts, Hugo J. W. L.] Maastricht Univ, Radiol &amp; Nucl Med, CARIM &amp; GROW, Maastricht, Netherlands</t>
  </si>
  <si>
    <t>Harvard University; Mass General Brigham; Harvard Medical School; Harvard University; Harvard Medical School; Harvard University Medical Affiliates; Brigham &amp; Women's Hospital; Harvard University; Harvard Medical School; Harvard University Medical Affiliates; Dana-Farber Cancer Institute; Harvard University; Harvard University Medical Affiliates; Boston Children's Hospital; Harvard University; Mass General Brigham; Harvard Medical School; Harvard University Medical Affiliates; Brigham &amp; Women's Hospital; Dana-Farber Cancer Institute; Harvard University; Harvard T.H. Chan School of Public Health; Johns Hopkins University; Johns Hopkins Medicine; Maastricht University</t>
  </si>
  <si>
    <t>Clinical validation of deep learning algorithms for radiotherapy targeting of non-small-cell lung cancer: an observational study</t>
  </si>
  <si>
    <t>INTEROBSERVER VARIABILITY; SEGMENTATION; STATISTICS; ATLAS; TUMOR</t>
  </si>
  <si>
    <t>Pashtan, Itai/NNG-3155-2025; Aerts, Hugo/ABF-2821-2020; Kozono, David/AED-0045-2022; Ye, Zezhong/H-7904-2019</t>
  </si>
  <si>
    <t>Aerts, Hugo/0000-0002-2122-2003; Kozono, David/0000-0002-8916-396X; Kann, Benjamin/0000-0002-4313-2754; Roberts, Hannah/0000-0003-2110-9542</t>
  </si>
  <si>
    <t>E657</t>
  </si>
  <si>
    <t>E666</t>
  </si>
  <si>
    <t>10.1016/S2589-7500(22)00129-7</t>
  </si>
  <si>
    <t>http://dx.doi.org/10.1016/S2589-7500(22)00129-7</t>
  </si>
  <si>
    <t>6N2XS</t>
  </si>
  <si>
    <t>36028289</t>
  </si>
  <si>
    <t>WOS:000889422500007</t>
  </si>
  <si>
    <t>Li, X; Liang, L; Liu, ZH; Wang, C; Alburiahi, TAH; Yang, ZY; Xu, N; Yang, J</t>
  </si>
  <si>
    <t>PurposeHigh-risk stage II colorectal cancer (CRC) shows heterogeneous outcomes despite adjuvant chemotherapy. We developed and validated an interpretable multimodal deep learning model integrating clinical data, serum biomarkers, and venous-phase CT to predict 5-year CRC-specific mortality in high-risk stage II CRC.MethodsThis retrospective, multicenter cohort included 778 high-risk stage II CRC patients from three centers, all treated with adjuvant chemotherapy and with complete preoperative clinical, biomarker, and venous-phase CT data. Patients were split into a development cohort (Centers A + B, n = 720) and an external testing cohort (Center C, n = 58). A multimodal model combining numerical (clinical + biomarker) and imaging (CT) inputs was developed and internally validated using tenfold cross-validation in the development cohort and evaluated in the external cohort. Interpretability was assessed using SHAP and Grad-CAM.ResultsIn the development cohort, the multimodal model showed superior discrimination (AUC 0.89; 95% CI, 0.87-0.91) versus numerical-only (AUC 0.76) and imaging-only (AUC 0.69). In the external testing cohort (9/58 CRC-specific deaths), the multimodal model achieved an AUC of 0.88 (95% CI, 0.76-0.96). SHAP and Grad-CAM consistently highlighted age, CA125, and tumor regions on CT as key contributors.ConclusionThis interpretable multimodal approach, using routine clinical, biomarker, and CT data, improves 5-year mortality risk stratification in high-risk stage II CRC and may inform risk-adapted surveillance and clinical decision support; prospective validation is warranted before treatment modification.</t>
  </si>
  <si>
    <t>Li, Xin; Liang, Lei; Liu, Zhong-Hua; Wang, Chun; Alburiahi, Tawfik Ali Hamood; Yang, Zhen-Ya; Xu, Ning; Yang, Jun</t>
  </si>
  <si>
    <t>Xu, N; Yang, J (corresponding author), Kunming Med Univ, Affiliated Hosp 1, Dept Surg Oncol, Kunming, Peoples R China.; Xu, N (corresponding author), Kunming Med Univ, Affiliated Hosp 3, Yunnan Canc Hosp, Dept Colorectal Surg, Kunming, Peoples R China.</t>
  </si>
  <si>
    <t>yangjun6@kmmu.edu.cn; xuning@kmmu.edu.cn</t>
  </si>
  <si>
    <t>Education teaching research project of the First Affiliated Hospital of Kunming Medical University [No.2024-JY-19]; Science and Technology Projects of Yunnan Universities Serving Key Industries [No.FWCY-BSPY2025076]; National Natural Science Foundation of China [No.82560569]; The Yunnan Revitalization Talent Support Program [No. RLQB20200004 and RLMY20220013]</t>
  </si>
  <si>
    <t>Education teaching research project of the First Affiliated Hospital of Kunming Medical University; Science and Technology Projects of Yunnan Universities Serving Key Industries; National Natural Science Foundation of China (National Natural Science Foundation of China (NSFC)); The Yunnan Revitalization Talent Support Program</t>
  </si>
  <si>
    <t>This work was supported by the National Natural Science Foundation of China (No.82560569); The Yunnan Revitalization Talent Support Program (No. RLQB20200004 and RLMY20220013), and Education teaching research project of the First Affiliated Hospital of Kunming Medical University (No.2024-JY-19). Science and Technology Projects of Yunnan Universities Serving Key Industries (No.FWCY-BSPY2025076). The funders had no role in study design, data collection and analysis, decision to publish, or preparation of the manuscript.</t>
  </si>
  <si>
    <t>[Li, Xin; Liang, Lei; Alburiahi, Tawfik Ali Hamood; Yang, Zhen-Ya; Xu, Ning; Yang, Jun] Kunming Med Univ, Affiliated Hosp 1, Dept Surg Oncol, Kunming, Peoples R China; [Xu, Ning] Kunming Med Univ, Affiliated Hosp 3, Yunnan Canc Hosp, Dept Colorectal Surg, Kunming, Peoples R China; [Liu, Zhong-Hua] Third Peoples Hosp Honghe Prefecture, Dept Gen Surg, Gejiu, Peoples R China; [Wang, Chun] First Peoples Hosp Puer City, Dept Emergency Trauma Surg, Puer, Yunnan, Peoples R China; [Li, Xin; Liang, Lei; Wang, Chun; Alburiahi, Tawfik Ali Hamood; Yang, Zhen-Ya] Kunming Med Univ, Kunming, Peoples R China</t>
  </si>
  <si>
    <t>Kunming Medical University; Kunming Medical University; Kunming Medical University</t>
  </si>
  <si>
    <t>Development and external validation of an interpretable multimodal deep learning model for 5-year mortality in high-risk stage ii colorectal cancer</t>
  </si>
  <si>
    <t>INTERNATIONAL JOURNAL OF COLORECTAL DISEASE</t>
  </si>
  <si>
    <t>Colorectal cancer; High-risk stage II; CA125; Computed tomography; Deep learning; Prognostic prediction</t>
  </si>
  <si>
    <t>COLON-CANCER</t>
  </si>
  <si>
    <t>Ali Hamood Alburiahi, Tawfik/NKD-3466-2025; Xu, Ning/QQC-4125-2026</t>
  </si>
  <si>
    <t>Alburiahi, Tawfik A.H/0009-0002-2260-9549</t>
  </si>
  <si>
    <t>0179-1958</t>
  </si>
  <si>
    <t>1432-1262</t>
  </si>
  <si>
    <t>INT J COLORECTAL DIS</t>
  </si>
  <si>
    <t>Int. J. Colorectal Dis.</t>
  </si>
  <si>
    <t>MAY 2 2026</t>
  </si>
  <si>
    <t>10.1007/s00384-026-05132-8</t>
  </si>
  <si>
    <t>http://dx.doi.org/10.1007/s00384-026-05132-8</t>
  </si>
  <si>
    <t>JR7DK</t>
  </si>
  <si>
    <t>42069945</t>
  </si>
  <si>
    <t>WOS:001796377600001</t>
  </si>
  <si>
    <t>Alfieri, F; Ancona, A; Tripepi, G; Crosetto, D; Randazzo, V; Paviglianiti, A; Pasero, E; Vecchi, L; Cauda, V; Fagugli, RM</t>
  </si>
  <si>
    <t>Objectives The purpose of this study was to externally validate algorithms (previously developed and trained in two United States populations) aimed at early detection of severe oliguric AKI (stage 2/3 KDIGO) in intensive care units patients.Methods The independent cohort was composed of 10'596 patients from the university hospital ICU of Amsterdam (the "AmsterdamUMC database") admitted to their intensive care units. In this cohort, we analysed the accuracy of algorithms based on logistic regression and deep learning methods. The accuracy of investigated algorithms had previously been tested with electronic intensive care unit (eICU) and MIMIC-III patients.Results The deep learning model had an area under the ROC curve (AUC) of 0,907 (+/- 0,007SE) with a sensitivity and specificity of 80% and 89%, respectively, for identifying oliguric AKI episodes. Logistic regression models had an AUC of 0,877 (+/- 0,005SE) with a sensitivity and specificity of 80% and 81%, respectively. These results were comparable to those obtained in the two US populations upon which the algorithms were previously developed and trained.Conclusion External validation on the European sample confirmed the accuracy of the algorithms, previously investigated in the US population. The models show high accuracy in both the European and the American databases even though the two cohorts differ in a range of demographic and clinical characteristics, further underlining the validity and the generalizability of the two analytical approaches.[GRAPHICS].</t>
  </si>
  <si>
    <t>Alfieri, Francesca; Ancona, Andrea; Tripepi, Giovanni; Crosetto, Dario; Randazzo, Vincenzo; Paviglianiti, Annunziata; Pasero, Eros; Vecchi, Luigi; Cauda, Valentina; Fagugli, Riccardo Maria</t>
  </si>
  <si>
    <t>Cauda, V (corresponding author), Politecn Torino, Dept Appl Sci &amp; Technol, Cso Duca Abruzzi 24, I-10129 Turin, Italy.; Fagugli, RM (corresponding author), Azienda Osped Terni, SC Nefrol &amp; Dialisi, Viale Tristano Joannuccio, I-05100 Terni, Italy.</t>
  </si>
  <si>
    <t>riccardomaria@fagugli.eu; valentina.cauda@polito.it</t>
  </si>
  <si>
    <t>[Alfieri, Francesca; Ancona, Andrea; Cauda, Valentina] Politecn Torino, Dept Appl Sci &amp; Technol, Cso Duca Abruzzi 24, I-10129 Turin, Italy; [Crosetto, Dario; Randazzo, Vincenzo; Paviglianiti, Annunziata] Politecn Torino, Dept Elect &amp; Telecomunicat, Cso Duca Abruzzi 24, I-10129 Turin, Italy; [Tripepi, Giovanni; Vecchi, Luigi] Nefrol Osped Riuniti, Clin Epidemiol &amp; Pathophysiol Renal Dis &amp; Hyperte, CNR IFC, I-89100 Reggio Di Calabria, Italy; [Pasero, Eros; Fagugli, Riccardo Maria] Azienda Osped Terni, SC Nefrol &amp; Dialisi, Viale Tristano Joannuccio, I-05100 Terni, Italy</t>
  </si>
  <si>
    <t>Polytechnic University of Turin; Polytechnic University of Turin; Consiglio Nazionale delle Ricerche (CNR); Istituto di Fisiologia Clinica (IFC-CNR)</t>
  </si>
  <si>
    <t>External validation of a deep-learning model to predict severe acute kidney injury based on urine output changes in critically ill patients</t>
  </si>
  <si>
    <t>JOURNAL OF NEPHROLOGY</t>
  </si>
  <si>
    <t>Acute kidney injury; Artificial intelligence; eAlert; KDIGO</t>
  </si>
  <si>
    <t>OLIGURIA; VOLUME</t>
  </si>
  <si>
    <t>Randazzo, Vincenzo/ABE-6091-2020; Cauda, Valentina/W-6630-2019; Tripepi, Giovanni/AEM-4783-2022</t>
  </si>
  <si>
    <t>Pasero, Eros/0000-0002-2403-1683; Randazzo, Vincenzo/0000-0003-3640-8561</t>
  </si>
  <si>
    <t>1121-8428</t>
  </si>
  <si>
    <t>1724-6059</t>
  </si>
  <si>
    <t>J NEPHROL</t>
  </si>
  <si>
    <t>J. Nephrol.</t>
  </si>
  <si>
    <t>2047</t>
  </si>
  <si>
    <t>2056</t>
  </si>
  <si>
    <t>10.1007/s40620-022-01335-8</t>
  </si>
  <si>
    <t>http://dx.doi.org/10.1007/s40620-022-01335-8</t>
  </si>
  <si>
    <t>5L9UH</t>
  </si>
  <si>
    <t>35554875</t>
  </si>
  <si>
    <t>WOS:000794115000001</t>
  </si>
  <si>
    <t>Zhang, GY; Fu, DJ; Liefers, B; Faes, L; Glinton, S; Wagner, S; Struyven, R; Pontikos, N; Keane, PA; Balaskas, K</t>
  </si>
  <si>
    <t>Background Geographic atrophy is a major vision-threatening manifestation of age-related macular degeneration, one of the leading causes of blindness globally. Geographic atrophy has no proven treatment or method for easy detection. Rapid, reliable, and objective detection and quantification of geographic atrophy from optical coherence tomography (OCT) retinal scans is necessary for disease monitoring, prognostic research, and to serve as clinical endpoints for therapy development. To this end, we aimed to develop and validate a fully automated method to detect and quantify geographic atrophy from OCT. Methods We did a deep-learning model development and external validation study on OCT retinal scans at Moorfields Eye Hospital Reading Centre and Clinical AI Hub (London, UK). A modified U-Net architecture was used to develop four distinct deep-learning models for segmentation of geographic atrophy and its constituent retinal features from OCT scans acquired with Heidelberg Spectralis. A manually segmented clinical dataset for model development comprised 5049 B-scans from 984 OCT volumes selected randomly from 399 eyes of 200 patients with geographic atrophy secondary to age-related macular degeneration, enrolled in a prospective, multicentre, phase 2 clinical trial for the treatment of geographic atrophy (FILLY study). Performance was externally validated on an independently recruited dataset from patients receiving routine care at Moorfields Eye Hospital (London, UK). The primary outcome was segmentation and classification agreement between deep-learning model geographic atrophy prediction and consensus of two independent expert graders on the external validation dataset. Findings The external validation cohort included 884 B-scans from 192 OCT volumes taken from 192 eyes of 110 patients as part of real-life clinical care at Moorfields Eye Hospital between Jan 1, 2016, and Dec, 31, 2019 (mean age 78middot3 years [SD 11middot1], 58 [53%] women). The resultant geographic atrophy deep-learning model produced predictions similar to consensus human specialist grading on the external validation dataset (median Dice similarity coefficient [DSC] 0middot96 [IQR 0middot10]; intraclass correlation coefficient [ICC] 0middot93) and outperformed agreement between human graders (DSC 0middot80 [0middot28]; ICC 0middot79). Similarly, the three independent feature-specific deep-learning models could accurately segment each of the three constituent features of geographic atrophy: retinal pigment epithelium loss (median DSC 0middot95 [IQR 0middot15]), overlying photoreceptor degeneration (0middot96 [0middot12]), and hypertransmission (0middot97 [0middot07]) in the external validation dataset versus consensus grading. Interpretation We present a fully developed and validated deep-learning composite model for segmentation of geographic atrophy and its subtypes that achieves performance at a similar level to manual specialist assessment. Fully automated analysis of retinal OCT from routine clinical practice could provide a promising horizon for diagnosis and prognosis in both research and real-life patient care, following further clinical validation Funding Apellis Pharmaceuticals. Copyright (c) 2021 The Author(s). Published by Elsevier Ltd. This is an Open Access article under the CC BY-NC-ND 4.0 license.</t>
  </si>
  <si>
    <t>Zhang, Gongyu; Fu, Dun Jack; Liefers, Bart; Faes, Livia; Glinton, Sophie; Wagner, Siegfried; Struyven, Robbert; Pontikos, Nikolas; Keane, Pearse A.; Balaskas, Konstantinos</t>
  </si>
  <si>
    <t>Balaskas, K (corresponding author), Moorfields Eye Hosp NHS Fdn Trust, NIHR Biomed Res Ctr, UCL Inst Ophthalmol, London EC1V 2PD, England.</t>
  </si>
  <si>
    <t>k.balaskas@nhs.net</t>
  </si>
  <si>
    <t>Apellis Pharmaceuticals; FLF [MR/T019050/1] Funding Source: UKRI; MRC [MR/T000953/1] Funding Source: UKRI; National Institute for Health Research [CS-2014-14-023] Funding Source: researchfish</t>
  </si>
  <si>
    <t>Apellis Pharmaceuticals; FLF (UK Research &amp; Innovation (UKRI)); MRC (UK Research &amp; Innovation (UKRI), Medical Research Council UK (MRC)); National Institute for Health Research (National Institutes of Health Research (NIHR))</t>
  </si>
  <si>
    <t>Apellis Pharmaceuticals.</t>
  </si>
  <si>
    <t>[Zhang, Gongyu; Fu, Dun Jack; Liefers, Bart; Faes, Livia; Glinton, Sophie; Wagner, Siegfried; Struyven, Robbert; Pontikos, Nikolas; Keane, Pearse A.; Balaskas, Konstantinos] Moorfields Eye Hosp NHS Fdn Trust, NIHR Biomed Res Ctr, UCL Inst Ophthalmol, London EC1V 2PD, England; [Liefers, Bart] Erasmus Univ, Med Ctr, Dept Ophthalmol, Rotterdam, Netherlands; [Faes, Livia] Cantonal Hosp Lucerne, Eye Clin, Luzern, Switzerland</t>
  </si>
  <si>
    <t>University of London; University College London; Moorfields Eye Hospital NHS Foundation Trust; Erasmus University Rotterdam; Erasmus University Rotterdam - Excl Erasmus MC; Erasmus MC; Lucerne Cantonal Hospital</t>
  </si>
  <si>
    <t>Clinically relevant deep learning for detection and quantification of geographic atrophy from optical coherence tomography: a model development and external validation study</t>
  </si>
  <si>
    <t>MACULAR DEGENERATION; SEGMENTATION; OCT; DRUSEN</t>
  </si>
  <si>
    <t>Wagner, Siegfried/HNR-9338-2023; Pontikos, Nikolas/U-3642-2018; Balaskas, Konstantinos/ABD-5979-2020; Struyven, Robbert/ODK-4220-2025; Keane, Pearse/AAE-5709-2019</t>
  </si>
  <si>
    <t>Keane, Pearse/0000-0002-9239-745X; Zhang, Gongyu/0000-0003-4760-359X</t>
  </si>
  <si>
    <t>E665</t>
  </si>
  <si>
    <t>E675</t>
  </si>
  <si>
    <t>10.1016/S2589-7500(21)00134-5</t>
  </si>
  <si>
    <t>http://dx.doi.org/10.1016/S2589-7500(21)00134-5</t>
  </si>
  <si>
    <t>WC6VW</t>
  </si>
  <si>
    <t>34509423</t>
  </si>
  <si>
    <t>WOS:000704394700011</t>
  </si>
  <si>
    <t>[Anonymous]</t>
  </si>
  <si>
    <t>Current methods for radiological classification in traumatic brain injury (TBI), such as the Marshall and Rotterdam score, provide an incomplete description of intracranial lesion burden, rely on time-consuming manual assessments by experts, and are prone to intra- and interrater disagreement. To circumvent these limitations, we previously proposed the Brain Lesion Analysis and Segmentation Tool for Computed Tomography (BLAST-CT), a deep learning-based method using convolutional neural networks (CNNs) to perform multiclass, voxel-wise segmentation and quantification of TBI lesions on CT in an automated fashion. In this study, we expand on our previous work by (1) optimizing the performance of our model using additional training data from CENTER-TBI, (2) externally validating the findings reported in our internal development study by applying our algorithm to an independent imaging dataset from the Prophylaxis for Venous Thromboembolism in Severe Traumatic Brain Injury (PROTEST) multicenter randomized controlled trial. A total of 680 scans from CENTER-TBI were annotated by neuroradiological experts and used to retrain the CNN, creating BLAST version 2.0. Traumatic lesions were subdivided into four distinct classes: intraparenchymal hemorrhage (IPH), extraaxial hemorrhage (EAH), intraventricular hemorrhage (IVH), and perilesional edema. Fifty-one scans from PROTEST were manually annotated to obtain ground-truth lesion labels on an independent imaging dataset. The same PROTEST scans were then contemporaneously run through versions 1.0 and 2.0 of BLAST-CT to evaluate the performance change resulting from the optimization training procedure while calculating segmentation accuracy metrics on an external validation dataset. The additional training phase implemented for version 2.0 yielded an overall mean Dice similarity coefficient (DSC) improvement of 4% when looking at lesions of any size and class (range 0-13% for individual lesion classes). Mean absolute volume errors between automated and ground-truth segmentations also improved for most lesion types (2.94 vs. 1.55 mL for IPH, 18.44 vs. 16.33 mL for EAH, 0.74 vs. 0.80 for IVH, and 1.56 vs. 0.27 for perilesional edema using version 1.0 vs. 2.0, respectively). Overall, the performance of BLAST-CT on the PROTEST external validation dataset was comparable or better to the results obtained on our internal development sample (median DSC for all lesion classes was 0.60 [IQR 0.0-0.94] on the PROTEST images vs. 0.36 [IQR 0.0-0.63] on the CENTER-TBI development dataset). Mean volume differences between the ground-truth and predicted lesion maps were also comparable to the internal sample for most lesion subtypes, with the exception of EAH. We propose one of the first models capable of automated multiclass volumetric lesion segmentation in TBI to be trained and externally validated in a multicenter fashion. After optimizing our model using a large additional training sample from CENTER-TBI, we were able to achieve a level of performance comparable to other state-of-the-art methods. We also make this optimized model (BLAST-CT 2.0) publicly available to provide a robust and generalizable platform for application to large prospective TBI datasets and clinical trials.</t>
  </si>
  <si>
    <t>Optimization and External Validation of a Deep Learning Model for Segmentation and Quantification of Traumatic Brain Injury Lesions on Head Computed Tomography</t>
  </si>
  <si>
    <t>JOURNAL OF NEUROTRAUMA</t>
  </si>
  <si>
    <t>computer vision; external validation; machine learning; neuroimaging; traumatic brain injury</t>
  </si>
  <si>
    <t>Newcombe, Virginia/HRB-1532-2023; Glocker, Ben/MNO-6603-2025; Menon, David/AEX-7615-2022</t>
  </si>
  <si>
    <t>0897-7151</t>
  </si>
  <si>
    <t>1557-9042</t>
  </si>
  <si>
    <t>J NEUROTRAUM</t>
  </si>
  <si>
    <t>J. Neurotrauma</t>
  </si>
  <si>
    <t>15-16</t>
  </si>
  <si>
    <t>1249</t>
  </si>
  <si>
    <t>10.1177/08977151251408798</t>
  </si>
  <si>
    <t>http://dx.doi.org/10.1177/08977151251408798</t>
  </si>
  <si>
    <t>Critical Care Medicine; Clinical Neurology; Neurosciences</t>
  </si>
  <si>
    <t>General &amp; Internal Medicine; Neurosciences &amp; Neurology</t>
  </si>
  <si>
    <t>LA7ZO</t>
  </si>
  <si>
    <t>41705651</t>
  </si>
  <si>
    <t>WOS:001693342300001</t>
  </si>
  <si>
    <t>Schiller, F; Brumberg, J; Frings, L; Deschamps, J; Schmied, C; Jug, F; Mix, M; Meyer, PT</t>
  </si>
  <si>
    <t>Deep learning (DL) represents a promising technique for image restoration. We explored its ability to restore ultra-low-count [18F]FDG PET studies of the brain in subjects with dementia and in healthy subjects to allow for reduced scan durations or administered activities without compromising diagnostic performance. Methods: Various DL models using the content aware image restoration approach of CSBDeep toolbox (3D U-nets) were trained with subvolumes of 1,000 random subjects. On the basis of 10-min list-mode PET data after injection of 208 +/- 10 MBq of [18F]FDG, we reconstructed reduced scan durations of 2 min, 1 min, 30 s, 20 s, and 10 s. The resulting models were applied to [18F]FDG PET scans of subjects with Alzheimer disease (n = 15), frontotemporal dementia (n = 14), and healthy controls (n = 13). We explored the effect of reduced scan times on individual regional measures in diagnostically relevant regions and on voxelbased group contrasts. Three independent readers rated all datasets with regard to assessability, diagnosis, and diagnostic confidence. Results: Individual mean regional [18F]FDG uptake remained largely unchanged. The SD strongly increased with shorter scan duration without application of DL (mean increase &lt;= 48%), whereas it slightly decreased with DL (&gt;=-7%). In group contrasts, the number of significant voxels strongly decreased with shorter scan time without DL (&gt;=-41%), which was partially offset by DL (&gt;=-27%). On visual reads, the fraction of assessable images steeply fell to only 4% (10-s scan) for scan durations below 2 min without DL, whereas every single image restored with DL was assessable. The diagnostic confidence continuously declined with shorter scan durations without DL, whereas diagnostic confidence only negligibly changed with DL (intermediate-to-high confidence ratings: 0%-54% vs. 80%-84%; 83% for the 10-min scan). The diagnostic accuracy of PET reads dropped from 90% to 4% without and remained high with DL (90%-93%; 90% for the 10-min scan). Conclusion: Our study demonstrates the compelling performance of DL to restore cerebral [18F]FDG PET datasets with ultra-low-count statistics for quantitative regional, voxel-based group, and clinical visual analyses. Consequently, DL enables a dramatic reduction of scan durations or administered activities (e.g., 10-min scan with 3.5 MBq, equivalent to X60 mSv) for [18F]FDG PET in patients with dementia and possibly other indications.</t>
  </si>
  <si>
    <t>Schiller, Florian; Brumberg, Joachim; Frings, Lars; Deschamps, Joran; Schmied, Christopher; Jug, Florian; Mix, Michael; Meyer, Philipp T.</t>
  </si>
  <si>
    <t>Schiller, F (corresponding author), Univ Freiburg, Fac Med, Med Ctr, Dept Nucl Med, Freiburg, Germany.</t>
  </si>
  <si>
    <t>florian.schiller@uniklinik-freiburg.de</t>
  </si>
  <si>
    <t>[Schiller, Florian; Brumberg, Joachim; Frings, Lars; Mix, Michael; Meyer, Philipp T.] Univ Freiburg, Fac Med, Med Ctr, Dept Nucl Med, Freiburg, Germany; [Deschamps, Joran; Schmied, Christopher; Jug, Florian] Fdn Human Technopole, Image Anal Facil, Milan, Italy</t>
  </si>
  <si>
    <t>University of Freiburg</t>
  </si>
  <si>
    <t>Clinical Validation of Deep Learning for Image Restoration of Ultra-Low-Count [18F]FDG PET for Dementia Diagnostics</t>
  </si>
  <si>
    <t>deep learning; [18F]FDG PET; dementia; scan duration; radiation dose</t>
  </si>
  <si>
    <t>Brumberg, Joachim/PTF-9011-2026</t>
  </si>
  <si>
    <t>SEP 1 2025</t>
  </si>
  <si>
    <t>1425</t>
  </si>
  <si>
    <t>1433</t>
  </si>
  <si>
    <t>10.2967/jnumed.124.269234</t>
  </si>
  <si>
    <t>http://dx.doi.org/10.2967/jnumed.124.269234</t>
  </si>
  <si>
    <t>7CK4Z</t>
  </si>
  <si>
    <t>40813236</t>
  </si>
  <si>
    <t>WOS:001567701600017</t>
  </si>
  <si>
    <t>Yilmaz, EC; Harmon, SA; Law, YM; Huang, EP; Belue, MJ; Lin, Y; Gelikman, DG; Ozyoruk, KB; Yang, D; Xu, ZY; Tetreault, J; Xu, DG; Hazen, LA; Garcia, C; Lay, NS; Eclarinal, P; Toubaji, A; Merino, MJ; Wood, BJ; Gurram, S; Choyke, PL; Pinto, PA; Turkbey, B</t>
  </si>
  <si>
    <t>Purpose: To evaluate the performance of an artificial intelligence (AI) model in detecting overall and clinically significant prostate cancer (csPCa)-positive lesions on paired external and in-house biparametric MRI (bpMRI) scans and assess performance differences between each dataset.&lt;br /&gt; Materials and Methods: This single-center retrospective study included patients who underwent prostate MRI at an external institution and were rescanned at the authors' institution between May 2015 and May 2022. A genitourinary radiologist performed prospective readouts on in-house MRI scans following the Prostate Imaging Reporting and Data System (PI-RADS) version 2.0 or 2.1 and retrospective image quality assessments for all scans. A subgroup of patients underwent an MRI/US fusion-guided biopsy. A bpMRI-based lesion detection AI model previously developed using a completely separate dataset was tested on both MRI datasets. Detection rates were compared between external and in-house datasets with use of the paired comparison permutation tests. Factors associated with AI detection performance were assessed using multivariable generalized mixed-effects models, incorporating features selected through forward stepwise regression based on the Akaike information criterion. Results: The study included 201 male patients (median age, 66 years [IQR, 62-70 years]; prostate-specific antigen density, 0.14 ng/mL2 [IQR, 0.10-0.22 ng/mL2]) with a median interval between external and in-house MRI scans of 182 days (IQR, 97-383 days). For intraprostatic lesions, AI detected 39.7% (149 of 375) on external and 56.0% (210 of 375) on in-house MRI scans (P &lt; .001). For csPCa-positive lesions, AI detected 61% (54 of 89) on external and 79% (70 of 89) on in-house MRI scans (P &lt; .001). On external MRI scans, better overall lesion detection was associated with a higher PI-RADS score (odds ratio [OR] = 1.57; P = .005), larger lesion diameter (OR = 3.96; P &lt; .001), better diffusion-weighted MRI quality (OR = 1.53; P = .02), and fewer lesions at MRI (OR = 0.78; P = .045). Better csPCa detection was associated with a shorter MRI interval between external and in-house scans (OR = 0.58; P = .03) and larger lesion size (OR = 10.19; P &lt; .001). Conclusion: The AI model exhibited modest performance in identifying both overall and csPCa-positive lesions on external bpMRI scans.</t>
  </si>
  <si>
    <t>Yilmaz, Enis C.; Harmon, Stephanie A.; Law, Yan Mee; Huang, Erich P.; Belue, Mason J.; Lin, Yue; Gelikman, David G.; Ozyoruk, Kutsev B.; Yang, Dong; Xu, Ziyue; Tetreault, Jesse; Xu, Daguang; Hazen, Lindsey A.; Garcia, Charisse; Lay, Nathan S.; Eclarinal, Philip; Toubaji, Antoun; Merino, Maria J.; Wood, Bradford J.; Gurram, Sandeep; Choyke, Peter L.; Pinto, Peter A.; Turkbey, Baris</t>
  </si>
  <si>
    <t>Turkbey, B (corresponding author), NCI, Mol Imaging Branch, NIH, 10 Ctr Dr,MSC 1182,Bldg 10,Rm B3B85, Bethesda, MD 20892 USA.</t>
  </si>
  <si>
    <t>turkbeyi@mail.nih.gov</t>
  </si>
  <si>
    <t>National Cancer Institute, National Institutes of Health [NCT00102544, NCT02594202, NCT03354416]</t>
  </si>
  <si>
    <t>National Cancer Institute, National Institutes of Health (United States Department of Health &amp; Human Services, National Institutes of Health (NIH) - USA, NIH National Cancer Institute (NCI))</t>
  </si>
  <si>
    <t>This project was funded in whole or in part with federal funds from the National Cancer Institute, National Institutes of Health (NCT00102544, NCT02594202, NCT03354416). The content of this publication does not necessarily reflect the views or policies of the U.S. Department of Health and Human Services, nor does mention of trade names, commercial products, or organizations imply endorsement by the U.S. government.</t>
  </si>
  <si>
    <t>[Yilmaz, Enis C.; Harmon, Stephanie A.; Belue, Mason J.; Lin, Yue; Gelikman, David G.; Ozyoruk, Kutsev B.; Lay, Nathan S.; Eclarinal, Philip; Choyke, Peter L.; Turkbey, Baris] NCI, Mol Imaging Branch, NIH, 10 Ctr Dr,MSC 1182,Bldg 10,Rm B3B85, Bethesda, MD 20892 USA; [Huang, Erich P.] NCI, Biometr Res Program, Div Canc Treatment &amp; Diag, NIH, 10 Ctr Dr,MSC 1182,Bldg 10,Rm B3B85, Bethesda, MD 20892 USA; [Hazen, Lindsey A.; Garcia, Charisse; Wood, Bradford J.] NCI, Ctr Intervent Oncol, NIH, 10 Ctr Dr,MSC 1182,Bldg 10,Rm B3B85, Bethesda, MD 20892 USA; [Hazen, Lindsey A.; Garcia, Charisse; Wood, Bradford J.] NCI, Dept Radiol, Clin Ctr, NIH, 10 Ctr Dr,MSC 1182,Bldg 10,Rm B3B85, Bethesda, MD 20892 USA; [Toubaji, Antoun; Merino, Maria J.] NCI, Lab Pathol, NIH, 10 Ctr Dr,MSC 1182,Bldg 10,Rm B3B85, Bethesda, MD 20892 USA; [Gurram, Sandeep; Pinto, Peter A.] NCI, Urol Oncol Branch, NIH, 10 Ctr Dr,MSC 1182,Bldg 10,Rm B3B85, Bethesda, MD 20892 USA; [Law, Yan Mee] Singapore Gen Hosp, Dept Radiol, Singapore, Singapore; [Yang, Dong; Xu, Ziyue; Tetreault, Jesse; Xu, Daguang] NVIDIA Corp, Santa Clara, CA USA</t>
  </si>
  <si>
    <t>National Institutes of Health (NIH) - USA; NIH National Cancer Institute (NCI); National Institutes of Health (NIH) - USA; NIH National Cancer Institute (NCI); NIH Division of Cancer Treatment &amp; Diagnosis; National Institutes of Health (NIH) - USA; NIH National Cancer Institute (NCI); National Institutes of Health (NIH) - USA; NIH Clinical Center (CC); NIH National Cancer Institute (NCI); National Institutes of Health (NIH) - USA; NIH National Cancer Institute (NCI); National Institutes of Health (NIH) - USA; NIH National Cancer Institute (NCI); Singapore General Hospital; Nvidia Corporation</t>
  </si>
  <si>
    <t>External Validation of a Previously Developed Deep Learning- based Prostate Lesion Detection Algorithm on Paired External and In-House Biparametric MRI Scans</t>
  </si>
  <si>
    <t>RADIOLOGY-IMAGING CANCER</t>
  </si>
  <si>
    <t>PI-RADS; CANCER; SYSTEM</t>
  </si>
  <si>
    <t>Choyke, Peter/C-8809-2011; Ozyoruk, Kutsev Bengisu/HRA-3061-2023; Wood, Bradford/M-7995-2017; Gelikman, David/PLS-5905-2026; Marino, Mirella/A-7548-2018; Xu, Ziyue/K-9438-2014; Yilmaz, Enis Cagatay/KIE-5738-2024; Law, Yan Mee/ABC-1380-2021</t>
  </si>
  <si>
    <t>Lin, Yue/0000-0003-4143-174X; Xu, Ziyue/0000-0002-5728-6869; Tetreault, Jesse/0009-0001-3057-8626; Yilmaz, Enis Cagatay/0000-0001-5301-3137; Belue, Mason/0000-0002-1298-9958; Law, Yan Mee/0000-0002-6499-4281</t>
  </si>
  <si>
    <t>2638-616X</t>
  </si>
  <si>
    <t>RADIOL-IMAG CANCER</t>
  </si>
  <si>
    <t>Radiology-Imaging Cancer</t>
  </si>
  <si>
    <t>e240050</t>
  </si>
  <si>
    <t>10.1148/rycan.240050</t>
  </si>
  <si>
    <t>http://dx.doi.org/10.1148/rycan.240050</t>
  </si>
  <si>
    <t>U5I5D</t>
  </si>
  <si>
    <t>39400232</t>
  </si>
  <si>
    <t>WOS:001412129200013</t>
  </si>
  <si>
    <t>Avila-Camacho, FJ; Moreno-Villalba, LM; Cortes-Altamirano, JL; Alfaro-Rodríguez, A; Lara-Figueroa, HN; Herrera-López, ME; Romero-Morelos, P</t>
  </si>
  <si>
    <t>Arthritis and arthrosis are prevalent joint diseases that cause pain and disability, and their early diagnosis is crucial for preventing irreversible damage. Conventional diagnostic methods such as X-ray, ultrasound, and MRI have limitations in early detection, prompting interest in alternative techniques. This work presents the design and clinical evaluation of a prototype device for non-invasive early diagnosis of arthritis (inflammatory joint disease) and arthrosis (osteoarthritis) using infrared thermography and deep neural networks. The portable prototype integrates a Raspberry Pi 4 microcomputer, an infrared thermal camera, and a touchscreen interface, all housed in a 3D-printed PLA enclosure. A custom Flask-based application enables two operational modes: (1) thermal image acquisition for training data collection, and (2) automated diagnosis using a pre-trained ResNet50 deep learning model. A clinical study was conducted at a university clinic in a temperature-controlled environment with 100 subjects (70% with arthritic conditions and 30% healthy). Thermal images of both hands (four images per hand) were captured for each participant, and all patients provided informed consent. The ResNet50 model was trained to classify three classes (healthy, arthritis, and arthrosis) from these images. Results show that the system can effectively distinguish healthy individuals from those with joint pathologies, achieving an overall test accuracy of approximately 64%. The model identified healthy hands with high confidence (100% sensitivity for the healthy class), but it struggled to differentiate between arthritis and arthrosis, often misclassifying one as the other. The prototype's multiclass ROC (Receiver Operating Characteristic) analysis further showed excellent discrimination between healthy vs. diseased groups (AUC, Area Under the Curve similar to 1.00), but lower performance between arthrosis and arthritis classes (AUC similar to 0.60-0.68). Despite these challenges, the device demonstrates the feasibility of AI-assisted thermographic screening: it is completely non-invasive, radiation-free, and low-cost, providing results in real-time. In the discussion, we compare this thermography-based approach with conventional diagnostic modalities and highlight its advantages, such as early detection of physiological changes, portability, and patient comfort. While not intended to replace established methods, this technology can serve as an early warning and triage tool in clinical settings. In conclusion, the proposed prototype represents an innovative application of infrared thermography and deep learning for joint disease screening. With further improvements in classification accuracy and broader validation, such systems could significantly augment current clinical practice by enabling rapid and non-invasive early diagnosis of arthritis and arthrosis.</t>
  </si>
  <si>
    <t>Avila-Camacho, Francisco-Jacob; Moreno-Villalba, Leonardo-Miguel; Cortes-Altamirano, Jose-Luis; Alfaro-Rodriguez, Alfonso; Lara-Figueroa, Hugo-Nathanael; Herrera-Lopez, Maria-Elizabeth; Romero-Morelos, Pablo</t>
  </si>
  <si>
    <t>Avila-Camacho, FJ (corresponding author), TecNM Tecnol Estudios Super Ecatepec, Div Ingn Sistemas Computac, Ecatepec De Morelos 55210, Estado De Mexic, Mexico.</t>
  </si>
  <si>
    <t>pablo.r.morelos@gmail.com; fjacobavila@tese.edu.mx; alfa1360@yahoo.com.mx; hugolara@tese.edu.mx; drjlcortesaltamirano@gmail.com; eliza_herrera83@yahoo.com.mx; lmoreno@tese.edu.mx</t>
  </si>
  <si>
    <t>National Institute of Technology of Mexico (TecNM) [M00.2.2/2516/2025]</t>
  </si>
  <si>
    <t>National Institute of Technology of Mexico (TecNM)</t>
  </si>
  <si>
    <t>This research was funded by the National Institute of Technology of Mexico (TecNM) through the 2025 call for Research and Technological Development Projects, approved with official letter no. M00.2.2/2516/2025.</t>
  </si>
  <si>
    <t>[Avila-Camacho, Francisco-Jacob] TecNM Tecnol Estudios Super Ecatepec, Div Ingn Sistemas Computac, Ecatepec De Morelos 55210, Estado De Mexic, Mexico; [Moreno-Villalba, Leonardo-Miguel] TecNM Tecnol Estudios Super Ecatepec, Div Ingn Informat, Ecatepec De Morelos 55210, Estado De Mexic, Mexico; [Cortes-Altamirano, Jose-Luis; Alfaro-Rodriguez, Alfonso] Inst Nacl RehabilLuis Guillermo Ibarra, Ciudad De Mexico 14389, Mexico; [Cortes-Altamirano, Jose-Luis; Herrera-Lopez, Maria-Elizabeth; Romero-Morelos, Pablo] Univ Estatal Valle Ecatepec, Licenciatura Quiropract, Ecatepec De Morelos 55210, Estado De Mexic, Mexico; [Lara-Figueroa, Hugo-Nathanael] TecNM Tecnol Estudios Super Ecatepec, Div Ingn Gest Empresarial, Ecatepec De Morelos 55210, Estado De Mexic, Mexico</t>
  </si>
  <si>
    <t>Infrared Thermography and Deep Learning Prototype for Early Arthritis and Arthrosis Diagnosis: Design, Clinical Validation, and Comparative Analysis</t>
  </si>
  <si>
    <t>TECHNOLOGIES</t>
  </si>
  <si>
    <t>infrared thermography; arthritis diagnosis; deep learning</t>
  </si>
  <si>
    <t>RHEUMATOID-ARTHRITIS</t>
  </si>
  <si>
    <t>Romero-Morelos, Pablo/ABB-8542-2021; Alfaro-Rodriguez, Alfonso/A-4996-2009; Cortes-Altamirano, José Luis/GPF-5955-2022; Avila Camacho, Francisco Jacob/O-1001-2019</t>
  </si>
  <si>
    <t>Romero-Morelos, Pablo/0000-0002-0722-1231; Alfaro-Rodriguez, Alfonso/0000-0002-4599-1253; Cortes-Altamirano, José Luis/0000-0002-9410-8535; Moreno Villalba, Leonardo Miguel/0000-0003-0937-3586; Lara Figueroa, Hugo Nathanael/0000-0003-1141-0147; Avila Camacho, Francisco Jacob/0000-0002-0086-5827</t>
  </si>
  <si>
    <t>2227-7080</t>
  </si>
  <si>
    <t>Technologies</t>
  </si>
  <si>
    <t>447</t>
  </si>
  <si>
    <t>10.3390/technologies13100447</t>
  </si>
  <si>
    <t>http://dx.doi.org/10.3390/technologies13100447</t>
  </si>
  <si>
    <t>9EO3X</t>
  </si>
  <si>
    <t>WOS:001604478800001</t>
  </si>
  <si>
    <t>Yoon, AP; Chung, WT; Wang, CW; Kuo, CF; Lin, CH; Chung, KC</t>
  </si>
  <si>
    <t>BackgroundOccult scaphoid fractures on initial radiographs of an injury are a diagnostic challenge to physicians. Although artificial intelligence models based on the principles of deep convolutional neural networks (CNN) offer a potential method of detection, it is unknown how such models perform in the clinical setting.Questions/purposes(1) Does CNN-assisted image interpretation improve interobserver agreement for scaphoid fractures? (2) What is the sensitivity and specificity of image interpretation performed with and without CNN assistance (as stratified by type: normal scaphoid, occult fracture, and apparent fracture)? (3) Does CNN assistance improve time to diagnosis and physician confidence level?MethodsThis survey-based experiment presented 15 scaphoid radiographs (five normal, five apparent fractures, and five occult fractures) with and without CNN assistance to physicians in a variety of practice settings across the United States and Taiwan. Occult fractures were identified by follow-up CT scans or MRI. Participants met the following criteria: Postgraduate Year 3 or above resident physician in plastic surgery, orthopaedic surgery, or emergency medicine; hand fellows; and attending physicians. Among the 176 invited participants, 120 completed the survey and met the inclusion criteria. Of the participants, 31% (37 of 120) were fellowship-trained hand surgeons, 43% (52 of 120) were plastic surgeons, and 69% (83 of 120) were attending physicians. Most participants (73% [88 of 120]) worked in academic centers, whereas the remainder worked in large, urban private practice hospitals. Recruitment occurred between February 2022 and March 2022. Radiographs with CNN assistance were accompanied by predictions of fracture presence and gradient-weighted class activation mapping of the predicted fracture site. Sensitivity and specificity of the CNN-assisted physician diagnoses were calculated to assess diagnostic performance. We calculated interobserver agreement with the Gwet agreement coefficient (AC1). Physician diagnostic confidence was estimated using a self-assessment Likert scale, and the time to arrive at a diagnosis for each case was measured.ResultsInterobserver agreement among physicians for occult scaphoid radiographs was higher with CNN assistance than without (AC1 0.42 [95% CI 0.17 to 0.68] versus 0.06 [95% CI 0.00 to 0.17], respectively). No clinically relevant differences were observed in time to arrive at a diagnosis (18 &amp; PLUSMN; 12 seconds versus 30 &amp; PLUSMN; 27 seconds, mean difference 12 seconds [95% CI 6 to 17]; p &lt; 0.001) or diagnostic confidence levels (7.2 &amp; PLUSMN; 1.7 seconds versus 6.2 &amp; PLUSMN; 1.6 seconds; mean difference 1 second [95% CI 0.5 to 1.3]; p &lt; 0.001) for occult fractures.ConclusionCNN assistance improves physician diagnostic sensitivity and specificity as well as interobserver agreement for the diagnosis of occult scaphoid fractures. The differences observed in diagnostic speed and confidence is likely not clinically relevant. Despite these improvements in clinical diagnoses of scaphoid fractures with the CNN, it is unknown whether development and implementation of such models is cost effective.</t>
  </si>
  <si>
    <t>Yoon, Alfred P.; Chung, William T.; Wang, Chien-Wei; Kuo, Chang-Fu; Lin, Chihung; Chung, Kevin C.</t>
  </si>
  <si>
    <t>Chung, KC (corresponding author), Michigan Med, Comprehens Hand Ctr, 2130 Taubman Ctr,SPC 5340,1500 E Med Ctr Dr, Ann Arbor, MI 48109 USA.</t>
  </si>
  <si>
    <t>wtomokic@med.umich.edu; alfredy@med.umich.edu; zandis@gmail.com; lin3031@gmail.com; chienwew@med.umich.edu; kecchung@med.umich.edu</t>
  </si>
  <si>
    <t>National Endowment for Plastic Surgery Grant from the Plastic Surgery Foundation [694527]; National Institutes of Health and from Sonex Health</t>
  </si>
  <si>
    <t>National Endowment for Plastic Surgery Grant from the Plastic Surgery Foundation; National Institutes of Health and from Sonex Health (United States Department of Health &amp; Human Services, National Institutes of Health (NIH) - USA, Office of the Administrator (NIH))</t>
  </si>
  <si>
    <t>The institution of one or more of the authors (APY) has received, during the study period, funding from the National Endowment for Plastic Surgery Grant from the Plastic Surgery Foundation (694527). The institution of one or more of the authors (KCC) has received, during the study period, funding from the National Institutes of Health and from Sonex Health. One of the authors (KCC) certifies receipt of personal payments or benefits, during the study period, in an amount of USD 10,000 to USD 100,000 from Wolters Kluwer and in an amount of USD 10,000 to USD 100,000 from Elsevier.</t>
  </si>
  <si>
    <t>[Yoon, Alfred P.; Chung, William T.; Wang, Chien-Wei; Chung, Kevin C.] Univ Michigan, Dept Surg, Sect Plast Surg, Med Sch, Ann Arbor, MI USA; [Kuo, Chang-Fu; Lin, Chihung] Chang Gung Mem Hosp, Ctr Artificial Intelligence Med, Taipei, Taiwan; [Chung, Kevin C.] Michigan Med, Comprehens Hand Ctr, 2130 Taubman Ctr,SPC 5340,1500 E Med Ctr Dr, Ann Arbor, MI 48109 USA</t>
  </si>
  <si>
    <t>University of Michigan System; University of Michigan; Chang Gung Memorial Hospital; University of Michigan System; University of Michigan</t>
  </si>
  <si>
    <t>Can a Deep Learning Algorithm Improve Detection of Occult Scaphoid Fractures in Plain Radiographs? A Clinical Validation Study</t>
  </si>
  <si>
    <t>CLINICAL ORTHOPAEDICS AND RELATED RESEARCH</t>
  </si>
  <si>
    <t>INTERRATER RELIABILITY; EPIDEMIOLOGY; AGREEMENT</t>
  </si>
  <si>
    <t>Yoon, Alfred/0000-0003-3908-4865; Wang, Chien-Wei/0000-0002-5771-0340</t>
  </si>
  <si>
    <t>0009-921X</t>
  </si>
  <si>
    <t>1528-1132</t>
  </si>
  <si>
    <t>CLIN ORTHOP RELAT R</t>
  </si>
  <si>
    <t>Clin. Orthop. Rel. Res.</t>
  </si>
  <si>
    <t>481</t>
  </si>
  <si>
    <t>1828</t>
  </si>
  <si>
    <t>1835</t>
  </si>
  <si>
    <t>10.1097/CORR.0000000000002612</t>
  </si>
  <si>
    <t>http://dx.doi.org/10.1097/CORR.0000000000002612</t>
  </si>
  <si>
    <t>P7GZ9</t>
  </si>
  <si>
    <t>36881548</t>
  </si>
  <si>
    <t>WOS:001052335400031</t>
  </si>
  <si>
    <t>Wang, JX; Zhang, SY; Li, J; Deng, M; Zeng, Z; Dong, ZH; Chen, FF; Liu, W; Wu, LL; Yu, HG</t>
  </si>
  <si>
    <t>BackgroundImmunohistochemistry (IHC) is a critical tool for tumor diagnosis and treatment, but it is time and tissue consuming, and highly dependent on skilled laboratory technicians. Recently, deep learning-based IHC biomarker prediction models have been widely developed, but few investigations have explored their clinical application effectiveness.MethodsIn this study, we aimed to create an automatic pipeline for the construction of deep learning models to generate AI-IHC (Artificial Intelligence) output using H&amp;E whole slide images (WSIs) and compared the pathology reports by pathologists on AI-IHC versus conventional IHC. We obtained 134 WSIs including H&amp;E and IHC pairs, and automatically extracted 415,463 tiles from H&amp;E slides for model construction based on the annotation transfer from IHC slides. Five IHC biomarker prediction models (P40, Pan-CK, Desmin, P53, Ki-67) were developed to support a range of clinically relevant diagnostic applications across various gastrointestinal cancer subtypes, including esophageal, gastric, and colorectal cancers. The Ki-67 proliferation index was quantitatively assessed using digital image analysis.ResultsThe AUCs of five IHC biomarker models ranged from 0.90 to 0.96 and the accuracies were between 83.04 and 90.81%. Additional 150 WSIs from 30 patients were collected to assess the effectiveness of AI-IHC through the multi-reader multi-case (MRMC) study. Each case was read by three pathologists, once on AI-IHC and once on conventional IHC with a minimum 2-week washout period. The results indicate that the consistency rates of pathologists in AI and conventional IHC cases were high in Desmin, Pan-CK and P40 (96.67-100%) while moderate in the P53 (70.00%). We also evaluated the T-stage through the staining of these IHC biomarkers and the consistency rate was 86.36%. Furthermore, the Ki-67 proliferation index, as reported by AI-IHC, showed a variability ranging from 17.35% +/- 16.2% compared to conventional IHC, with ICC of 0.415 (P = 0.015) between these two groups.ConclusionsHere, we leveraged automatic tile-level annotations from H&amp;E slides to efficiently develop deep learning-based IHC biomarker models, achieving AUCs between 0.90 and 0.96. AI generated IHC showed substantial concordance with conventional IHC across most markers, supporting its potential as an assistive tool in routine diagnostics.</t>
  </si>
  <si>
    <t>Wang, Junxiao; Zhang, Shiying; Li, Jia; Deng, Mei; Zeng, Zhi; Dong, Zehua; Chen, Fangfang; Liu, Wen; Wu, Lianlian; Yu, Honggang</t>
  </si>
  <si>
    <t>Wu, LL; Yu, HG (corresponding author), Wuhan Univ, Renmin Hosp, Wuhan, Peoples R China.; Wu, LL; Yu, HG (corresponding author), Wuhan Univ, Key Lab Hubei Prov Digest Syst Dis, Renmin Hosp, Wuhan, Peoples R China.; Wu, LL; Yu, HG (corresponding author), Wuhan Univ, Renmin Hosp, Hubei Prov Clin Res Ctr Digest Dis Minimally Invas, Wuhan, Peoples R China.; Wu, LL; Yu, HG (corresponding author), Wuhan Univ, Dept Gastroenterol, Renmin Hosp, 99 Zhangzhidong Rd, Wuhan 430060, Hubei, Peoples R China.</t>
  </si>
  <si>
    <t>wu_leanne@whu.edu.cn; wang102581@163.com; yuhonggang1968@163.com</t>
  </si>
  <si>
    <t>National Natural Science Foundation of China-Youth Science Fund Project</t>
  </si>
  <si>
    <t>[Wang, Junxiao; Zhang, Shiying; Li, Jia; Deng, Mei; Zeng, Zhi; Dong, Zehua; Chen, Fangfang; Liu, Wen; Wu, Lianlian; Yu, Honggang] Wuhan Univ, Renmin Hosp, Wuhan, Peoples R China; [Wang, Junxiao; Li, Jia; Deng, Mei; Dong, Zehua; Wu, Lianlian; Yu, Honggang] Wuhan Univ, Key Lab Hubei Prov Digest Syst Dis, Renmin Hosp, Wuhan, Peoples R China; [Wang, Junxiao; Li, Jia; Deng, Mei; Dong, Zehua; Wu, Lianlian; Yu, Honggang] Wuhan Univ, Renmin Hosp, Hubei Prov Clin Res Ctr Digest Dis Minimally Invas, Wuhan, Peoples R China; [Zhang, Shiying; Zeng, Zhi; Chen, Fangfang; Liu, Wen] Wuhan Univ, Dept Pathol, Renmin Hosp, Wuhan, Peoples R China; [Wu, Lianlian; Yu, Honggang] Wuhan Univ, Dept Gastroenterol, Renmin Hosp, 99 Zhangzhidong Rd, Wuhan 430060, Hubei, Peoples R China</t>
  </si>
  <si>
    <t>Wuhan University; Wuhan University; Wuhan University; Wuhan University; Wuhan University</t>
  </si>
  <si>
    <t>Development and clinical validation of deep learning-based immunohistochemistry prediction models for subtyping and staging of gastrointestinal cancers</t>
  </si>
  <si>
    <t>Deep learning; Pathology; Immunohistochemistry; Gastrointestinal cancers; Whole-slide image</t>
  </si>
  <si>
    <t>KI67</t>
  </si>
  <si>
    <t>chen, fangfang/HHC-2292-2022</t>
  </si>
  <si>
    <t>JUL 1 2025</t>
  </si>
  <si>
    <t>494</t>
  </si>
  <si>
    <t>10.1186/s12876-025-04045-0</t>
  </si>
  <si>
    <t>http://dx.doi.org/10.1186/s12876-025-04045-0</t>
  </si>
  <si>
    <t>4OM7D</t>
  </si>
  <si>
    <t>40597706</t>
  </si>
  <si>
    <t>WOS:001522897000037</t>
  </si>
  <si>
    <t>Mehta, PM; Yayli, SB; Rai, P; Sonka, M; Blezek, DJ; Zhang, HH; Silvera, VM; Benson, JC; Carlson, ML; Erickson, BJ; Bathla, G</t>
  </si>
  <si>
    <t>BACKGROUND AND PURPOSE: 3D segmentation and volumetry of vestibular schwannomas (VSs) is a more accurate method to determine tumor growth on serial imaging, but manual annotation is time-consuming to implement in routine clinical practice. We evaluated and compared 5 deep learning-based segmentation models (nnUNet [Base, ResEncL], U-Mamba, UNETR, and MedSAM) for 3D VS segmentation and volumetry, and we examined the robustness to acquisition heterogeneity and generalization on an external cohort. MATERIALS AND METHODS: Our refined internal data set consisted of T1-contrast-enhanced images, including 2692 scans (n = 383 patients) for training and 277 scans (n = 97 patients) for testing. Post-model training and validation, performance was evaluated on both internal and a publicly available external test set (n = 241) using the Dice similarity coefficient, maximum distance between the predicted and ground truth boundaries (Hausdorff distance), surface-to-surface (S2S) distance, and relative volume error (RVE). A subanalysis of the model performance was also performed to evaluate the impact of tumor volumes and data set heterogeneity. RESULTS: The median Dice score on the external test set varied between 0.899 and 0.927 with U-Mamba achieving the highest performance, followed by nnUNet (Base and ResEncL). For these top 3 models, the median Hausdorff distance was 3.59 mm, while the 95th percentile Hausdorff distance was 1.6 mm. The S2S distance was &lt;1 mm, and the median RVE (%) varied between 0.07 and 0.08. The median Dice scores were lower, 0.848-0.85, for smaller tumors (&lt;200 mm(3)) and higher for tumors of &gt;400 mm(3) (median Dice score, 0.925-0.932). CONCLUSIONS: Models based on convolutional neural networks, transformer networks, and foundational models show robust performance for VS segmentation. Given the consistently high performance and self-optimizing frameworks of convolutional neural network-based models (U-Mamba, nnUNet), these may be more suitable for clinical applications.</t>
  </si>
  <si>
    <t>Mehta, Parv M.; Yayli, Sahika Betul; Rai, Pranjal; Sonka, Milan; Blezek, Daniel J.; Zhang, Honghai; Silvera, Victoria M.; Benson, John C.; Carlson, Matthew L.; Erickson, Bradley J.; Bathla, Girish</t>
  </si>
  <si>
    <t>Rai, P (corresponding author), 1804 2nd St SW,Apt 2, Rochester, MN 55902 USA.</t>
  </si>
  <si>
    <t>rai.pranjal@mayo.edu</t>
  </si>
  <si>
    <t>[Mehta, Parv M.; Yayli, Sahika Betul; Blezek, Daniel J.; Silvera, Victoria M.; Benson, John C.; Erickson, Bradley J.; Bathla, Girish] Mayo Clin, Dept Radiol, Rochester, MN USA; [Carlson, Matthew L.] Mayo Clin, Dept Otol Neurotol, Rochester, MN USA; [Mehta, Parv M.] Univ Texas San Antonio, Dept Radiol, San Antonio, TX USA; [Rai, Pranjal; Sonka, Milan; Zhang, Honghai] Univ Iowa, Coll Engn, Iowa City, IA USA</t>
  </si>
  <si>
    <t>Mayo Clinic; Mayo Clinic; University of Texas System; University of Texas at San Antonio; University of Iowa</t>
  </si>
  <si>
    <t>Comparative Evaluation of Deep Learning Models for 3D Segmentation and Volumetry of Vestibular Schwannomas Using Large Heterogeneous Data Sets with External Validation</t>
  </si>
  <si>
    <t>Sonka, Milan/IZD-9792-2023; Rai, Pranjal/OKS-1316-2025</t>
  </si>
  <si>
    <t>1266</t>
  </si>
  <si>
    <t>1272</t>
  </si>
  <si>
    <t>10.3174/ajnr.A9112</t>
  </si>
  <si>
    <t>http://dx.doi.org/10.3174/ajnr.A9112</t>
  </si>
  <si>
    <t>HO1UY</t>
  </si>
  <si>
    <t>41260669</t>
  </si>
  <si>
    <t>WOS:001748767400001</t>
  </si>
  <si>
    <t>Wang, J; Li, Y; Chen, BR; Cheng, D; Liao, F; Tan, T; Xu, QH; Liu, ZF; Huang, Y; Zhu, C; Cao, WB; Yao, LW; Wu, ZF; Wu, LL; Zhang, CX; Xiao, B; Xu, M; Liu, J; Li, SY; Yu, HG</t>
  </si>
  <si>
    <t>Background The choice of polypectomy device and surveillance intervals for colorectal polyps are primarily decided by polyp size. We developed a deep learning-based system (ENDOANGEL-CPS) to estimate colorectal polyp size in real time. Methods ENDOANGEL-CPS calculates polyp size by estimating the distance from the endoscope lens to the polyp using the parameters of the lens. The depth estimator network was developed on 7297 images from five virtually produced colon videos and tested on 730 images from seven virtual colon videos. The performance of the system was first evaluated in nine videos of a simulated colon with polyps attached, then tested in 157 real-world prospective videos from three hospitals, with the outcomes compared with that of nine endoscopists over 69 videos. Inappropriate surveillance recommendations caused by incorrect estimation of polyp size were also analyzed. Results The relative error of depth estimation was 11.3% (SD 6.0%) in successive virtual colon images. The concordance correlation coefficients (CCCs) between system estimation and ground truth were 0.89 and 0.93 in images of a simulated colon and multicenter videos of 157 polyps. The mean CCC of ENDOANGEL-CPS surpassed all endoscopists (0.89 vs. 0.41 [SD 0.29]; P &lt;0.001). The relative accuracy of ENDOANGEL-CPS was significantly higher than that of endoscopists (89.9% vs. 54.7%; P &lt;0.001). Regarding inappropriate surveillance recommendations, the system's error rate is also lower than that of endoscopists (1.5% vs. 16.6%; P &lt;0.001). Conclusions ENDOANGEL-CPS could potentially improve the accuracy of colorectal polyp size measurements and size-based surveillance intervals.</t>
  </si>
  <si>
    <t>Wang, Jing; Li, Ying; Chen, Boru; Cheng, Du; Liao, Fei; Tan, Tao; Xu, Qinghong; Liu, Zhifeng; Huang, Yuan; Zhu, Ci; Cao, Wenbing; Yao, Liwen; Wu, Zhifeng; Wu, Lianlian; Zhang, Chenxia; Xiao, Bing; Xu, Ming; Liu, Jun; Li, Shuyu; Yu, Honggang</t>
  </si>
  <si>
    <t>Yu, HG (corresponding author), Wuhan Univ, Dept Gastroenterol, Renmin Hosp, Zhangzhidong Rd 99, Wuhan 430060, Peoples R China.</t>
  </si>
  <si>
    <t>yuhonggang@whu.edu.cn</t>
  </si>
  <si>
    <t>Fundamental Research Funds for the Central Universities [2042022kf1099]; Science and Technology Achievement Transformation Platform Construction Project of Ministry of Education; National Natural Science Foundation of China-Youth Science Fund Project [82202257]; Innovation Team Project of Health Commission of Hubei Province [WJ2021C003]; College-enterprise Deepening Reform Project of Wuhan University</t>
  </si>
  <si>
    <t>Fundamental Research Funds for the Central Universities (Fundamental Research Funds for the Central Universities); Science and Technology Achievement Transformation Platform Construction Project of Ministry of Education; National Natural Science Foundation of China-Youth Science Fund Project; Innovation Team Project of Health Commission of Hubei Province; College-enterprise Deepening Reform Project of Wuhan University</t>
  </si>
  <si>
    <t>the Fundamental Research Funds for the Central Universities |2042022kf1099 Science and Technology Achievement Transformation Platform Construction Project of Ministry of Education National Natural Science Foundation of China-Youth Science Fund Project | 82202257 Innovation Team Project of Health Commission of Hubei Province |WJ2021C003 College-enterprise Deepening Reform Project of Wuhan University</t>
  </si>
  <si>
    <t>[Wang, Jing; Chen, Boru; Cheng, Du; Liao, Fei; Yao, Liwen; Wu, Zhifeng; Wu, Lianlian; Zhang, Chenxia; Xiao, Bing; Xu, Ming; Liu, Jun; Yu, Honggang] Wuhan Univ, Dept Gastroenterol, Renmin Hosp, Wuhan, Peoples R China; [Wang, Jing; Chen, Boru; Cheng, Du; Liao, Fei; Yao, Liwen; Wu, Zhifeng; Wu, Lianlian; Zhang, Chenxia; Xiao, Bing; Xu, Ming; Liu, Jun; Yu, Honggang] Wuhan Univ, Hubei Prov Clin Res Ctr Digest Dis Minimally Inva, Renmin Hosp, Wuhan, Peoples R China; [Wang, Jing; Chen, Boru; Cheng, Du; Liao, Fei; Yao, Liwen; Wu, Zhifeng; Wu, Lianlian; Zhang, Chenxia; Xiao, Bing; Xu, Ming; Liu, Jun; Yu, Honggang] Wuhan Univ, Hubei Key Lab Digest Syst, Renmin Hosp, Wuhan, Peoples R China; [Wang, Jing; Chen, Boru; Cheng, Du; Liao, Fei; Yao, Liwen; Wu, Zhifeng; Wu, Lianlian; Zhang, Chenxia; Xiao, Bing; Xu, Ming; Liu, Jun; Yu, Honggang] Wuhan Univ, Engn Res Ctr Artificial Intelligence Endoscopy In, Renmin Hosp, Wuhan, Peoples R China; [Li, Ying; Xu, Qinghong; Huang, Yuan; Zhu, Ci; Cao, Wenbing] Eighth Hosp Wuhan, Dept Endoscopy, Wuhan, Peoples R China; [Tan, Tao; Liu, Zhifeng; Li, Shuyu] Third Peoples Hosp Hubei Prov, Dept Endoscopy, Wuhan, Peoples R China</t>
  </si>
  <si>
    <t>Wuhan University; Wuhan University; Wuhan University; Wuhan University</t>
  </si>
  <si>
    <t>A real-time deep learning-based system for colorectal polyp size estimation by white-light endoscopy: development and multicenter prospective validation</t>
  </si>
  <si>
    <t>CORRELATION-COEFFICIENT; POLYPECTOMY; SOCIETY; FORCEPS; RULER</t>
  </si>
  <si>
    <t>Yao, Liwen/LRC-5131-2024; Liu, Zhifeng/IWU-7476-2023</t>
  </si>
  <si>
    <t>Yao, Liwen/0000-0001-5412-9991</t>
  </si>
  <si>
    <t>198</t>
  </si>
  <si>
    <t>204</t>
  </si>
  <si>
    <t>10.1055/a-2189-7036</t>
  </si>
  <si>
    <t>http://dx.doi.org/10.1055/a-2189-7036</t>
  </si>
  <si>
    <t>LC0B1</t>
  </si>
  <si>
    <t>37827513</t>
  </si>
  <si>
    <t>WOS:001179168200002</t>
  </si>
  <si>
    <t>Park, J; Jang, BG; Kim, YW; Park, H; Kim, BH; Kim, MJ; Ko, H; Gwak, JM; Lee, EJ; Chung, YR; Kim, K; Myung, JK; Park, JH; Choi, DY; Jung, CW; Park, BH; Jung, KH; Kim, DI</t>
  </si>
  <si>
    <t>Purpose: Gastric cancer remains the leading cause of cancer-related deaths in Northeast Asia. Population-based endoscopic screenings in the region have yielded successful results in early detection of gastric tumors. Endoscopic screening rates are continuously increasing, and there is a need for an automatic computerized diagnostic system to reduce the diagnostic burden. In this study, we developed an algorithm to classify gastric epithelial tumors automatically and assessed its performance in a large series of gastric biopsies and its benefits as an assistance tool.Experimental Design: Using 2,434 whole-slide images, we developed an algorithm based on convolutional neural networks to classify a gastric biopsy image into one of three categories: negative for dysplasia (NFD), tubular adenoma, or carcinoma. The performance of the algorithm was evaluated by using 7,440 biopsy specimens collected prospectively. The impact of algorithm-assisted diagnosis was assessed by six pathologists using 150 gastric biopsy cases.Results: Diagnostic performance evaluated by the AUROC curve in the prospective study was 0.9790 for two-tier classification: negative (NFD) versus positive (all cases except NFD). When limited to epithelial tumors, the sensitivity and specificity were 1.000 and 0.9749. Algorithm-assisted digital image viewer (DV) resulted in 47% reduction in review time per image compared with DV only and 58% decrease to microscopy.Conclusions: Our algorithm has demonstrated high accuracy in classifying epithelial tumors and its benefits as an assistance tool, which can serve as a potential screening aid system in diagnosing gastric biopsy specimens.Y</t>
  </si>
  <si>
    <t>Park, Jeonghyuk; Jang, Bo Gun; Kim, Yeong Won; Park, Hyunho; Kim, Baek-Hui; Kim, Myeung Ju; Ko, Hyungsuk; Gwak, Jae Moon; Lee, Eun Ji; Chung, Yul Ri; Kim, Kyungdoc; Myung, Jae Kyung; Park, Jeong Hwan; Choi, Dong Youl; Jung, Chang Won; Park, Bong-Hee; Jung, Kyu-Hwan; Kim, Dong-Il</t>
  </si>
  <si>
    <t>Jung, KH (corresponding author), VUNO Inc, 6F,507 Gangnam Daero, Seoul 06536, South Korea.; Kim, DI (corresponding author), Green Cross Labs, Dept Pathol, 107,Ihyeonro 30 Beon Gil, Yongin, Gyeonggi Do, South Korea.</t>
  </si>
  <si>
    <t>khwan.jung@vuno.co; ilkim@gclabs.co.kr</t>
  </si>
  <si>
    <t>Green Cross Laboratory; VUNO Inc.</t>
  </si>
  <si>
    <t>This study was supported by Green Cross Laboratory and VUNO Inc.</t>
  </si>
  <si>
    <t>[Park, Jeonghyuk; Kim, Yeong Won; Park, Hyunho; Kim, Kyungdoc; Jung, Kyu-Hwan] VUNO Inc, 6F,507 Gangnam Daero, Seoul 06536, South Korea; [Jang, Bo Gun] Jeju Natl Univ, Dept Pathol, Sch Med, Jeju, South Korea; [Jang, Bo Gun] Jeju Natl Univ Hosp, Jeju, South Korea; [Kim, Baek-Hui] Korea Univ, Dept Pathol, Guro Hosp, Seoul, South Korea; [Kim, Myeung Ju] Dankook Univ, Dept Anat, Coll Med, Cheonan, South Korea; [Ko, Hyungsuk; Gwak, Jae Moon; Lee, Eun Ji; Chung, Yul Ri; Choi, Dong Youl; Jung, Chang Won; Park, Bong-Hee; Kim, Dong-Il] Green Cross Labs, Dept Pathol, Yongin, Gyeonggi, South Korea; [Myung, Jae Kyung] Hanyang Univ, Coll Med, Dept Pathol, Seoul, South Korea; [Park, Jeong Hwan] SMG SNU Boramae Med Ctr, Dept Pathol, Seoul, South Korea</t>
  </si>
  <si>
    <t>Jeju National University; Jeju National University; Korea University; Korea University Medicine (KU Medicine); Dankook University; Hanyang University; Seoul National University (SNU); Seoul National University Hospital</t>
  </si>
  <si>
    <t>A Prospective Validation and Observer Performance Study of a Deep Learning Algorithm for Pathologic Diagnosis of Gastric Tumors in Endoscopic Biopsies</t>
  </si>
  <si>
    <t>CLINICAL CANCER RESEARCH</t>
  </si>
  <si>
    <t>WHOLE-SLIDE IMAGES; CLASSIFICATION; CANCER; JAPAN</t>
  </si>
  <si>
    <t>Jang, Bo-Gun/ADZ-5252-2022; Jung, Kyu-Hwan/AFF-6806-2022; Myung, Jae Kyung/HNJ-5706-2023; Kim, Myeung Ju/HLG-8210-2023</t>
  </si>
  <si>
    <t>Chung, Yul Ri/0000-0001-9501-8657; Myung, Jae Kyung/0000-0001-9612-5323; Park, Jeonghyuk/0000-0002-2014-6555; Park, Jeong Hwan/0000-0003-4522-9928; Kim, Myeung Ju/0000-0002-7455-5450; Park, Hyunho/0000-0002-6395-478X</t>
  </si>
  <si>
    <t>AMER ASSOC CANCER RESEARCH</t>
  </si>
  <si>
    <t>615 CHESTNUT ST, 17TH FLOOR, PHILADELPHIA, PA 19106-4404 USA</t>
  </si>
  <si>
    <t>1078-0432</t>
  </si>
  <si>
    <t>1557-3265</t>
  </si>
  <si>
    <t>CLIN CANCER RES</t>
  </si>
  <si>
    <t>Clin. Cancer Res.</t>
  </si>
  <si>
    <t>FEB 1 2021</t>
  </si>
  <si>
    <t>719</t>
  </si>
  <si>
    <t>10.1158/1078-0432.CCR-20-3159</t>
  </si>
  <si>
    <t>http://dx.doi.org/10.1158/1078-0432.CCR-20-3159</t>
  </si>
  <si>
    <t>QG1CK</t>
  </si>
  <si>
    <t>33172897</t>
  </si>
  <si>
    <t>WOS:000617323900008</t>
  </si>
  <si>
    <t>Jung, MS; Jin, MS; Kim, C; Lee, C; Nikas, IP; Park, JH; Ryu, HS</t>
  </si>
  <si>
    <t>Accurate diagnosis and grading of needle biopsies are crucial for prostate cancer management. A uropathologist-level artificial intelligence (AI) system could help make unbiased decisions and improve pathologists' efficiency. We previously reported an artificial neural network-based, automated, diagnostic software for prostate biopsy, DeepDx(R) Prostate (DeepDx). Using an independent external dataset, we aimed to validate the performance of DeepDx at the levels of prostate cancer diagnosis and grading and evaluate its potential value to the general pathologist. A dataset composed of 593 whole-slide images of prostate biopsies (130 normal and 463 adenocarcinomas) was assembled, including their original pathology reports. The Gleason scores (GSs) and grade groups (GGs) determined by three uropathology experts were considered as the reference standard. A general pathologist conducted user validation by scoring the dataset with and without AI assistance. DeepDx was accurate for prostate cancer detection at a similar level to the original pathology report, whereas it was more concordant than the latter with the reference GGs and GSs (kappa/quadratic-weighted kappa = 0.713/0.922 vs. 0.619/0.873 for GGs and 0.654/0.904 vs. 0.576/0.858 for GSs). Notably, it outperformed the original report, especially in the detection of Gleason patterns 4/5, and achieved excellent agreement in quantifying the Gleason pattern 4. When the general pathologist used AI assistance, the concordance of GG between the user and the reference standard increased (kappa/quadratic-weighted kappa, 0.621/0.876 to 0.741/0.925), while the average slide examination time was substantially decreased (55.7 to 36.8 s/case). Overall, DeepDx was capable of making expert-level diagnosis in prostate core biopsies. In addition, its remarkable performance in detecting high-grade Gleason patterns and enhancing the general pathologist's diagnostic performance supports its potential value in routine practice.</t>
  </si>
  <si>
    <t>Jung, Minsun; Jin, Min-Sun; Kim, Chungyeul; Lee, Cheol; Nikas, Ilias P.; Park, Jeong Hwan; Ryu, Han Suk</t>
  </si>
  <si>
    <t>Ryu, HS (corresponding author), Seoul Natl Univ, Seoul Natl Univ Hosp, Med Coll, Dept Pathol, Seoul, South Korea.; Ryu, HS (corresponding author), Seoul Natl Univ Hosp, Ctr Med Innovat, Biomed Res Inst, Seoul, South Korea.</t>
  </si>
  <si>
    <t>karlnash@naver.com</t>
  </si>
  <si>
    <t>[Jung, Minsun] Yonsei Univ, Severance Hosp, Coll Med, Dept Pathol, Seoul, South Korea; [Jin, Min-Sun] Catholic Univ Korea, Bucheon St Marys Hosp, Coll Med, Dept Pathol, Bucheon, South Korea; [Kim, Chungyeul] Korea Univ, Guro Hosp, Dept Pathol, Seoul, South Korea; [Lee, Cheol; Park, Jeong Hwan; Ryu, Han Suk] Seoul Natl Univ, Seoul Natl Univ Hosp, Med Coll, Dept Pathol, Seoul, South Korea; [Nikas, Ilias P.] European Univ Cyprus, Sch Med, Nicosia, Cyprus; [Park, Jeong Hwan] SMG SNU Boramae Med Ctr, Dept Pathol, Seoul, South Korea; [Ryu, Han Suk] Seoul Natl Univ Hosp, Ctr Med Innovat, Biomed Res Inst, Seoul, South Korea</t>
  </si>
  <si>
    <t>Yonsei University; Severance Hospital; Yonsei University Health System; Catholic University of Korea; Korea University; Korea University Medicine (KU Medicine); Seoul National University (SNU); Seoul National University Hospital; European University Cyprus; Seoul National University (SNU); Seoul National University Hospital; Seoul National University (SNU); Seoul National University Hospital</t>
  </si>
  <si>
    <t>Artificial intelligence system shows performance at the level of uropathologists for the detection and grading of prostate cancer in core needle biopsy: an independent external validation study</t>
  </si>
  <si>
    <t>ACTIVE SURVEILLANCE; DIAGNOSIS; PATHOLOGIST; MANAGEMENT; SOCIETY</t>
  </si>
  <si>
    <t>Jung, Minsun/CAI-2885-2022; kim, chungyeul/AAX-7124-2020</t>
  </si>
  <si>
    <t>Jung, Minsun/0000-0002-8701-4282; Nikas, Ilias/0000-0001-8625-2556; kim, chungyeul/0000-0002-9636-5228; Park, Jeong Hwan/0000-0003-4522-9928; Lee, Cheol/0000-0001-5098-8529</t>
  </si>
  <si>
    <t>1449</t>
  </si>
  <si>
    <t>1457</t>
  </si>
  <si>
    <t>10.1038/s41379-022-01077-9</t>
  </si>
  <si>
    <t>http://dx.doi.org/10.1038/s41379-022-01077-9</t>
  </si>
  <si>
    <t>4X4LZ</t>
  </si>
  <si>
    <t>35487950</t>
  </si>
  <si>
    <t>WOS:000788977700001</t>
  </si>
  <si>
    <t>Prakash, S; Havard, M; Hodges, E; Agrawal, A; Ahuja, S</t>
  </si>
  <si>
    <t>Background and study aims: In 2013, Balain et al. proposed a scoring system, the Oswestry Spinal Risk Index (OSRI), to predict survival in patients with spinal metastases (SM) and hence aid treatment decisions. This study aims to externally validate the OSRI for patients treated exclusively with radiotherapy, and assess its relevance in emergency decision making in the age of nomograms and machine learning. Materials and Methods: Data from 150 patients with spinal metastases (SM) treated at our Regional Cancer Centre over a four-year period were retrospectively analysed. OSRI scores were calculated for each patient, and actual survival duration from diagnosis was determined to enable comparison with predicted survival. The cohort, selected over a decade ago, ensured complete survival data for all included patients. Results: Spearman's rank correlation demonstrated a strong positive relationship between actual and OSRI-predicted survival (r = 0.706, p &lt; 0.001). The Mantel-Cox log-rank test revealed statistically significant differences in survival curves across OSRI risk groups (p &lt; 0.001), with lower OSRI scores associated with longer survival. Paired sample t-tests further confirmed this correlation (one-sided p = 0.009; two-sided p = 0.017). Kaplan-Meier survival plots were similar to those of the original study. Conclusions: This study is the first to externally validate the Oswestry Spinal Risk Index (OSRI) specifically in patients treated exclusively with radiotherapy. Unlike previous validations, which included patients managed surgically or with combined modalities, our cohort focused solely on radiotherapy. We found a strong correlation between predicted and actual survival, highlighting the OSRI's simplicity, accuracy and its practical value for rapid decision-making in emergency settings.</t>
  </si>
  <si>
    <t>Prakash, Savithru; Havard, Megan; Hodges, Elizabeth; Agrawal, Anirudh; Ahuja, Sashin</t>
  </si>
  <si>
    <t>Prakash, S (corresponding author), Univ Hosp Wales, Welsh Ctr Spinal Surg &amp; Trauma, Cardiff, Wales.</t>
  </si>
  <si>
    <t>savithruprakash@doctors.net.uk</t>
  </si>
  <si>
    <t>[Prakash, Savithru; Agrawal, Anirudh; Ahuja, Sashin] Univ Hosp Wales, Welsh Ctr Spinal Surg &amp; Trauma, Cardiff, Wales; [Havard, Megan; Hodges, Elizabeth] Cardiff Univ, Sch Med, Cardiff, Wales</t>
  </si>
  <si>
    <t>Cardiff University; Cardiff University</t>
  </si>
  <si>
    <t>In the artificial intelligence age, is Oswestry spinal risk index still useful? an external validation of Oswestry spinal risk index applied to radiotherapy patients and its relevance</t>
  </si>
  <si>
    <t>BRITISH JOURNAL OF NEUROSURGERY</t>
  </si>
  <si>
    <t>Spinal metastasis; oswestry spinal risk index; prognosis scores in spinal metastasis; spinal radiotherapy; machine learning</t>
  </si>
  <si>
    <t>PROGNOSTIC SCORING SYSTEMS; METASTATIC-DISEASE; SURVIVAL; SURGERY; COMPLICATION</t>
  </si>
  <si>
    <t>Agrawal, Aniruddh/MIN-6677-2025</t>
  </si>
  <si>
    <t>Agrawal, Aniruddh/0000-0003-2737-9607; Prakash, Savithru/0009-0008-5799-1008; Havard Barker, Megan/0000-0001-9808-0528; , Elizabeth/0000-0001-6846-4248</t>
  </si>
  <si>
    <t>0268-8697</t>
  </si>
  <si>
    <t>1360-046X</t>
  </si>
  <si>
    <t>BRIT J NEUROSURG</t>
  </si>
  <si>
    <t>Br. J. Neurosurg.</t>
  </si>
  <si>
    <t>10.1080/02688697.2026.2630840</t>
  </si>
  <si>
    <t>http://dx.doi.org/10.1080/02688697.2026.2630840</t>
  </si>
  <si>
    <t>DV9JZ</t>
  </si>
  <si>
    <t>41697849</t>
  </si>
  <si>
    <t>WOS:001693351400001</t>
  </si>
  <si>
    <t>Danilatou, V; Nikolakakis, S; Antonakaki, D; Tzagkarakis, C; Mavroidis, D; Kostoulas, T; Ioannidis, S</t>
  </si>
  <si>
    <t>Intensive care unit (ICU) patients with venous thromboembolism (VTE) and/or cancer suffer from high mortality rates. Mortality prediction in the ICU has been a major medical challenge for which several scoring systems exist but lack in specificity. This study focuses on two target groups, namely patients with thrombosis or cancer. The main goal is to develop and validate interpretable machine learning (ML) models to predict early and late mortality, while exploiting all available data stored in the medical record. To this end, retrospective data from two freely accessible databases, MIMIC-III and eICU, were used. Well-established ML algorithms were implemented utilizing automated and purposely built ML frameworks for addressing class imbalance. Prediction of early mortality showed excellent performance in both disease categories, in terms of the area under the receiver operating characteristic curve (AUC-ROC): VTE-MIMIC-III 0.93, eICU 0.87, cancer-MIMIC-III 0.94. On the other hand, late mortality prediction showed lower performance, i.e., AUC-ROC: VTE 0.82, cancer 0.74-0.88. The predictive model of early mortality developed from 1651 VTE patients (MIMIC-III) ended up with a signature of 35 features and was externally validated in 2659 patients from the eICU dataset. Our model outperformed traditional scoring systems in predicting early as well as late mortality. Novel biomarkers, such as red cell distribution width, were identified.</t>
  </si>
  <si>
    <t>Danilatou, Vasiliki; Nikolakakis, Stylianos; Antonakaki, Despoina; Tzagkarakis, Christos; Mavroidis, Dimitrios; Kostoulas, Theodoros; Ioannidis, Sotirios</t>
  </si>
  <si>
    <t>Danilatou, V (corresponding author), Sphynx Technol Solut, CH-6300 Zug, Switzerland.; Danilatou, V (corresponding author), European Univ Cyprus, Sch Med, CY-2404 Nicosia, Cyprus.</t>
  </si>
  <si>
    <t>dmavroid@gmail.com; despoina@ics.forth.gr; snikolakakis@tuc.gr; theodoros.kostoulas@aegean.gr; sotiris@ece.tuc.gr; ctzagkarakis@gmail.com; v.danilatou@euc.ac.cy</t>
  </si>
  <si>
    <t>European Union's Horizon 2020 Research and Innovation Program, ASCAPE [875351]</t>
  </si>
  <si>
    <t>European Union's Horizon 2020 Research and Innovation Program, ASCAPE</t>
  </si>
  <si>
    <t>This research was partially funded by the European Union's Horizon 2020 Research and Innovation Program, ASCAPE, under grant agreement No. 875351.</t>
  </si>
  <si>
    <t>[Danilatou, Vasiliki] Sphynx Technol Solut, CH-6300 Zug, Switzerland; [Danilatou, Vasiliki] European Univ Cyprus, Sch Med, CY-2404 Nicosia, Cyprus; [Nikolakakis, Stylianos; Ioannidis, Sotirios] Tech Univ Crete, Sch Elect &amp; Comp Engn, Khania 73100, Greece; [Antonakaki, Despoina; Tzagkarakis, Christos; Mavroidis, Dimitrios; Ioannidis, Sotirios] Fdn Res &amp; Technol Hellas FORTH, Inst Comp Sci ICS, Iraklion 70013, Greece; [Kostoulas, Theodoros] Univ Aegean, Sch Engn, Dept Informat &amp; Commun Syst Engn, Samos 83200, Greece</t>
  </si>
  <si>
    <t>European University Cyprus; Technical University of Crete; University of Aegean</t>
  </si>
  <si>
    <t>Outcome Prediction in Critically-Ill Patients with Venous Thromboembolism and/or Cancer Using Machine Learning Algorithms: External Validation and Comparison with Scoring Systems</t>
  </si>
  <si>
    <t>INTERNATIONAL JOURNAL OF MOLECULAR SCIENCES</t>
  </si>
  <si>
    <t>venous thromboembolism; cancer; mortality; ICU; interpretable machine learning</t>
  </si>
  <si>
    <t>INTENSIVE-CARE-UNIT; CLINICAL PROGNOSTIC MODEL; MORTALITY PREDICTION; PULMONARY-EMBOLISM</t>
  </si>
  <si>
    <t>Antonakaki, Despoina/LEN-0367-2024; Danilatou, Vasiliki/IUP-6267-2023</t>
  </si>
  <si>
    <t>Antonakaki, Despoina/0000-0001-9081-6115; Danilatou, Vasiliki/0000-0001-6967-9785; Kostoulas, Theodoros/0000-0003-2201-6938</t>
  </si>
  <si>
    <t>1661-6596</t>
  </si>
  <si>
    <t>1422-0067</t>
  </si>
  <si>
    <t>INT J MOL SCI</t>
  </si>
  <si>
    <t>Int. J. Mol. Sci.</t>
  </si>
  <si>
    <t>7132</t>
  </si>
  <si>
    <t>10.3390/ijms23137132</t>
  </si>
  <si>
    <t>http://dx.doi.org/10.3390/ijms23137132</t>
  </si>
  <si>
    <t>Biochemistry &amp; Molecular Biology; Chemistry, Multidisciplinary</t>
  </si>
  <si>
    <t>Biochemistry &amp; Molecular Biology; Chemistry</t>
  </si>
  <si>
    <t>2W1FC</t>
  </si>
  <si>
    <t>35806137</t>
  </si>
  <si>
    <t>WOS:000824277500001</t>
  </si>
  <si>
    <t>Zhang, CM; Song, DD</t>
  </si>
  <si>
    <t>Background Alzheimer's disease (AD) is a progressive neurodegenerative disorder characterized by amyloid-beta plaques and neurofibrillary tangles. Dysfunctional cellular clearance mechanisms, particularly autophagy-lysosomal pathways, and reactive astrocytosis are prominent pathological features, yet their interrelationship remains poorly defined.Objective This study aimed to decipher a novel co-expression molecular signature linking autolysosomal dysfunction and astrocyte reactivity in AD pathogenesis.Methods We performed Limma, WGCNA and Xcell algorithms in AD patient hippocampus bulk profiles for enrichment of astrocyte and autolysosome (AA)-associated DEGs. Next, explainable machine learning and consensus clustering enables the identification of AA-associated diagnostic model and molecular subgroups for AD patients at bulk level. Besides, AA-associated central pathogenic factor was identified, and its corresponding biological implications for AD were assessed at AD patient hippocampus single-cell level in temporal and spatial manners. Next deep learning algorithm (Drugreflector) and molecular docking enriched natural compounds for the treatment of AD by targeting AA-associated hub gene. Finally, AD clinical peripheral blood samples were collected for estimation of hub gene expression patterns.Results 5 AA-associated shared DEGs can elaborate diagnostic and patient stratification capacity for AD patients. HMGCR can be considered as astrocyte-distributed central pathogenic and Berberine-oriented therapeutic target for AD patients.Conclusion Our findings unveil AA-associated diagnostic model and molecular subgroups coupled with HMGCR center pathogenic and druggable role in AD, which represents an actionable clinical target for AD patients.</t>
  </si>
  <si>
    <t>Zhang, Congmin; Song, Dandan</t>
  </si>
  <si>
    <t>Song, DD (corresponding author), Shaoxing Univ, Shaoxing Peoples Hosp 7, Affiliated Mental Hlth Ctr, Dept Pharm, Shaoxing, Zhejiang, Peoples R China.</t>
  </si>
  <si>
    <t>a347845823@163.com</t>
  </si>
  <si>
    <t>Shaoxing Health and Technology Plan [2025SKY069]</t>
  </si>
  <si>
    <t>Shaoxing Health and Technology Plan</t>
  </si>
  <si>
    <t>The author(s) declared that financial support was received for this work and/or its publication. This work was supported by the Shaoxing Health and Technology Plan (No. 2025SKY069).</t>
  </si>
  <si>
    <t>[Zhang, Congmin; Song, Dandan] Shaoxing Univ, Shaoxing Peoples Hosp 7, Affiliated Mental Hlth Ctr, Dept Pharm, Shaoxing, Zhejiang, Peoples R China</t>
  </si>
  <si>
    <t>Shaoxing University</t>
  </si>
  <si>
    <t>Implications of autolysosome- astrocyte-associated signature in the pathogenesis of Alzheimer's disease: evidence from artificial intelligence and multi-omics and clinical validation</t>
  </si>
  <si>
    <t>FRONTIERS IN NEUROSCIENCE</t>
  </si>
  <si>
    <t>Alzheimer's disease; artificial intelligence; astrocytes; autolysosome; multi-omics</t>
  </si>
  <si>
    <t>PACKAGE</t>
  </si>
  <si>
    <t>1662-453X</t>
  </si>
  <si>
    <t>FRONT NEUROSCI-SWITZ</t>
  </si>
  <si>
    <t>Front. Neurosci.</t>
  </si>
  <si>
    <t>JUL 2 2026</t>
  </si>
  <si>
    <t>1867831</t>
  </si>
  <si>
    <t>10.3389/fnins.2026.1867831</t>
  </si>
  <si>
    <t>http://dx.doi.org/10.3389/fnins.2026.1867831</t>
  </si>
  <si>
    <t>LC1LX</t>
  </si>
  <si>
    <t>42465724</t>
  </si>
  <si>
    <t>WOS:001821084600001</t>
  </si>
  <si>
    <t>Lee, S; Kim, D; Oh, NE; Lee, H; Park, S; Yon, DK; Kang, WS; Lee, J</t>
  </si>
  <si>
    <t>Artificial intelligence (AI) is being increasingly applied in healthcare to improve patient care and clinical outcomes. We previously developed an AI model using ICD-10 (International Classification of Diseases, Tenth Revision) codes with other clinical variables to predict in-hospital mortality among trauma patients from a nationwide database. This study aimed to externally validate the performance of the AI model. Validation was conducted using a multicenter retrospective cohort study design, analyzing patient data from January 2020 to December 2021. The study included trauma patients based on specific ICD-10 codes, with other clinical variables. The performance of the AI model was evaluated against conventional metrics, including the ISS, and the ICISS (ICD-based ISS), using sensitivity, specificity, accuracy, balanced accuracy, precision, F1-score, and area under the receiver operating characteristic curve (AUROC) analyses. Data from 4,439 patients were analyzed. The AI model demonstrated high overall performance, achieving an AUROC of 0.9448 and a balanced accuracy of 85.08%, thereby outperforming traditional scoring systems such as ISS, or ICISS. Furthermore, the model accurately predicted mortality across datasets from each hospital (AUROCs of 0.9234 and 0.9653, respectively) despite significant differences in hospital characteristics. In the subset of patients with ISS &lt; 9, the model showed a robust AUROC of 0.9043, indicating its effectiveness in predicting mortality, even in cases with lower-severity injuries. For patients with ISSs &gt;= 9, the model maintained high sensitivity (93.60%) and balanced accuracy (77.08%), proving its reliability in more severe injury cases. External validation demonstrated the AI model's high predictive accuracy and reliability in assessing in-hospital mortality risk among trauma patients across different injury severities and heterogeneous cohorts. These findings support the model's potential integration into emergency departments and offer a significant tool for enhancing patient triage and treatment protocols.</t>
  </si>
  <si>
    <t>Lee, Seungseok; Kim, Do Wan; Oh, Na-eun; Lee, Hayeon; Park, Seoyoung; Yon, Dong Keon; Kang, Wu Seong; Lee, Jinseok</t>
  </si>
  <si>
    <t>Lee, J (corresponding author), Kyung Hee Univ, Elect Informat Coll Bldg, Dept Biomed Engn, Elect Informat Coll Bldg,Global Campus, Yongin 446701, Gyeonggi, South Korea.; Kang, WS (corresponding author), Cheju Halla Gen Hosp, Jeju Reg Trauma Ctr, Dept Trauma Surg, 65 Doryeong Ro, Jeju Si, Jeju Do, South Korea.</t>
  </si>
  <si>
    <t>wuseongkang@naver.com; gonasago@khu.ac.kr</t>
  </si>
  <si>
    <t>MSIT (Ministry of Science and ICT), Korea, under the ITRC (Information Technology Research Center) support program [IITP-2024-RS-2024-00438239]; Institute of Information &amp; Communications Technology Planning &amp; Evaluation (IITP) grant - Korea government (MSIT) [RS-2024-00509257]; Chonnam National University Hospital Biomedical Research Institute [BCRI24068]</t>
  </si>
  <si>
    <t>MSIT (Ministry of Science and ICT), Korea, under the ITRC (Information Technology Research Center) support program (Ministry of Science &amp; ICT (MMSTI)); Institute of Information &amp; Communications Technology Planning &amp; Evaluation (IITP) grant - Korea government (MSIT) (Institute for Information &amp; Communication Technology Planning &amp; Evaluation (IITP), Republic of Korea); Chonnam National University Hospital Biomedical Research Institute</t>
  </si>
  <si>
    <t>This research was supported by the MSIT (Ministry of Science and ICT), Korea, under the ITRC (Information Technology Research Center) support program (IITP-2024-RS-2024-00438239), the Institute of Information &amp; Communications Technology Planning &amp; Evaluation (IITP) grant funded by the Korea government (MSIT) (No. RS-2024-00509257, Global AI Frontier Lab), and Chonnam National University Hospital Biomedical Research Institute (BCRI24068).</t>
  </si>
  <si>
    <t>[Lee, Seungseok; Oh, Na-eun; Lee, Jinseok] Kyung Hee Univ, Elect Informat Coll Bldg, Dept Biomed Engn, Elect Informat Coll Bldg,Global Campus, Yongin 446701, Gyeonggi, South Korea; [Kim, Do Wan] Chonnam Natl Univ, Chonnam Natl Univ Hosp, Med Sch, Dept Thorac &amp; Cardiovasc Surg, Gwangju, South Korea; [Lee, Hayeon] Kyung Hee Univ, Dept Elect &amp; Informat Convergence Engn, Yongin, South Korea; [Park, Seoyoung; Yon, Dong Keon] Kyung Hee Univ, Med Sci Res Inst, Coll Med, Ctr Digital Hlth, Seoul, South Korea; [Kang, Wu Seong] Cheju Halla Gen Hosp, Jeju Reg Trauma Ctr, Dept Trauma Surg, 65 Doryeong Ro, Jeju Si, Jeju Do, South Korea</t>
  </si>
  <si>
    <t>Kyung Hee University; Chonnam National University; Chonnam National University Hospital; Kyung Hee University; Kyung Hee University</t>
  </si>
  <si>
    <t>External validation of an artificial intelligence model using clinical variables, including ICD-10 codes, for predicting in-hospital mortality among trauma patients: a multicenter retrospective cohort study</t>
  </si>
  <si>
    <t>Artificial Intelligence; In-Hospital mortality; Trauma patients; ICD-10; External validation; Injury Severity score</t>
  </si>
  <si>
    <t>Kang, Wu Seong/AAE-5090-2022; Lee, Jinseok/ACF-1247-2022; Yon, Dong Keon/M-1264-2017; Lee, Hayeon/KDO-7337-2024</t>
  </si>
  <si>
    <t>Kang, Wu Seong/0000-0003-0136-4458; Lee, Jinseok/0000-0002-8580-490X; lee, geono/0009-0003-4201-331X; Yon, Dong Keon/0000-0003-1628-9948; Lee, Hayeon/0009-0000-2403-6241</t>
  </si>
  <si>
    <t>JAN 7 2025</t>
  </si>
  <si>
    <t>1100</t>
  </si>
  <si>
    <t>10.1038/s41598-025-85420-5</t>
  </si>
  <si>
    <t>http://dx.doi.org/10.1038/s41598-025-85420-5</t>
  </si>
  <si>
    <t>R7H2T</t>
  </si>
  <si>
    <t>39775076</t>
  </si>
  <si>
    <t>WOS:001393108700002</t>
  </si>
  <si>
    <t>Zhang, GB; Wang, D; Chen, H; Dai, WC; Fan, XF; Liu, YL; Jiang, L</t>
  </si>
  <si>
    <t>Background: Short-term readmission after hospitalization for acute exacerbation of chronic obstructive pulmonary disease (AECOPD) is common in older adults, yet early risk stratification remains limited. We aimed to develop and validate a 90-day readmission model using early admission data. Methods: This retrospective two-center study used a development cohort from the Affiliated Hospital of North Sichuan Medical College and an external validation cohort from Dazhou Integrated Traditional Chinese and Western Medicine Hospital. Predictors were limited to early admission variables harmonized across sites. The neutrophil-to-lymphocyte ratio (NLR), platelet-to-lymphocyte ratio (PLR), and systemic immune-inflammation index (SII) were derived, with component blood counts removed to reduce collinearity. Feature selection used stability selection with Elastic Net regularization. Five models were trained and compared: multivariable logistic regression, na &amp; iuml;ve Bayes (NB), linear discriminant analysis (LDA), gradient boosting machine (GBM), and extreme gradient boosting (XGBoost). Discrimination was assessed by area under the receiver operating characteristic curve (AUC), with internal validation using bootstrap-derived optimism-corrected AUC and Brier score for overall error. Interpretability was examined with Results: A total of 692 patients were included (development, n=513; external validation, n=179). Six predictors were retained: NLR, SII, D-dimer, frequent exacerbations (FE), body mass index (BMI), and albumin (ALB). No strong multicollinearity was detected (|r| &lt;0.90; variance inflation factors (VIFs) &lt;5). XGBoost showed the best discrimination in the development cohort (AUC=0.892) and remained stable after internal validation (optimism corrected AUC=0.864). In the external cohort, XGBoost again achieved the highest AUC (0.847) with a lower Brier score than alternative models. SHAP analyses indicated D-dimer, NLR, and FE as major contributors and suggested non-linear effects. Conclusion: Using early admission data, we developed and externally validated a 90-day readmission prediction model for older adults hospitalized with AECOPD. XGBoost showed stable performance and clinically interpretable risk patterns, supporting its potential for early risk stratification.</t>
  </si>
  <si>
    <t>Zhang, Guibin; Wang, Dan; Chen, Hang; Dai, Wenchao; Fan, Xingfu; Liu, Yulian; Jiang, Li</t>
  </si>
  <si>
    <t>Jiang, L (corresponding author), Affiliated Hosp, North Sichuan Med Coll, Dept Resp &amp; Crit Care Med, Nanchong 637000, Sichuan, Peoples R China.</t>
  </si>
  <si>
    <t>lanqilily@163.com</t>
  </si>
  <si>
    <t>Sichuan Medical Technology Innovation Research Association [YCH-KY-YCZD2024-287]; National Key R&amp;D Program of China [2023ZD0506106]; Nanchong Municipal Science and Technology Bureau [22ZXKTYJ0001]; Guang'an District Bureau of Education, Science and Technology, and Sports [2024SYF15]; Industry-Academia-Research Innovation Fund for Chinese Universities-Smart Healthcare Innovation Program (Industry Association Special Fund) [2025XH022]; Affiliated Hospital of North Sichuan Medical College Intra-Hospital Research Project [2024PTZK002]</t>
  </si>
  <si>
    <t>Sichuan Medical Technology Innovation Research Association; National Key R&amp;D Program of China (National Key Research &amp; Development Program of China); Nanchong Municipal Science and Technology Bureau; Guang'an District Bureau of Education, Science and Technology, and Sports; Industry-Academia-Research Innovation Fund for Chinese Universities-Smart Healthcare Innovation Program (Industry Association Special Fund); Affiliated Hospital of North Sichuan Medical College Intra-Hospital Research Project</t>
  </si>
  <si>
    <t>This study was jointly supported by the Sichuan Medical Technology Innovation Research Association (YCH-KY-YCZD2024-287) , the National Key R&amp;D Program of China (2023ZD0506106) , Nanchong Municipal Science and Technology Bureau (22ZXKTYJ0001) , Guang'an District Bureau of Education, Science and Technology, and Sports (2024SYF15) ,the Industry-Academia-Research Innovation Fund for Chinese Universities-Smart Healthcare Innovation Program (Industry Association Special Fund) (2025XH022) and the Affiliated Hospital of North Sichuan Medical College Intra-Hospital Research Project (2024PTZK002) .</t>
  </si>
  <si>
    <t>[Zhang, Guibin; Wang, Dan; Chen, Hang; Dai, Wenchao; Jiang, Li] Affiliated Hosp, North Sichuan Med Coll, Dept Resp &amp; Crit Care Med, Nanchong 637000, Sichuan, Peoples R China; [Fan, Xingfu] North Sichuan Med Coll, Affiliated Hosp, Dept Gen Med, Nanchong 637000, Sichuan, Peoples R China; [Liu, Yulian] Dazhou Hosp Integrated Tradit &amp; Western Med, Dept Resp &amp; Crit Care Med, Dazhou 635000, Sichuan, Peoples R China</t>
  </si>
  <si>
    <t>North Sichuan Medical University; North Sichuan Medical University</t>
  </si>
  <si>
    <t>Development and External Validation of a Machine Learning Model for 90-Day Readmission in Hospitalized Older Patients with AECOPD: A Two-Center Study</t>
  </si>
  <si>
    <t>acute exacerbation of chronic obstructive pulmonary disease; 90-day readmission; extreme gradient boosting; external validation; shapley additive explanations; multicohort study</t>
  </si>
  <si>
    <t>ACUTE EXACERBATIONS; DECAF SCORE; MORTALITY; COPD</t>
  </si>
  <si>
    <t>Fan, Xingfu/NJT-1014-2025; Chen, Hang/PGM-6903-2026</t>
  </si>
  <si>
    <t>Chen, Hang/0009-0003-7976-1813</t>
  </si>
  <si>
    <t>602126</t>
  </si>
  <si>
    <t>10.2147/COPD.S602126</t>
  </si>
  <si>
    <t>http://dx.doi.org/10.2147/COPD.S602126</t>
  </si>
  <si>
    <t>HS3QH</t>
  </si>
  <si>
    <t>42117054</t>
  </si>
  <si>
    <t>WOS:001761542100001</t>
  </si>
  <si>
    <t>Arockia, K; Bottini, M; Klukowska, AM; El-Hajj, VG; Gharios, M; Buwaider, A; Serra, C; Regli, L; Schröder, ML; Staartjes, VE</t>
  </si>
  <si>
    <t>Purpose Simple generalized thresholds for assessing functional impairment in clinical testing are limited, as they fail to consider patient-specific properties such as age, body height, and body mass index. A previously developed machine learning-based model for personalized testing using the five-repetition sit-to-stand (5R-STS) test, that estimates personalized upper limits of normal (ULN) to identify objective functional impairment (OFI) was externally validated to evaluate its performance and generalizability across cohorts.Methods Only healthy individuals were included in the study. After the machine learning-based model was applied to this external dataset, expected and observed 5R-STS test times were compared using standardized performance assessment metrics including root mean square error (RMSE), mean absolute error (MAE), and R2 values. Additionally, a Bland-Altman analysis was performed to assess agreement between observed and expected values. Validation of the expected ULN involved comparing the proportion of individuals exceeding their personalized thresholds with the corresponding proportion based on the generalized threshold. Subgroup analyses by test setting and country of residence were additionally performed, along with a graphical assessment of model performance.Results Application of the model to 171 healthy individuals resulted in an RMSE of 2.33 (95% CI: 1.93 to 2.73) seconds, MAE of 1.70 (95% CI: 1.47 to 1.94) seconds, and R2 of 0.064 (95% CI: -0.25 to 0.15). The Bland-Altman analysis demonstrated a mean bias of -1.1 s. Based on the personalized ULNs, OFI was classified in 17.5% of individuals, compared to 6.4% when using the generalized threshold of 10.4 s. These analyses indicated limited external generalization, with acceptable approximation for some faster and mid-range test times but systematic underestimation of slower test times. Multivariable regression analyses showed that remote testing was independently associated with greater prediction bias and higher odds of personalized ULN exceedance compared with supervised testing (adjusted mean difference: - 0.90 s; adjusted OR: 10.7). Exploratory country-of-residence analyses showed differences across the three largest national subgroups. 130 (76.1%) rated ease of use as excellent, and 145 (84.9%) rated clarity of instructions as excellent. 143 participants (83.6%) indicated that they prefer the 5R-STS over a battery of questionnaires.Conclusions In the context of personalized testing, moving toward individually focused precision assessment of patients requires rigorous external validation to ensure the robustness of such applied computational methods. In this external validation, the model demonstrated limited generalization including a systematic underestimation of slower test times and insufficient personalized ULN calibration. These findings indicate that external validity of models derived from single-center data can be limited, underscoring the importance of comprehensive external validation and, potentially, multicenter retraining before clinical implementation.</t>
  </si>
  <si>
    <t>Arockia, Kenneth; Bottini, Massimo; Klukowska, Anita M.; El-Hajj, Victor Gabriel; Gharios, Maria; Buwaider, Ali; Serra, Carlo; Regli, Luca; Schroder, Marc L.; Staartjes, Victor E.</t>
  </si>
  <si>
    <t>Staartjes, VE (corresponding author), Univ Zurich, Univ Hosp Zurich, Machine Intelligence Clin Neurosci &amp; Microsurg Neu, Dept Neurosurg,Clin Neurosci Ctr, Frauenklin Str 10, CH-8091 Zurich, Switzerland.; Staartjes, VE (corresponding author), Karolinska Inst, Dept Clin Neurosci, Stockholm, Sweden.; Staartjes, VE (corresponding author), Lowenstromska Hosp, Capio Spine Ctr Stockholm, Stockholm, Sweden.</t>
  </si>
  <si>
    <t>victoregon.staartjes@usz.ch</t>
  </si>
  <si>
    <t>University of Zurich</t>
  </si>
  <si>
    <t>University of Zurich (University of Zurich)</t>
  </si>
  <si>
    <t>Open access funding provided by University of Zurich</t>
  </si>
  <si>
    <t>[Arockia, Kenneth; Bottini, Massimo; Serra, Carlo; Regli, Luca; Staartjes, Victor E.] Univ Zurich, Univ Hosp Zurich, Machine Intelligence Clin Neurosci &amp; Microsurg Neu, Dept Neurosurg,Clin Neurosci Ctr, Frauenklin Str 10, CH-8091 Zurich, Switzerland; [Klukowska, Anita M.] Med Univ Bialystok, Dept Neurosurg, Bialystok, Poland; [El-Hajj, Victor Gabriel; Gharios, Maria; Buwaider, Ali; Staartjes, Victor E.] Karolinska Inst, Dept Clin Neurosci, Stockholm, Sweden; [Schroder, Marc L.] Med Univ Innsbruck, Dept Neurosurg, Innsbruck, Austria; [Staartjes, Victor E.] Lowenstromska Hosp, Capio Spine Ctr Stockholm, Stockholm, Sweden</t>
  </si>
  <si>
    <t>University of Zurich; Medical University of Bialystok; Karolinska Institutet; Medical University of Innsbruck</t>
  </si>
  <si>
    <t>External validation of a machine learning-based web application for personalized testing of objective functioning using the five-repetition sit-to-stand test</t>
  </si>
  <si>
    <t>ACTA NEUROCHIRURGICA</t>
  </si>
  <si>
    <t>Machine learning; Personalized medicine; Precision medicine; Five-repetition sit-to-stand test; Objective functional testing; External validation</t>
  </si>
  <si>
    <t>0001-6268</t>
  </si>
  <si>
    <t>0942-0940</t>
  </si>
  <si>
    <t>ACTA NEUROCHIR</t>
  </si>
  <si>
    <t>Acta Neurochir.</t>
  </si>
  <si>
    <t>AUG 18 2026</t>
  </si>
  <si>
    <t>168</t>
  </si>
  <si>
    <t>209</t>
  </si>
  <si>
    <t>10.1007/s00701-026-07005-z</t>
  </si>
  <si>
    <t>http://dx.doi.org/10.1007/s00701-026-07005-z</t>
  </si>
  <si>
    <t>MX3WA</t>
  </si>
  <si>
    <t>42616129</t>
  </si>
  <si>
    <t>WOS:001853143100001</t>
  </si>
  <si>
    <t>Li, S; Wang, JK; Zhang, ZX; Ren, CN; He, DW</t>
  </si>
  <si>
    <t>Purpose: Neuroblastoma (NB) is a childhood malignancy with a poor prognosis and a propensity for distant metastasis (DM). We aimed to establish machine learning (ML) based model to accurately predict risk of DM and prognosis of NB patients with DM. Methods: We analyzed NB patients from the Surveillance, Epidemiology, and End Results (SEER) database between 2000 and 2020. Univariate and multivariate logistic analysis were employed to select meaning variables. Recursive Feature Elimination (RFE) method based on 6 ML algorithms was utilized in feature selection. To construct predictive model, 13 ML algorithms were evaluated by area under the operating characteristic curve (AUC), accuracy, sensitivity, specificity, precision, cross-entropy, Brier scores, Balanced Accuracy and F-beta score. An optimal ML model was constructed to predict DM, and the predictive results were explained by SHapley Additive exPlanations (SHAP) framework. Meanwhile, 101 ML algorithm combinations were developed to select the best model with highest C-index to predict prognosis of NB patients with DM. Results: A total of 1,668 NB patients from SEER database was consecutively enrolled. We identified that tumor primary site, grade, surgery type, regional lymph nodes, radiotherapy and chemotherapy are significant risk factors for DM. CatBoost model was selected as the best prediction model, and AUC was 0.846 (95 %CI: [0.804,0.899]), 0.834 (95 %CI: [0.796,0.873]) and 0.813 (95 %CI: [0.776,0.852]) in training, internal test and external test sets, with 0.777 accuracy, 0.839 sensitivity, 0.72 specificity and 0.731 precision in training set. Grade, chemotherapy and radiotherapy had the greatest effects on DM according to SHAP results. For prognosis prediction, "RSF + GBM" algorithm was the best prognostic model with C-index of 0.656, 0.611 and 0.629 in training, internal test and external test sets. Conclusions: Our ML models demonstrate excellent accuracy and reliability, offering more precise personalized metastasis diagnosis and prognostic prediction to NB patients.</t>
  </si>
  <si>
    <t>Li, Shan; Wang, Jinkui; Zhang, Zhaoxia; Ren, Chunnian; He, Dawei</t>
  </si>
  <si>
    <t>He, DW (corresponding author), Chongqing Med Univ, Childrens Hosp, Zhongshan 2nd Rd 136, Chongqing, Peoples R China.</t>
  </si>
  <si>
    <t>hedawei@hospital.cqmu.edu.cn</t>
  </si>
  <si>
    <t>[Li, Shan; Wang, Jinkui; Zhang, Zhaoxia; Ren, Chunnian; He, Dawei] Childrens Hosp Chongqing Med Univ, Dept Urol, Chongqing 400014, Peoples R China; [Li, Shan; Wang, Jinkui; Zhang, Zhaoxia; Ren, Chunnian; He, Dawei] Chongqing Key Lab Children Urogenital Dev &amp; Tissue, Chongqing 400014, Peoples R China; [Li, Shan; Wang, Jinkui; Zhang, Zhaoxia; Ren, Chunnian; He, Dawei] Chongqing Med Univ, Natl Clin Res Ctr Child Hlth &amp; Disorders, Chongqing Key Lab Pediat, Childrens Hosp,China Int Sci &amp; Technol Cooperat Ba, Chongqing 400014, Peoples R China</t>
  </si>
  <si>
    <t>Individual risk and prognostic value prediction by interpretable machine learning for distant metastasis in neuroblastoma: A population-based study and an external validation</t>
  </si>
  <si>
    <t>Machine Learning; Neuroblastoma; Distant Metastasis; Prognosis Prediction; SEER</t>
  </si>
  <si>
    <t>SURVIVAL</t>
  </si>
  <si>
    <t>zhang, zhaoxiao/IZE-3932-2023; Li, Shan/LZH-9949-2025</t>
  </si>
  <si>
    <t>105813</t>
  </si>
  <si>
    <t>10.1016/j.ijmedinf.2025.105813</t>
  </si>
  <si>
    <t>http://dx.doi.org/10.1016/j.ijmedinf.2025.105813</t>
  </si>
  <si>
    <t>X0R9B</t>
  </si>
  <si>
    <t>39904180</t>
  </si>
  <si>
    <t>WOS:001422539400001</t>
  </si>
  <si>
    <t>Li, XB; Zhang, CW; Wang, JL; Ye, CX; Zhu, JQ; Zhuge, QC</t>
  </si>
  <si>
    <t>Background Postoperative pneumonia (POP) is one of the primary complications after aneurysmal subarachnoid hemorrhage (aSAH) and is associated with postoperative mortality, extended hospital stay, and increased medical fee. Early identification of pneumonia and more aggressive treatment can improve patient outcomes. We aimed to develop a model to predict POP in aSAH patients using machine learning (ML) methods.Methods This internal cohort study included 706 patients with aSAH undergoing intracranial aneurysm embolization or aneurysm clipping. The cohort was randomly split into a train set (80%) and a testing set (20%). Perioperative information was collected from participants to establish 6 machine learning models for predicting POP after surgical treatment. The area under the receiver operating characteristic curve (AUC), precision-recall curve were used to assess the accuracy, discriminative power, and clinical validity of the predictions. The final model was validated using an external validation set of 97 samples from the Medical Information Mart for Intensive Care IV (MIMIC-IV) database.Results In this study, 15.01% of patients in the training set and 12.06% in the testing set with POP after underwent surgery. Multivariate logistic regression analysis showed that mechanical ventilation time (MVT), Glasgow Coma Scale (GCS), Smoking history, albumin level, neutrophil-to-albumin Ratio (NAR), c-reactive protein (CRP)-to-albumin ratio (CAR) were independent predictors of POP. The logistic regression (LR) model presented significantly better predictive performance (AUC: 0.91) than other models and also performed well in the external validation set (AUC: 0.89).Conclusion A machine learning model for predicting POP in aSAH patients was successfully developed using a machine learning algorithm based on six perioperative variables, which could guide high-risk POP patients to take appropriate preventive measures.</t>
  </si>
  <si>
    <t>Li, Xinbo; Zhang, Chengwei; Wang, Jiale; Ye, Chengxing; Zhu, Jiaqian; Zhuge, Qichuan</t>
  </si>
  <si>
    <t>Zhuge, QC (corresponding author), Wenzhou Med Univ, Affiliated Hosp 1, Dept Neurosurg, Wenzhou, Peoples R China.; Zhuge, QC (corresponding author), Wenzhou Med Univ, Wenzhou, Peoples R China.</t>
  </si>
  <si>
    <t>qc.zhuge@wmu.edu.cn</t>
  </si>
  <si>
    <t>Wenzhou Science and Technology Bureau Major Project [ZS2017007]; Key project of International Cooperation of National Natural Science Foundation [81820108011]; Extreme Smart Analysis platform</t>
  </si>
  <si>
    <t>Wenzhou Science and Technology Bureau Major Project; Key project of International Cooperation of National Natural Science Foundation; Extreme Smart Analysis platform</t>
  </si>
  <si>
    <t>The author(s) declare financial support was received for the research, authorship, and/or publication of this article. This study received funding from Wenzhou Science and Technology Bureau Major Project ZS2017007 and Key project of International Cooperation of National Natural Science Foundation 81820108011. This work was supported by Extreme Smart Analysis platform (https://www.xsmartanalysis.com/).</t>
  </si>
  <si>
    <t>[Li, Xinbo; Zhang, Chengwei; Wang, Jiale; Ye, Chengxing; Zhuge, Qichuan] Wenzhou Med Univ, Affiliated Hosp 1, Dept Neurosurg, Wenzhou, Peoples R China; [Li, Xinbo; Zhang, Chengwei; Wang, Jiale; Ye, Chengxing; Zhu, Jiaqian; Zhuge, Qichuan] Wenzhou Med Univ, Wenzhou, Peoples R China</t>
  </si>
  <si>
    <t>Wenzhou Medical University; Wenzhou Medical University</t>
  </si>
  <si>
    <t>Development and performance assessment of novel machine learning models for predicting postoperative pneumonia in aneurysmal subarachnoid hemorrhage patients: external validation in MIMIC-IV</t>
  </si>
  <si>
    <t>aneurysmal subarachnoid hemorrhage; postoperative pneumonia; machine learning; endovascular treatment; prediction</t>
  </si>
  <si>
    <t>CASE-FATALITY RATES; NOMOGRAM; ALBUMIN</t>
  </si>
  <si>
    <t>chengwei, zhang/KIA-7406-2024</t>
  </si>
  <si>
    <t>chengwei, zhang/0000-0003-3586-7475</t>
  </si>
  <si>
    <t>APR 15 2024</t>
  </si>
  <si>
    <t>1341252</t>
  </si>
  <si>
    <t>10.3389/fneur.2024.1341252</t>
  </si>
  <si>
    <t>http://dx.doi.org/10.3389/fneur.2024.1341252</t>
  </si>
  <si>
    <t>OS9K3</t>
  </si>
  <si>
    <t>38685951</t>
  </si>
  <si>
    <t>WOS:001209384400001</t>
  </si>
  <si>
    <t>Elledge, CR; LaVigne, AW; Fiksel, J; Wright, JL; McNutt, T; Kleinberg, LR; Hu, C; Smith, TJ; Zeger, S; DeWeese, TL; Alcorn, SR</t>
  </si>
  <si>
    <t>PURPOSE The Bone Metastases Ensemble Trees for Survival (BMETS) model uses a machine learning algorithm to estimate survival time following consultation for palliative radiation therapy for symptomatic bone metastases (SBM). BMETS was developed at a tertiary-care, academic medical center, but its validity and stability when applied to external data sets are unknown.PATIENTS AND METHODS Patients treated with palliative radiation therapy for SBM from May 2013 to May 2016 at two hospital-based community radiation oncology clinics were included, and medical records were retrospectively reviewed to collect model covariates and survival time. The Kaplan-Meier method was used to estimate overall survival from consultation to death or last follow-up. Model discrimination was estimated using time-dependent area under the curve (tAUC), which was calculated using survival predictions from BMETS based on the initial training data set.RESULTS A total of 216 sites of SBM were treated in 182 patients. Most common histologies were breast (27%), lung (23%), and prostate (23%). Compared with the BMETS training set, the external validation population was older (mean age, 67 v 62 years; P&lt;.001), had more primary breast (27% v 19%; P=.03) and prostate cancer (20% v 12%; P=.01), and survived longer (median, 10.7 v 6.4 months). When the BMETS model was applied to the external data set, tAUC values at 3, 6, and 12 months were 0.82, 0.77, and 0.77, respectively. When refit with data from the combined training and external validation sets, tAUC remained &gt;= 0.79.CONCLUSION BMETS maintained high discriminative ability when applied to an external validation set and when refit with new data, supporting its generalizability, stability, and the feasibility of dynamic modeling. (C) 2021 by American Society of Clinical Oncology</t>
  </si>
  <si>
    <t>Elledge, Christen R.; LaVigne, Anna W.; Fiksel, Jacob; Wright, Jean L.; McNutt, Todd; Kleinberg, Lawrence R.; Hu, Chen; Smith, Thomas J.; Zeger, Scott; DeWeese, Theodore L.; Alcorn, Sara R.</t>
  </si>
  <si>
    <t>Alcorn, SR (corresponding author), Johns Hopkins Univ, Dept Radiat Oncol &amp; Mol Radiat Sci, Sch Med, 401 North Broadway,Suite 1440, Baltimore, MD 21231 USA.</t>
  </si>
  <si>
    <t>salcorn2@jhmi.edu</t>
  </si>
  <si>
    <t>[Elledge, Christen R.; LaVigne, Anna W.; Wright, Jean L.; McNutt, Todd; Kleinberg, Lawrence R.; DeWeese, Theodore L.; Alcorn, Sara R.] Johns Hopkins Univ, Dept Radiat Oncol &amp; Mol Radiat Sci, Sch Med, 401 North Broadway,Suite 1440, Baltimore, MD 21231 USA; [Fiksel, Jacob; Zeger, Scott] Johns Hopkins Bloomberg Sch Publ Hlth, Dept Biostat, Baltimore, MD USA; [Hu, Chen] Johns Hopkins Sch Med, Dept Oncol, Baltimore, MD USA</t>
  </si>
  <si>
    <t>Johns Hopkins University; Johns Hopkins Medicine; Johns Hopkins University; Johns Hopkins Bloomberg School of Public Health; Johns Hopkins University; Johns Hopkins Medicine</t>
  </si>
  <si>
    <t>External Validation of the Bone Metastases Ensemble Trees for Survival (BMETS) Machine Learning Model to Predict Survival in Patients With Symptomatic Bone Metastases</t>
  </si>
  <si>
    <t>RECURSIVE PARTITIONING ANALYSIS; PALLIATIVE PERFORMANCE SCALE; ADVANCED CANCER-PATIENTS; PROGNOSTIC SCORE; RADIATION-THERAPY; BRAIN METASTASES; LIFE EXPECTANCY; INDEX; CARE; COMMUNICATION</t>
  </si>
  <si>
    <t>Hu, Chen/D-1208-2018</t>
  </si>
  <si>
    <t>Zeger, Scott/0000-0001-8907-1603; Hu, Chen/0000-0003-4672-1981; Elledge, Christen/0000-0002-6047-3219; Wright, Jean/0000-0001-5775-6544; Smith, Thomas/0000-0003-3040-6434</t>
  </si>
  <si>
    <t>304</t>
  </si>
  <si>
    <t>314</t>
  </si>
  <si>
    <t>10.1200/CCI.20.00128</t>
  </si>
  <si>
    <t>http://dx.doi.org/10.1200/CCI.20.00128</t>
  </si>
  <si>
    <t>3Q9YI</t>
  </si>
  <si>
    <t>33760638</t>
  </si>
  <si>
    <t>WOS:000838577700010</t>
  </si>
  <si>
    <t>Cheng, Y; Li, LQ; Zhang, J; Zhou, JF; Chen, LH; Shi, HW; Wang, Y; He, W; Yang, F</t>
  </si>
  <si>
    <t>Background Intraoperative acquired pressure injury (IAPI) represents a major risk in elderly cardiac surgery patients due to skin fragility and impaired perfusion. Reliable risk prediction is essential for prevention and personalized care. Methods Using data from 12,222 patients aged &gt;= 60 years in the MIMIC-IV database, we developed machine learning models with 24 clinically relevant features. Seven classifiers were trained and integrated via a stacking ensemble. Internal evaluation employed stratified fivefold cross-validation with 10 repetitions and bootstrapped confidence intervals (2,000 resamples). Multiple imputations (m = 2000) quantified uncertainty from missing data. External validation was performed in 355 patients from Nanjing First Hospital, with resampling to address class imbalance. Calibration metrics and SHAP analysis with bootstrapping were used to assess reliability and interpretability. Results The ensemble model showed strong discrimination in both internal (AUC = 0.857) and external (AUC = 0.783) validation, with stable performance across imputations (mean AUC: 0.997 +/- 0.004). Calibration analysis confirmed good agreement between predicted and observed risks. Key predictors as atrial fibrillation, lymphocyte count, and operative time were clinically plausible and robustly identified. Conclusions This study presents an externally validated and interpretable ensemble learning framework for early IAPI risk prediction in elderly cardiac surgery patients. Incorporating multiple imputation, bootstrapped calibration, and SHAP-based robustness, this approach improves methodological transparency and offers a clinically actionable tool for perioperative risk stratification and prevention.</t>
  </si>
  <si>
    <t>Cheng, Yi; Li, Leqi; Zhang, Jiang; Zhou, Jifang; Chen, Lihai; Shi, Hongwei; Wang, Yun; He, Wei; Yang, Fan</t>
  </si>
  <si>
    <t>Yang, F (corresponding author), China Pharmaceut Univ, Sch Sci, Nanjing, Peoples R China.; Wang, Y; He, W (corresponding author), Nanjing Med Univ, Nanjing Hosp 1, Dept Anesthesiol Perioperat &amp; Pain Med, Nanjing, Peoples R China.</t>
  </si>
  <si>
    <t>450239619@qq.com; wangyun7479@163.com; yf@cpu.edu.cn</t>
  </si>
  <si>
    <t>Nanjing GaoFeng Talent Project [YY-104]; National Innovation and Entrepreneurship Training Program for Undergraduate [202410316288]</t>
  </si>
  <si>
    <t>Nanjing GaoFeng Talent Project; National Innovation and Entrepreneurship Training Program for Undergraduate</t>
  </si>
  <si>
    <t>This study was sponsored by the Nanjing GaoFeng Talent Project (YY-104, PI: Dr. Lihai Chen) and the National Innovation and Entrepreneurship Training Program for Undergraduate (No.202410316288). The content is solely the responsibility of the authors and does not necessarily represent the official views of the funding institution.</t>
  </si>
  <si>
    <t>[Cheng, Yi; Li, Leqi; Yang, Fan] China Pharmaceut Univ, Sch Sci, Nanjing, Peoples R China; [Zhang, Jiang; Chen, Lihai; Shi, Hongwei; Wang, Yun; He, Wei] Nanjing Med Univ, Nanjing Hosp 1, Dept Anesthesiol Perioperat &amp; Pain Med, Nanjing, Peoples R China; [Zhou, Jifang] China Pharmaceut Univ, Sch Int Pharmaceut Business, Nanjing, Peoples R China</t>
  </si>
  <si>
    <t>China Pharmaceutical University; Nanjing Medical University; China Pharmaceutical University</t>
  </si>
  <si>
    <t>Prediction of intraoperative acquired pressure injury in elderly cardiac surgery patients via machine learning: model development with the MIMIC-IV and external validation</t>
  </si>
  <si>
    <t>Intraoperative acquired pressure injury; Prediction model; Risk factor; Machine learning; Ensemble model; SHAP framewok</t>
  </si>
  <si>
    <t>RISK-FACTORS; PREVENTION</t>
  </si>
  <si>
    <t>chen, lihai/AFS-5864-2022; /AGT-5988-2022</t>
  </si>
  <si>
    <t>DEC 29 2025</t>
  </si>
  <si>
    <t>10.1186/s12911-025-03325-9</t>
  </si>
  <si>
    <t>http://dx.doi.org/10.1186/s12911-025-03325-9</t>
  </si>
  <si>
    <t>CX2CC</t>
  </si>
  <si>
    <t>41466406</t>
  </si>
  <si>
    <t>WOS:001676564700001</t>
  </si>
  <si>
    <t>Singh, AK; Ma, SJ; Blakaj, D; Zhu, SM; Almeida, ND; Koempel, A; Yuan, GW; Wang, GC; Wooten, K; Gupta, V; McSpadden, R; Kuriakose, MA; Markiewicz, MR; Yao, S; Hicks, WL Jr; Seshadri, M; Repasky, EA; Bouchard, EG; Farrugia, MK; Yu, H</t>
  </si>
  <si>
    <t>Importance: Patient with head and neck cancer of the oropharynx (HNC-OROP) undergo curative-intent definitive or post-operative radiation therapy. The systemic inflammation response index (SIRI) has independent prognostic capacity in HNC-OROP. We hypothesized that the use of SIRI may produce a parsimonious model of HNC-OROP outcomes. Objective: We aimed to investigate the prognostic utility of systemic inflammatory response index (SIRI) in oropharyngeal head and neck cancer patients who underwent radiation therapy. Design, Setting, and Participants: Random survival forest (RSF) machine learning was used to model survival in 568 oropharyngeal cancer patients in this retrospective cohort study. SIRI was calculated via pre-treatment bloodwork. Model validation was performed in an external cohort of 421 oropharyngeal cancer patients. Exposures: Exposure was curative-intent definitive or post-operative radiation therapy for head and neck cancer of the oropharynx (HNC-OROP). Results: This is a retrospective study with 568 and 421 patients in the Roswell Park and external Ohio State University cohorts. We evaluated full and reduced RSF models and a robust decision tree model. The C-index of the models was 0.758 (RSF full), 0.725 (RSF reduced), and 0.702 (decision tree). The incorporation of SIRI (with performance status and smoking history) into a machine learning model identified three risk-groups that significantly stratified overall survival (p &lt; 0.0001). These findings were validated in the external validation cohort (p = 0.0019). Progression-free survival was also significantly different for the three groups in the validation cohort (p = 0.0025). Conclusions and Relevance: An integrated machine learning model using SIRI, performance status, and smoking history was successfully developed and externally validated in oropharyngeal head and neck cancer patients.</t>
  </si>
  <si>
    <t>Singh, Anurag K.; Ma, Sung Jun; Blakaj, Dukagjin; Zhu, Simeng; Almeida, Neil D.; Koempel, Andrew; Yuan, Guangwei; Wang, Grace; Wooten, Kimberly; Gupta, Vishal; McSpadden, Ryan; Kuriakose, Moni A.; Markiewicz, Michael R.; Yao, Song; Hicks Jr, Wesley L.; Seshadri, Mukund; Repasky, Elizabeth A.; Bouchard, Elizabeth G.; Farrugia, Mark K.; Yu, Han</t>
  </si>
  <si>
    <t>Singh, AK (corresponding author), Roswell Park Comprehens Canc Ctr, Dept Radiat Med, Elm &amp; Carlton St, Buffalo, NY 14203 USA.; Yu, H (corresponding author), Roswell Park Comprehens Canc Ctr, Dept Biostat &amp; Bioinformat, Elm &amp; Carlton St, Buffalo, NY 14203 USA.</t>
  </si>
  <si>
    <t>grwang345@gmail.com; kimberly.wooten@roswellpark.org; han.yu@roswellpark.org; anurag.singh@roswellpark.org; vishal.gupta@roswellpark.org</t>
  </si>
  <si>
    <t>National Cancer Institute Cancer Center [P30CA016056-47]</t>
  </si>
  <si>
    <t>National Cancer Institute Cancer Center (United States Department of Health &amp; Human Services, National Institutes of Health (NIH) - USA, NIH National Cancer Institute (NCI))</t>
  </si>
  <si>
    <t>This research was supported by the National Cancer Institute Cancer Center Support Grant (P30CA016056-47). The funding source had no role in the design of this study and did not have any role during its execution, analyses, interpretation of the data, or decision to submit results.</t>
  </si>
  <si>
    <t>[Singh, Anurag K.; Almeida, Neil D.; Farrugia, Mark K.] Roswell Park Comprehens Canc Ctr, Dept Radiat Med, Elm &amp; Carlton St, Buffalo, NY 14203 USA; [Ma, Sung Jun; Blakaj, Dukagjin; Zhu, Simeng; Koempel, Andrew] Ohio State Univ, Comprehens Canc Ctr, Arthur G James Canc Hosp, Dept Radiat Oncol, 460 West 10th Ave, Columbus, OH 43210 USA; [Ma, Sung Jun; Blakaj, Dukagjin; Zhu, Simeng; Koempel, Andrew] Ohio State Univ, Richard J Solove Res Inst, Comprehens Canc Ctr, 460 West 10th Ave, Columbus, OH 43210 USA; [Yuan, Guangwei; Wang, Grace; Yu, Han] Roswell Park Comprehens Canc Ctr, Dept Biostat &amp; Bioinformat, Elm &amp; Carlton St, Buffalo, NY 14203 USA; [Wooten, Kimberly; Gupta, Vishal; McSpadden, Ryan; Kuriakose, Moni A.; Hicks Jr, Wesley L.] Roswell Park Comprehens Canc Ctr, Dept Head &amp; Neck Surg, Elm &amp; Carlton St, Buffalo, NY 14203 USA; [Markiewicz, Michael R.] SUNY Buffalo, Sch Dent Med, Dept Oral &amp; Maxillofacial Surg, 3435 Main St, Buffalo, NY 14214 USA; [Markiewicz, Michael R.] SUNY Buffalo, Jacobs Sch Med &amp; Biomed Sci, Dept Neurosurg, Dept Surg, 955 Main St, Buffalo, NY 14203 USA; [Yao, Song; Bouchard, Elizabeth G.] Roswell Park Comprehens Canc Ctr, Dept Canc Prevent &amp; Control, Elm &amp; Carlton St, Buffalo, NY 14203 USA; [Seshadri, Mukund] Roswell Park Comprehens Canc Ctr, Dept Oral Oncol, Elm &amp; Carlton St, Buffalo, NY 14263 USA; [Repasky, Elizabeth A.] Roswell Park Comprehens Canc Ctr, Dept Immunol, Elm &amp; Carlton St, Buffalo, NY 14203 USA</t>
  </si>
  <si>
    <t>Roswell Park Comprehensive Cancer Center; University System of Ohio; Ohio State University; James Cancer Hospital &amp; Solove Research Institute; Ohio State University; University System of Ohio; Ohio State University; James Cancer Hospital &amp; Solove Research Institute; Roswell Park Comprehensive Cancer Center; Roswell Park Comprehensive Cancer Center; State University of New York (SUNY) System; University at Buffalo, SUNY; University at Albany, SUNY; University at Buffalo, SUNY; University at Albany, SUNY; University at Buffalo, SUNY; State University of New York (SUNY) System; University at Buffalo, SUNY; Roswell Park Comprehensive Cancer Center; Roswell Park Comprehensive Cancer Center; Roswell Park Comprehensive Cancer Center</t>
  </si>
  <si>
    <t>Development and External Validation of Integrated Machine Learning-Based Prognostic Model in Oropharyngeal Head and Neck Cancer Using the Systemic Inflammatory Response Index</t>
  </si>
  <si>
    <t>oropharynx; neutrophil; lymphocyte; monocyte; squamous cell carcinoma</t>
  </si>
  <si>
    <t>Wooten, Kimberly/KJC-8491-2024</t>
  </si>
  <si>
    <t>Gupta, Vishal/0000-0001-5630-6672; McSpadden, Ryan/0000-0002-6249-6772; Zhu, Simeng/0000-0003-0850-6690; Ma, Sung Jun/0000-0002-0838-3996; Farrugia, Mark/0000-0002-0261-0334; Kuriakose, Moni/0000-0003-4229-752X; Blakaj, Dukagjin/0000-0002-1718-9642</t>
  </si>
  <si>
    <t>NOV 28 2025</t>
  </si>
  <si>
    <t>3820</t>
  </si>
  <si>
    <t>10.3390/cancers17233820</t>
  </si>
  <si>
    <t>http://dx.doi.org/10.3390/cancers17233820</t>
  </si>
  <si>
    <t>R1923</t>
  </si>
  <si>
    <t>41375021</t>
  </si>
  <si>
    <t>WOS:001635344900001</t>
  </si>
  <si>
    <t>Zhao, WS; Ruan, GR; Wang, HB; Li, MQ; Hu, D; Xu, XY; Yang, L; Zhao, QS</t>
  </si>
  <si>
    <t>Background: Left ventricular aneurysm (LVA) remains a clinically important structural complication after primary percutaneous coronary intervention (pPCI) in patients with ST-segment elevation myocardial infarction (STEMI). This study aimed to develop and externally validate an interpretable model for predicting LVA after pPCI. Methods: We retrospectively included 1507 patients from the development center and 535 patients from an external validation center. Least absolute shrinkage and selection operator (LASSO) regression and the Boruta algorithm were used for feature selection. Eight routinely available predictors were retained: albumin (ALB), Nterminal pro-B-type natriuretic peptide (NT-proBNP), C-reactive protein (CRP), Killip class &gt;= 2, left ventricular ejection fraction (LVEF), Gensini score, lactate dehydrogenase (LDH), and infarct-related artery involving the left anterior descending artery (IRA-LAD). These variables were incorporated into eight machine learning algorithms. Model performance was evaluated using discrimination, calibration, decision curve analysis (DCA), and classification metrics. SHapley Additive exPlanations (SHAP) was used for model interpretation, and a web-based calculator was developed. Results: Logistic regression showed the most favorable balance between performance and interpretability. The model achieved an area under the receiver operating characteristic curve (AUC) of 0.948 (95% confidence interval [CI], 0.897-0.997) in internal validation and 0.950 (95% CI, 0.908-0.992) in external validation. Calibration and DCA showed acceptable agreement and clinical net benefit. SHAP analysis identified LVEF, NTproBNP, Killip class &gt;= 2, and CRP as major predictors. Conclusions: An interpretable model using routine clinical variables was developed and externally validated for predicting LVA after pPCI in STEMI patients. This model may support individualized risk assessment and followup planning.</t>
  </si>
  <si>
    <t>Zhao, Wensi; Ruan, Guoran; Wang, Hongbin; Li, Mengqing; Hu, Dong; Xu, Xiangyu; Yang, Li; Zhao, Qinshuo</t>
  </si>
  <si>
    <t>Zhao, QS (corresponding author), Wuhan Univ, Dept Cardiol, Renmin Hosp, 238 Jiefang Rd, Wuhan 430060, Peoples R China.</t>
  </si>
  <si>
    <t>qinshuozhao1030@126.com</t>
  </si>
  <si>
    <t>[Zhao, Wensi] Wuhan Univ, Dept Oncol, Renmin Hosp, 238 Jiefang Rd, Wuhan 430060, Peoples R China; [Ruan, Guoran] Wuhan Univ Sci &amp; Technol, Puren Hosp, Dept Cardiol, Wuhan, Hubei, Peoples R China; [Wang, Hongbin] Huazhong Univ Sci &amp; Technol, Hubei Canc Hosp, Tongji Med Coll, Dept Gynecol Oncol, Wuhan 430079, Peoples R China; [Li, Mengqing] Wuhan Univ, Taikang Tongji Wuhan Hosp, Dept Gen Med, Taikang Tongji Clin Coll, Wuhan 430050, Peoples R China; [Hu, Dong] Huazhong Univ Sci &amp; Technol, Cent Hosp Wuhan, Tongji Med Coll, Dept Cardiol, Wuhan, Peoples R China; [Xu, Xiangyu] Shandong Univ, Dept Cardiol, Hosp 2, Jinan 250033, Shandong, Peoples R China; [Yang, Li] Wuhan No 1 Hosp, Wuhan Hosp Tradit Chinese &amp; Western Med, Dept Cardiol, Wuhan, Peoples R China; [Zhao, Qinshuo] Wuhan Univ, Dept Cardiol, Renmin Hosp, 238 Jiefang Rd, Wuhan 430060, Peoples R China</t>
  </si>
  <si>
    <t>Wuhan University; Wuhan University of Science &amp; Technology; Huazhong University of Science &amp; Technology; Wuhan University; Huazhong University of Science &amp; Technology; Shandong University; Wuhan No.1 Hospital; Wuhan University</t>
  </si>
  <si>
    <t>An interpretable machine learning approach to predict left ventricular aneurysm formation following primary PCI in STEMI: A retrospective study with independent external validation</t>
  </si>
  <si>
    <t>ST-segment elevation myocardial infarction; Left ventricular aneurysm; Machine learning; Predictive model; SHAP; Web calculator</t>
  </si>
  <si>
    <t>SELECTION; RISK</t>
  </si>
  <si>
    <t>NOV 1 2026</t>
  </si>
  <si>
    <t>462</t>
  </si>
  <si>
    <t>134702</t>
  </si>
  <si>
    <t>10.1016/j.ijcard.2026.134702</t>
  </si>
  <si>
    <t>http://dx.doi.org/10.1016/j.ijcard.2026.134702</t>
  </si>
  <si>
    <t>ME2FA</t>
  </si>
  <si>
    <t>42520981</t>
  </si>
  <si>
    <t>WOS:001840133800001</t>
  </si>
  <si>
    <t>Das, S; Ahamed, F; Das, A; Das, D; Nandi, J; Banerjee, K</t>
  </si>
  <si>
    <t>Background Anemia is a severe public health problem in India affecting more than half of the population. To reduce its burden on the population, the Government of India under the Anemia Mukt Bharat program has adopted a monitoring strategy for the diagnosis and treatment of anemia. Point-of-care testing (POCT) devices play a pivotal role in testing hemoglobin at a community level where sophisticated laboratory instruments are not available. The majority of the currently available POCT devices are invasive in nature which have their own limitations. A non-invasive method of hemoglobin estimation will address many of the limitations of an invasive POCT instrument, which will further improve people's acceptability for hemoglobin testing. The Non-Invasive Anemia Detection App (NiADA) (Monere AI Private Limited, Kolkata, West Bengal, India), a non-invasive POCT application, uses artificial intelligence (AI) to predict the hemoglobin level from lower eyelid images. This real-time, point-of-care, low-cost solution uses a custom computer vision deep-learning algorithm to determine blood hemoglobin value. Method The study validates an AI-based smartphone application NiADA against laboratory hemoglobin estimation and a widely used point-of-care hemoglobin estimation instrument (HemoCue Hb 301; HemoCue AB, Angelholm, Skane County, Sweden). The study was conducted in a tertiary care hospital in Eastern India and recruited a total of 556 participants. These included 58 pediatric patients, 51 pregnant women, 214 adult females, and 224 adult males. Statistical analysis was performed using Python (Python Software Foundation, Wilmington, Delaware, United States). A p-value of &lt; 0.05 was taken to be significant. Result The mean difference observed between NiADA and laboratory-estimated hemoglobin values came out to be-0.29 g/dL and-0.89 g/dL for adult females and males respectively, and 0.61 g/dL for pregnant women and- 0.69g/dL for the pediatric population. The limits of agreement for NiADA were narrow at 2.77 to-2.18 g/dL for adult females, 3.76 to-1.96 g/dL for adult males, 1.89 to-3.29 g/dL for pregnant women, and 3.28 to-2.08 g/dL for the pediatric population. The sensitivity and specificity of the NiADA application against the laboratory estimation method were 75.8% and 53.8% for adult females, 70.0% and 48.3% for adult males, 23.8% and 90% for pregnant females, and 75% and 57% for the pediatric population. Conclusion As a non-invasive application, NiADA's performance is satisfactory and comparable with minimally invasive tools like HemoCue Hb 301 and other POCT devices.</t>
  </si>
  <si>
    <t>Das, Semanti; Ahamed, Farhad; Das, Aditi; Das, Debjeet; Nandi, Jhuma; Banerjee, Krishanu</t>
  </si>
  <si>
    <t>Banerjee, K (corresponding author), Monere AI, Artificial Intelligence, Lehi, UT 84005 USA.</t>
  </si>
  <si>
    <t>krishanu.banerjee@monere.ai</t>
  </si>
  <si>
    <t>Human subjects: Consent was obtained or waived by all participants in this study. Institutional Ethics Committee, All India Institute of Medical Sciences, Kalyani issued approval IEC/AIIMS/Kalyani/certificate/2024/04. The study complied with the 1964 Helsinki declaration and its later amendments or comparable ethical standards. Animal subjects: All authors have confirmed that this study did not involve animal subjects or tissue. Conflicts of interest: In compliance with the ICMJE uniform disclosure form, all authors declare the following: Payment/services info: All authors have declared that no financial support was received from any organization for the submitted work. Financial relationships: Debjeet Das declare (s) employment from Monere. Jhuma Nandi declare (s) stock/stock options from Monere. Krishanu Banerjee declare (s) stock/stock options from Monere. Intellectual property info: The algorithm of NiADA (Non-invasive Anemia Detect with Artificial Intelligence) is planned for patent submission under the Software As Medical Device (SAMD) category in United States. Other relationships: All authors have declared that there are no other relationships or activities that could appear to have influenced the submitted work.</t>
  </si>
  <si>
    <t>[Das, Semanti] All India Inst Med Sci, Community Med, Kalyani, India; [Ahamed, Farhad] All India Inst Med Sci, Community Med &amp; Family Med, Kalyani, India; [Das, Aditi] All India Inst Med Sci, Pediat, Kalyani, India; [Das, Debjeet] Monere AI, Artificial Intelligence, Kolkata, India; [Nandi, Jhuma] Monere AI, Med Imaging, Princeton, NJ USA; [Banerjee, Krishanu] Monere AI, Artificial Intelligence, Lehi, UT 84005 USA</t>
  </si>
  <si>
    <t>All India Institute of Medical Sciences (AIIMS) Kalyani; All India Institute of Medical Sciences (AIIMS) Kalyani; All India Institute of Medical Sciences (AIIMS) Kalyani</t>
  </si>
  <si>
    <t>NiADA (Non-invasive Anemia Detection App), a Smartphone-Based Application With Artificial Intelligence to Measure Blood Hemoglobin in Real-Time: A Clinical Validation</t>
  </si>
  <si>
    <t>CUREUS JOURNAL OF MEDICAL SCIENCE</t>
  </si>
  <si>
    <t>hemoglobin monitoring; smart phone app; image processing; ai; non-invasive; anemia</t>
  </si>
  <si>
    <t>2168-8184</t>
  </si>
  <si>
    <t>CUREUS J MED SCIENCE</t>
  </si>
  <si>
    <t>Cureus J Med Sci</t>
  </si>
  <si>
    <t>JUL 26 2024</t>
  </si>
  <si>
    <t>e65442</t>
  </si>
  <si>
    <t>10.7759/cureus.65442</t>
  </si>
  <si>
    <t>http://dx.doi.org/10.7759/cureus.65442</t>
  </si>
  <si>
    <t>A1S5M</t>
  </si>
  <si>
    <t>39071070</t>
  </si>
  <si>
    <t>WOS:001280402100012</t>
  </si>
  <si>
    <t>Pantanowitz, L; Quiroga-Garza, GM; Bien, L; Heled, R; Laifenfeld, D; Linhart, C; Sandbank, J; Shach, AA; Shalev, V; Vecsler, M; Michelow, P; Hazelhurst, S; Dhir, R</t>
  </si>
  <si>
    <t>Background There is high demand to develop computer-assisted diagnostic tools to evaluate prostate core needle biopsies (CNBs), but little clinical validation and a lack of clinical deployment of such tools. We report here on a blinded clinical validation study and deployment of an artificial intelligence (AI)-based algorithm in a pathology laboratory for routine clinical use to aid prostate diagnosis.Methods An AI-based algorithm was developed using haematoxylin and eosin (H&amp;E)-stained slides of prostate CNBs digitised with a Philips scanner, which were divided into training (1 357 480 image patches from 549 H&amp;E-stained slides) and internal test (2501 H&amp;E-stained slides) datasets. The algorithm provided slide-level scores for probability of cancer, Gleason score 7-10 (vs Gleason score 6 or atypical small acinar proliferation [ASAP]), Gleason pattern 5, and perineural invasion and calculation of cancer percentage present in CNB material. The algorithm was subsequently validated on an external dataset of 100 consecutive cases (1627 H&amp;E-stained slides) digitised on an Aperio AT2 scanner. In addition, the AI tool was implemented in a pathology laboratory within routine clinical workflow as a second read system to review all prostate CNBs. Algorithm performance was assessed with area under the receiver operating characteristic curve (AUC), specificity, and sensitivity, as well as Pearson's correlation coefficient (Pearson's r) for cancer percentage.Findings The algorithm achieved an AUC of 0.997 (95% CI 0.995 to 0.998) for cancer detection in the internal test set and 0.991 (0.979 to 1.00) in the external validation set. The AUC for distinguishing between a low-grade (Gleason score 6 or ASAP) and high-grade (Gleason score 7-10) cancer diagnosis was 0.941 (0.905 to 0.977) and the AUC for detecting Gleason pattern 5 was 0.971 (0.943 to 0.998) in the external validation set. Cancer percentage calculated by pathologists and the algorithm showed good agreement (r=0.882, 95% CI 0.834 to 0.915; p&lt;0.0001) with a mean bias of -4.14% (-6.36 to -1.91). The algorithm achieved an AUC of 0.957 (0.930 to 0.985) for perineural invasion. In routine practice, the algorithm was used to assess 11 429 H&amp;E-stained slides pertaining to 941 cases leading to 90 Gleason score 7-10 alerts and 560 cancer alerts. 51 (9%) cancer alerts led to additional cuts or stains being ordered, two (4%) of which led to a third opinion request. We report on the first case of missed cancer that was detected by the algorithm.Interpretation This study reports the successful development, external clinical validation, and deployment in clinical practice of an AI-based algorithm to accurately detect, grade, and evaluate clinically relevant findings in digitised slides of prostate CNBs. Copyright (C) 2020 The Author(s). Published by Elsevier Ltd. This is an Open Access article under the CC BY-NC-ND 4.0 license.</t>
  </si>
  <si>
    <t>Pantanowitz, Liron; Quiroga-Garza, Gabriela M.; Bien, Lilach; Heled, Ronen; Laifenfeld, Daphna; Linhart, Chaim; Sandbank, Judith; Shach, Anat Albrecht; Shalev, Varda; Vecsler, Manuela; Michelow, Pamela; Hazelhurst, Scott; Dhir, Rajiv</t>
  </si>
  <si>
    <t>Pantanowitz, L (corresponding author), UPMC, Dept Pathol, Canc Pavil, Pittsburgh, PA 15232 USA.</t>
  </si>
  <si>
    <t>lironp@med.umich.edu</t>
  </si>
  <si>
    <t>Ibex Medical Analytics</t>
  </si>
  <si>
    <t>Ibex Medical Analytics.</t>
  </si>
  <si>
    <t>[Pantanowitz, Liron; Quiroga-Garza, Gabriela M.; Dhir, Rajiv] Univ Pittsburgh, Dept Pathol, Med Ctr, Pittsburgh, PA USA; [Pantanowitz, Liron; Michelow, Pamela] Univ Witwatersrand, Dept Anat Pathol, Johannesburg, South Africa; [Pantanowitz, Liron; Michelow, Pamela] Natl Hlth Lab Serv, Johannesburg, South Africa; [Bien, Lilach; Heled, Ronen; Laifenfeld, Daphna; Linhart, Chaim; Sandbank, Judith; Vecsler, Manuela] Ibex Med Analyt, Tel Aviv, Israel; [Sandbank, Judith] Maccabi Healthcare Serv, Inst Pathol, Rehovot, Israel; [Shach, Anat Albrecht] Shamir Med Ctr, Beer Yaagov, Israel; [Shalev, Varda] Maccabi Healthcare Serv, KSM Res &amp; Innovat Inst, Tel Aviv, Israel; [Hazelhurst, Scott] Univ Witwatersrand, Sch Elect &amp; Informat Engn, Johannesburg, South Africa; [Hazelhurst, Scott] Univ Witwatersrand, Sydney Brenner Inst Mol Biosci, Johannesburg, South Africa</t>
  </si>
  <si>
    <t>Pennsylvania Commonwealth System of Higher Education (PCSHE); University of Pittsburgh; University of Witwatersrand; National Health Laboratory Service; Tel Aviv University; Shamir Medical Center (Assaf Harofeh); University of Witwatersrand; University of Witwatersrand</t>
  </si>
  <si>
    <t>An artificial intelligence algorithm for prostate cancer diagnosis in whole slide images of core needle biopsies: a blinded clinical validation and deployment study</t>
  </si>
  <si>
    <t>Quiroga-Garza, Gabriela/KBC-9551-2024; Pantanowitz, Liron/AFP-8163-2022; Hazelhurst, Scott/A-5591-2009</t>
  </si>
  <si>
    <t>Hazelhurst, Scott/0000-0002-0581-149X</t>
  </si>
  <si>
    <t>271</t>
  </si>
  <si>
    <t>317</t>
  </si>
  <si>
    <t>AUG 2020</t>
  </si>
  <si>
    <t>E407</t>
  </si>
  <si>
    <t>E416</t>
  </si>
  <si>
    <t>NE7RG</t>
  </si>
  <si>
    <t>33328045</t>
  </si>
  <si>
    <t>WOS:000562799500010</t>
  </si>
  <si>
    <t>Zorlu, G; Colak, C</t>
  </si>
  <si>
    <t>Background: Breast cancer remains a leading cause of cancer-related mortality, and reliable computational decision support is increasingly viewed as a complement to expert pathological assessment rather than a replacement for it. Variational quantum classifiers (VQCs) and Quantum Support Vector Machines (QSVMs) have recently been promoted as candidate models for medical classification, yet most published comparisons rely on internal hold-out validation alone and report only a single point estimate of discrimination, omitting calibration, decision-analytic value, and explainability-three ingredients that any clinically credible model must furnish. Methods: We assembled a complete quantum-classical machine learning pipeline and evaluated it under a deliberately stringent protocol designed to expose, rather than conceal, the limitations of current Noisy Intermediate-Scale Quantum (NISQ)-era models. The analytical hypothesis was conservative and stated in advance; in light of saturated classical baselines on this benchmark, we did not anticipate a quantum advantage in raw discrimination, and we framed the study as a methodological probe rather than as a competition. Using the Wisconsin Diagnostic Breast Cancer (WDBC) dataset (n = 569) for development and an independent Wisconsin Original (WBC) cohort (n = 683) for external validation, we benchmarked five classical learners (XGBoost, LightGBM, CatBoost, RandomForest, RBF-SVM), two quantum models (an eight-qubit VQC implemented in PennyLane and a ZZ-feature-map QSVM implemented in Qiskit), and a stacked hybrid ensemble. The evaluation framework combined Optuna-driven hyperparameter optimisation, internal-external cross-validation, and external validation on the independent WBC cohort. Robustness and interpretability were then probed through circuit depth and embedding rotation ablation, depolarising noise stress tests, learning curve and feature stability analysis, decision curve analysis, and dual SHAP-based explanations covering both a direct tree-based explanation and a quantum surrogate. Reporting followed the TRIPOD + AI guideline. Results: On the internal test partition, RBF-SVM achieved the highest discrimination (AUC = 0.998), with XGBoost, LightGBM, CatBoost, the hybrid ensemble, and the VQC clustering between 0.992 and 0.996; the QSVM with a ZZ-fidelity kernel underperformed substantially (AUC = 0.727). Pairwise tests for correlated ROC curves indicated that most differences among top models were not statistically significant. On the external WBC cohort, model rankings reorganised, as RBF-SVM (AUC = 0.986, 95% CI 0.946-0.997), RandomForest (0.985, 95% CI 0.945-0.996), VQC (0.983, 95% CI 0.942-0.995), and the hybrid ensemble (0.982, 95% CI 0.941-0.995) all retained near-ceiling discrimination with extensively overlapping confidence intervals. Ablation analysis demonstrated that the choice of embedding rotation is decisive-Z-rotation embeddings collapsed VQC performance to chance levels (AUC approximate to 0.50), whereas X- and Y-rotations preserved it. Depolarising noise up to p = 0.10 had a negligible effect on the VQC, and SHAP analyses converged on worst concave points, mean concave points, and worst area as the dominant predictors across both classical and quantum models. Decision curve analysis showed positive net benefit for both classical and hybrid models across the clinically meaningful threshold range, exceeding both the treat-all and treat-none reference strategies throughout.Conclusions: In the present regime, the principal contribution of QML is not raw discrimination-modern classical learners are already at the data ceiling-but the construction of a rigorous, reproducible, externally validated, and interpretable benchmarking framework in which quantum models can be fairly compared with their classical counterparts. Because evaluation was confined to curated benchmark datasets rather than real-world clinical populations, the interpretability and net benefit findings reported here should be read as benchmark-level evidence and not as a demonstration of readiness for clinical deployment.</t>
  </si>
  <si>
    <t>Zorlu, Gokhan; Colak, Cemil</t>
  </si>
  <si>
    <t>Colak, C (corresponding author), Inonu Univ, Fac Med, Dept Biostat &amp; Med Informat, TR-44280 Malatya, Turkiye.</t>
  </si>
  <si>
    <t>cemil.colak@inonu.edu.tr; gokhan.zorlu@inonu.edu.tr</t>
  </si>
  <si>
    <t>Idot;nn University BAP [TSA-2026-4972]</t>
  </si>
  <si>
    <t>Idot;nn University BAP</t>
  </si>
  <si>
    <t>The authors would like to thank the Scientific Research Projects Coordination Unit (BAP) of &amp; Idot;nonu University for supporting this research. This study was funded by &amp; Idot;nonu University BAP under Project No. TSA-2026-4972.</t>
  </si>
  <si>
    <t>[Zorlu, Gokhan] Inonu Univ, Fac Med, Dept Biophys, TR-44280 Malatya, Turkiye; [Colak, Cemil] Inonu Univ, Fac Med, Dept Biostat &amp; Med Informat, TR-44280 Malatya, Turkiye</t>
  </si>
  <si>
    <t>Inonu University; Inonu University</t>
  </si>
  <si>
    <t>A Robustness-Oriented Quantum-Classical Hybrid Machine Learning Pipeline for Breast Cancer Diagnosis: External Validation, Explainability, and Rigorous Benchmarking in the NISQ Era</t>
  </si>
  <si>
    <t>breast cancer; quantum machine learning; variational quantum classifier; hybrid ensemble; SHAP; external validation; decision curve analysis; explainable artificial intelligence; clinical decision support; computer-aided diagnosis</t>
  </si>
  <si>
    <t>AREAS</t>
  </si>
  <si>
    <t>ÇOLAK, CEMİL/ABI-3261-2020</t>
  </si>
  <si>
    <t>1996</t>
  </si>
  <si>
    <t>10.3390/diagnostics16131996</t>
  </si>
  <si>
    <t>http://dx.doi.org/10.3390/diagnostics16131996</t>
  </si>
  <si>
    <t>KX5RN</t>
  </si>
  <si>
    <t>42449777</t>
  </si>
  <si>
    <t>WOS:001817980800001</t>
  </si>
  <si>
    <t>Khadhouri, S; Hramyka, A; Gallagher, K; Light, A; Ippoliti, S; Edison, M; Alexander, C; Kulkarni, M; Zimmermann, E; Nathan, A; Orecchia, L; Banthia, R; Piazza, P; Mak, D; Pyrgidis, N; Narayan, P; Lopez, PA; Nawaz, F; Tran, TT; Claps, F; Hogan, D; Rivas, JG; Alonso, S; Chibuzo, I; Hidalgo, BG; Whitburn, J; Teoh, J; Marcq, G; Szostek, A; Bondad, J; Sountoulides, P; Kelsey, T; Kasivisvanathan, V; IDENTIFY Study Grp</t>
  </si>
  <si>
    <t>Background: The IDENTIFY study developed a model to predict urinary tract cancer using patient characteristics from a large multicentre, international cohort of patients referred with haematuria. In addition to calculating an individual's cancer risk, it proposes thresholds to stratify them into very-low-risk (&lt;1%), low-risk (1-&lt;5%), intermediate-risk (5-&lt;20%), and high-risk (&gt;= 20%) groups. Objective: To externally validate the IDENTIFY haematuria risk calculator and compare traditional regression with machine learning algorithms. Design, setting, and participants: Prospective data were collected on patients referred to secondary care with new haematuria. Data were collected for patient variables included in the IDENTIFY risk calculator, cancer outcome, and TNM staging. Machine learning methods were used to evaluate whether better models than those developed with traditional regression methods existed. Outcome measurements and statistical analysis: The area under the receiver operating characteristic curve (AUC) for the detection of urinary tract cancer, calibration coefficient, calibration in the large (CITL), and Brier score were determined. Results and limitations: There were 3582 patients in the validation cohort. The development and validation cohorts were well matched. The AUC of the IDENTIFY risk calculator on the validation cohort was 0.78. This improved to 0.80 on a subanalysis of urothelial cancer prevalent countries alone, with a calibration slope of 1.04, CITL of 0.24, and Brier score of 0.14. The best machine learning model was Random Forest, which achieved an AUC of 0.76 on the validation cohort. There were no cancers stratified to the very-low-risk group in the validation cohort. Most cancers were stratified to the intermediate- and high-risk groups, with more aggressive cancers in higher-risk groups. Conclusions: The IDENTIFY risk calculator performed well at predicting cancer in patients referred with haematuria on external validation. This tool can be used by urologists to better counsel patients on their cancer risks, to prioritise diagnostic resources on appropriate patients, and to avoid unnecessary invasive procedures in those with a very low risk of cancer.</t>
  </si>
  <si>
    <t>Khadhouri, Sinan; Hramyka, Artsiom; Gallagher, Kevin; Light, Alexander; Ippoliti, Simona; Edison, Marie; Alexander, Cameron; Kulkarni, Meghana; Zimmermann, Eleanor; Nathan, Arjun; Orecchia, Luca; Banthia, Ravi; Piazza, Pietro; Mak, David; Pyrgidis, Nikolaos; Narayan, Prabhat; Lopez, Pablo Abad; Nawaz, Faisal; Tran, Trung-Thanh; Claps, Francesco; Hogan, Donnacha; Rivas, Juan Gomez; Alonso, Santiagao; Chibuzo, Ijeoma; Hidalgo, Beatriz Gutierrez; Whitburn, Jessica; Teoh, Jeremy; Marcq, Gautier; Szostek, Alexandra; Bondad, Jasper; Sountoulides, Petros; Kelsey, Tom; Kasivisvanathan, Veeru; IDENTIFY Study Grp</t>
  </si>
  <si>
    <t>Khadhouri, S (corresponding author), Univ St Andrews, Sch Med, St Andrews KY16 9TF, Scotland.</t>
  </si>
  <si>
    <t>sinan.khadhouri@doctors.org.uk</t>
  </si>
  <si>
    <t>[Khadhouri, Sinan] Univ St Andrews, Sch Med, St Andrews KY16 9TF, Scotland; [Khadhouri, Sinan; Gallagher, Kevin; Light, Alexander; Ippoliti, Simona; Edison, Marie; Alexander, Cameron; Kulkarni, Meghana; Zimmermann, Eleanor; Nathan, Arjun; Kasivisvanathan, Veeru] British Urol Researchers Surg Training BURST, London, England; [Hramyka, Artsiom; Kelsey, Tom] Univ St Andrews, Sch Comp Sci, St Andrews, Scotland; [Gallagher, Kevin] Univ Edinburgh, Inst Genet &amp; Canc, Edinburgh, Scotland; [Gallagher, Kevin; Nathan, Arjun] Univ Coll London Hosp, Div Surg &amp; Intervent Sci, London, England; [Light, Alexander] Imperial Coll London, Dept Surg &amp; Canc, London, England; [Ippoliti, Simona] Hull Univ Teaching Hosp, Hull Royal Infirm, Kingston Upon Hull HU3 2JZ, England; [Edison, Marie] Chelsea &amp; Westminster Hosp, Dept Urol, London, England; [Alexander, Cameron] LUTON &amp; DUNSTABLE HOSP, LUTON, England; [Kulkarni, Meghana] St Georges Univ Hosp NHS Fdn Trust, Dept Urol, London, England; [Zimmermann, Eleanor] Southmead Hosp, Bristol Urol Inst, Bristol, England; [Orecchia, Luca] Tor Vergata Univ Hosp Rome, AOU Policlin, Rome, Italy; [Banthia, Ravi] Univ Hosp Coventry &amp; Warwickshire, Coventry, England; [Piazza, Pietro] IRCCS Azienda Osped Univ Bologna, Bologna, Italy; [Mak, David] Royal Hosp Wolverhampton, Wolverhampton, England; [Pyrgidis, Nikolaos] Univ Hosp LMU, Dept Urol, Munich, Germany; [Narayan, Prabhat] Royal Berkshire Hosp, Reading, England; [Lopez, Pablo Abad] Hosp Clin San Carlos, Madrid, Spain; [Nawaz, Faisal] Univ Hosp Derby &amp; Burton, Derby, England; [Tran, Trung-Thanh] Hanoi Med Univ, Dept Surg, Hanoi, Vietnam; [Tran, Trung-Thanh] Hanoi Med Univ Hosp, Dept Urol, Hanoi, Vietnam; [Claps, Francesco] Univ Trieste, Trieste, Italy; [Hogan, Donnacha] Mercy Univ Hosp, Cork, Ireland; [Rivas, Juan Gomez; Alonso, Santiagao] Hosp Clin San Carlos, Urol, Madrid, Spain; [Chibuzo, Ijeoma] Stepping Hill Hosp, Stockport, England; [Hidalgo, Beatriz Gutierrez] Clin San Carlos Hosp, Madrid, Spain; [Whitburn, Jessica] Oxford Univ Hosp, Oxford, England; [Teoh, Jeremy] Chinese Univ Hong Kong, SH Ho Urol Ctr, Dept Surg, Hong Kong, Peoples R China; [Marcq, Gautier; Szostek, Alexandra] CHU Lille, Claude Huriez Hosp, Urol Dept, Lille, France; [Marcq, Gautier] Univ Lille, Inst Pasteur Lille, CNRS, Inserm,CHU Lille,UMR9020 U1277 CANTHER Canc Hetero, Lille, France; [Bondad, Jasper] Southend Univ Hosp, Southend On Sea, Essex, England; [Sountoulides, Petros] Aristotle Univ Thessaloniki, Dept Urol, Thessaloniki, Greece; [Kasivisvanathan, Veeru] UCL, London, England</t>
  </si>
  <si>
    <t>University of St Andrews; University of St Andrews; University of Edinburgh; University College London Hospitals NHS Foundation Trust; University of London; University College London; Imperial College London; University of Hull; Imperial College London; Southmead Hospital; University of Rome Tor Vergata; Policlin Tor Vergata; University of Warwick; IRCCS Azienda Ospedaliero-Universitaria di Bologna; University of Munich; Royal Berkshire Hospital; Hospital Clinico San Carlos; Hanoi Medical University; Hanoi Medical University; University of Trieste; University College Cork; Hospital Clinico San Carlos; Hospital Clinico San Carlos; Chinese University of Hong Kong; Universite de Lille; CHU Lille; Universite de Lille; Pasteur Network; Centre National de la Recherche Scientifique (CNRS); Institut National de la Sante et de la Recherche Medicale (Inserm); CHU Lille; Institut Pasteur Lille; Aristotle University of Thessaloniki; University of London; University College London</t>
  </si>
  <si>
    <t>Machine Learning and External Validation of the IDENTIFY Risk Calculator for Patients with Haematuria Referred to Secondary Care for Suspected Urinary Tract Cancer</t>
  </si>
  <si>
    <t>EUROPEAN UROLOGY FOCUS</t>
  </si>
  <si>
    <t>Haematuria; Predictive model; Prediction; Urinary tract cancer; Bladder cancer; Upper tract urothelial cancer; Renal cancer; Validation; Risk calculator; Cancer risk</t>
  </si>
  <si>
    <t>DIAGNOSIS; UROLOGY</t>
  </si>
  <si>
    <t>Sountoulides, Petros/H-4127-2019; Orecchia, Luca/AAK-8331-2020; Gómez Rivas, Juan/H-1635-2013; Chibuzo, Ijeoma/AGP-5634-2022; Claps, Francesco/AAB-7298-2021; Abad López, Pablo/AAO-6711-2020; Kelsey, Tom/H-3727-2019; Pyrgidis, Nikolaos/AAA-2359-2021; Piazza, Pietro/AAP-4467-2021; Teoh, Jeremy/H-5184-2016; Nathan, Arjun/ABB-2813-2021; Marcq, Gautier/AAK-7924-2020; Hogan, Donnacha/PMG-7827-2026</t>
  </si>
  <si>
    <t>Khadhouri, Sinan/0000-0002-1836-8992; Kasivisvanathan, Veeru/0000-0002-0832-382X; Orecchia, Luca/0000-0001-8376-5380; Gómez Rivas, Juan/0000-0002-0556-3035; TRAN, Trung Thanh/0000-0001-6685-1658; Hramyka, Artsiom/0000-0001-8693-8320; Bauza Quetglas, Jose Luis/0000-0002-8955-483X; Edison, Marie/0000-0003-4636-5251; Kelsey, Tom/0000-0002-8091-1458; Piazza, Pietro/0000-0002-6740-534X; Nathan, Arjun/0000-0002-8572-2832</t>
  </si>
  <si>
    <t>2405-4569</t>
  </si>
  <si>
    <t>EUR UROL FOCUS</t>
  </si>
  <si>
    <t>Eur. Urol. Focus</t>
  </si>
  <si>
    <t>1034</t>
  </si>
  <si>
    <t>1042</t>
  </si>
  <si>
    <t>10.1016/j.euf.2024.06.004</t>
  </si>
  <si>
    <t>http://dx.doi.org/10.1016/j.euf.2024.06.004</t>
  </si>
  <si>
    <t>Y1Y2S</t>
  </si>
  <si>
    <t>38906722</t>
  </si>
  <si>
    <t>WOS:001430160400001</t>
  </si>
  <si>
    <t>Sinha, RK; Maynard, WD; Rynne, C; Khoo, CC</t>
  </si>
  <si>
    <t>Objectives To validate the clinical performance of SonoCurve, a machine-learning algorithm that provides uroflowmetry metrics from the sound of the urinary void, in adult men with lower urinary tract symptoms (LUTS). Design Prospective within-person equivalence validation study. Setting Single-centre specialist urology clinic. Participants Adult men undergoing uroflowmetry as part of LUTS assessment (September 2024-February 2025). Intervention Simultaneous conventional uroflowmetry and smartphone audio recording of the urinary stream. Recordings were processed using SonoCurve to calculate flow parameters from sound spectrograms. Outcome measures Primary: equivalence of maximum flow rate (Qmax) versus conventional uroflowmetry within a +/- 2 mL/s margin. The mean absolute difference (MAD) described pairwise variability. Secondary: agreement analyses for Qmax, average flow rate (Qave), voided volume (VV) and voiding time (VT), and curve-shape similarity. Results 62 men (median age 55 years, range 19-85) were included. SonoCurve achieved equivalence for Qmax (mean difference -1.19 mL/s; SD 3.11; 90% CI -1.85 to -0.53 mL/s; p=0.022). MAD was 2.69 mL/s. Lin's concordance correlation coefficients (95% CI) were: Qmax 0.81 (0.71-0.88), Qave 0.90 (0.85-0.93), VV 0.95 (0.92-0.97) and VT 0.97 (0.95-0.98). Bland-Altman plots showed minimal bias and narrow limits of agreement. Flow-curve similarity was high (root mean square error (RMSE) 2.88 +/- 1.23 mL/s, dynamic time-warping (DTW) RMSE 0.84 +/- 0.49 mL/s). No adverse events occurred. Conclusions SonoCurve accurately measured uroflowmetry parameters from voiding sound in men with LUTS, achieving statistical equivalence for Qmax and excellent concordance across all secondary measures. Findings support use of SonoCurve as a precise, accessible alternative to clinic-based uroflowmetry and highlight its potential role in remote male LUTS assessment.</t>
  </si>
  <si>
    <t>Sinha, Rajan Kumar; Maynard, William D.; Rynne, Cormac; Khoo, Christopher C.</t>
  </si>
  <si>
    <t>Khoo, CC (corresponding author), Wexham Pk Hosp, Frimley Hlth NHS Fdn Trust, Dept Urol, Slough, England.</t>
  </si>
  <si>
    <t>will.d.maynard@gmail.com; ccktkhoo@gmail.com; rajan_rims@yahoo.co.in; cormac.ry@gmail.com</t>
  </si>
  <si>
    <t>[Sinha, Rajan Kumar] Kidney Stone &amp; Urol Clin, Bhagalpur, Bihar, India; [Maynard, William D.; Khoo, Christopher C.] Wexham Pk Hosp, Frimley Hlth NHS Fdn Trust, Dept Urol, Slough, England; [Rynne, Cormac] Kings Coll London, Dept Informat, Fac Nat Math &amp; Engn Sci, London, England</t>
  </si>
  <si>
    <t>University of London; King's College London</t>
  </si>
  <si>
    <t>Clinical validation of SonoCurve, a machine-learning sound-based uroflowmetry algorithm, in adult men with lower urinary tract symptoms</t>
  </si>
  <si>
    <t>BMJ INNOVATIONS</t>
  </si>
  <si>
    <t>Urology; Diagnosis; Delivery of Health Care; Digital Health</t>
  </si>
  <si>
    <t>ENVIRONMENTAL NOISE; FLOW; BURDEN</t>
  </si>
  <si>
    <t>2055-8074</t>
  </si>
  <si>
    <t>2055-642X</t>
  </si>
  <si>
    <t>BMJ INNOV</t>
  </si>
  <si>
    <t>BMJ Innov.</t>
  </si>
  <si>
    <t>10.1136/bmjinnov-2025-001511</t>
  </si>
  <si>
    <t>http://dx.doi.org/10.1136/bmjinnov-2025-001511</t>
  </si>
  <si>
    <t>IM3FN</t>
  </si>
  <si>
    <t>WOS:001775072000001</t>
  </si>
  <si>
    <t>Morales, DR; Flynn, R; Zhang, JG; Trucco, E; Quint, JK; Zutis, K</t>
  </si>
  <si>
    <t>Background: Several models for predicting the risk of death in people with chronic obstructive pulmonary disease (COPD) exist but have not undergone large scale validation in primary care. The objective of this study was to externally validate these models using statistical and machine learning approaches.Methods: We used a primary care COPD cohort identified using data from the UK Clinical Practice Research Datalink. Age-standardised mortality rates were calculated for the population by gender and discrimination of ADO (age, dyspnoea, airflow obstruction), COTE (COPD-specific comorbidity test), DOSE (dyspnoea, airflow obstruction, smoking, exacerbations) and CODEX (comorbidity, dyspnoea, airflow obstruction, exacerbations) at predicting death over 1-3 years measured using logistic regression and a support vector machine learning (SVM) method of analysis.Results: The age-standardised mortality rate was 32.8 (95% CI 32.5-33.1) and 25.2 (95% CI 25.4-25.7) per 1000 person years for men and women respectively. Complete data were available for 54879 patients to predict 1-year mortality. ADO performed the best (c-statistic of 0.730) compared with DOSE (c-statistic 0.645), COTE (c-statistic 0.655) and CODEX (c-statistic 0.649) at predicting 1-year mortality. Discrimination of ADO and DOSE improved at predicting 1-year mortality when combined with COTE comorbidities (c-statistic 0.780 ADO + COTE; c-statistic 0.727 DOSE + COTE). Discrimination did not change significantly over 1-3 years. Comparable results were observed using SVM.Conclusion: In primary care, ADO appears superior at predicting death in COPD. Performance of ADO and DOSE improved when combined with COTE comorbidities suggesting better models may be generated with additional data facilitated using novel approaches.</t>
  </si>
  <si>
    <t>Morales, Daniel R.; Flynn, Rob; Zhang, Jianguo; Trucco, Emmanuel; Quint, Jennifer K.; Zutis, Kris</t>
  </si>
  <si>
    <t>Morales, DR (corresponding author), Univ Dundee, Populat Hlth Sci Div, Sch Med, Mackenzie Bldg,Kirsty Semple Way, Dundee DD2 4BF, Scotland.</t>
  </si>
  <si>
    <t>d.r.z.morales@dundee.ac.uk</t>
  </si>
  <si>
    <t>Scottish Government Chief Scientist Office Health Informatics Challenge grant [HICG.1.30]; Academic Health Sciences Fellowship in Tayside, Scotland</t>
  </si>
  <si>
    <t>Scottish Government Chief Scientist Office Health Informatics Challenge grant (Chief Scientist Office - Scotland); Academic Health Sciences Fellowship in Tayside, Scotland</t>
  </si>
  <si>
    <t>The study was funded by a Scottish Government Chief Scientist Office Health Informatics Challenge grant (HICG.1.30). DRM is part funded by an Academic Health Sciences Fellowship in Tayside, Scotland.</t>
  </si>
  <si>
    <t>[Morales, Daniel R.] Univ Dundee, Populat Hlth Sci Div, Sch Med, Mackenzie Bldg,Kirsty Semple Way, Dundee DD2 4BF, Scotland; [Morales, Daniel R.] Univ Dundee, Scottish Ctr Resp Res, Sch Med, Dundee, Scotland; [Flynn, Rob; Zutis, Kris] Univ Dundee, Med Monitoring Unit, Sch Med, Dundee, Scotland; [Zhang, Jianguo; Trucco, Emmanuel] Univ Dundee, Sch Sci &amp; Engn Comp, Dundee, Scotland; [Quint, Jennifer K.] Imperial Coll London, Natl Heart &amp; Lung Inst, Dept Resp Epidemiol Occupat Med &amp; Publ Hlth, London, England</t>
  </si>
  <si>
    <t>University of Dundee; University of Dundee; University of Dundee; University of Dundee; Imperial College London</t>
  </si>
  <si>
    <t>External validation of ADO, DOSE, COTE and CODEX at predicting death in primary care patients with COPD using standard and machine learning approaches</t>
  </si>
  <si>
    <t>RESPIRATORY MEDICINE</t>
  </si>
  <si>
    <t>COPD; Mortality; Epidemiology</t>
  </si>
  <si>
    <t>OBSTRUCTIVE PULMONARY-DISEASE; BODY-MASS INDEX; MORTALITY; VALIDITY; EXACERBATION; DATABASE</t>
  </si>
  <si>
    <t>Quint, Jennifer/ABE-3384-2020</t>
  </si>
  <si>
    <t>zhang, jianguo/0000-0001-9317-0268; Quint, Jennifer/0000-0003-0149-4869; Trucco, Emanuele/0000-0002-5055-0794</t>
  </si>
  <si>
    <t>0954-6111</t>
  </si>
  <si>
    <t>1532-3064</t>
  </si>
  <si>
    <t>RESP MED</t>
  </si>
  <si>
    <t>Respir. Med.</t>
  </si>
  <si>
    <t>MAY 2018</t>
  </si>
  <si>
    <t>155</t>
  </si>
  <si>
    <t>10.1016/j.rmed.2018.04.003</t>
  </si>
  <si>
    <t>http://dx.doi.org/10.1016/j.rmed.2018.04.003</t>
  </si>
  <si>
    <t>Cardiac &amp; Cardiovascular Systems; Respiratory System</t>
  </si>
  <si>
    <t>Cardiovascular System &amp; Cardiology; Respiratory System</t>
  </si>
  <si>
    <t>GG1JD</t>
  </si>
  <si>
    <t>29724388</t>
  </si>
  <si>
    <t>WOS:000432442400022</t>
  </si>
  <si>
    <t>Crabb, BT; Hamrick, F; Campbell, JM; Vignolles-Jeong, J; Magill, ST; Prevedello, DM; Carrau, RL; Otto, BA; Hardesty, DA; Couldwell, WT; Karsy, M</t>
  </si>
  <si>
    <t>BACKGROUND:Unplanned readmission after transsphenoidal resection of pituitary adenoma can occur in up to 10% of patients but is unpredictable.OBJECTIVE:To develop a reliable system for predicting unplanned readmission and create a validated method for stratifying patients by risk.METHODS:Data sets were retrospectively collected from the National Surgical Quality Improvement Program and 2 tertiary academic medical centers. Eight machine learning classifiers were fit to the National Surgical Quality Improvement Program data, optimized using Bayesian parameter optimization and evaluated on the external data. Permutation analysis identified the relative importance of predictive variables, and a risk stratification system was built using the trained machine learning models.RESULTS:Readmissions were accurately predicted by several classification models with an area under the receiving operator characteristic curve of 0.76 (95% CI 0.68-0.83) on the external data set. Permutation analysis identified the most important variables for predicting readmission as preoperative sodium level, returning to the operating room, and total operation time. High-risk and medium-risk patients, as identified by the proposed risk stratification system, were more likely to be readmitted than low-risk patients, with relative risks of 12.2 (95% CI 5.9-26.5) and 4.2 (95% CI 2.3-8.7), respectively. Overall risk stratification showed high discriminative capability with a C-statistic of 0.73.CONCLUSION:In this multi-institutional study with outside validation, unplanned readmissions after pituitary adenoma resection were accurately predicted using machine learning techniques. The features identified in this study and the risk stratification system developed could guide clinical and surgical decision making, reduce healthcare costs, and improve the quality of patient care by better identifying high-risk patients for closer perioperative management.</t>
  </si>
  <si>
    <t>Crabb, Brendan T.; Hamrick, Forrest; Campbell, Justin M.; Vignolles-Jeong, Joshua; Magill, Stephen T.; Prevedello, Daniel M.; Carrau, Ricardo L.; Otto, Bradley A.; Hardesty, Douglas A.; Couldwell, William T.; Karsy, Michael</t>
  </si>
  <si>
    <t>Karsy, M (corresponding author), Univ Utah, Clin Neurosci Ctr, Dept Neurosurg, 175 N Med Dr East, Salt Lake City, UT 84132 USA.</t>
  </si>
  <si>
    <t>Michael.Karsy@hsc.utah.edu</t>
  </si>
  <si>
    <t>[Crabb, Brendan T.; Hamrick, Forrest; Campbell, Justin M.; Couldwell, William T.; Karsy, Michael] Univ Utah, Dept Neurosurg, Salt Lake City, UT 84132 USA; [Vignolles-Jeong, Joshua; Magill, Stephen T.; Prevedello, Daniel M.; Carrau, Ricardo L.; Otto, Bradley A.; Hardesty, Douglas A.] Ohio State Univ, Dept Neurosurg, Columbus, OH USA; [Karsy, Michael] Univ Utah, Clin Neurosci Ctr, Dept Neurosurg, 175 N Med Dr East, Salt Lake City, UT 84132 USA</t>
  </si>
  <si>
    <t>Utah System of Higher Education; University of Utah; University System of Ohio; Ohio State University; Utah System of Higher Education; University of Utah</t>
  </si>
  <si>
    <t>Machine Learning-Based Analysis and Prediction of Unplanned 30-Day Readmissions After Pituitary Adenoma Resection: A Multi-Institutional Retrospective Study With External Validation</t>
  </si>
  <si>
    <t>NEUROSURGERY</t>
  </si>
  <si>
    <t>Machine learning; Pituitary adenoma; Resection; 30-Day readmission</t>
  </si>
  <si>
    <t>TRANSSPHENOIDAL SURGERY PREVALENCE; SYMPTOMATIC HYPONATREMIA</t>
  </si>
  <si>
    <t>Otto, Bradley/E-3800-2011; Karsy, Michael/AAH-8583-2020</t>
  </si>
  <si>
    <t>Karsy, Michael/0000-0002-0422-7937; Vignolles-Jeong, Joshua/0000-0002-4130-9640; Prevedello, Daniel/0000-0003-0214-2339</t>
  </si>
  <si>
    <t>0148-396X</t>
  </si>
  <si>
    <t>1524-4040</t>
  </si>
  <si>
    <t>Neurosurgery</t>
  </si>
  <si>
    <t>263</t>
  </si>
  <si>
    <t>10.1227/neu.0000000000001967</t>
  </si>
  <si>
    <t>http://dx.doi.org/10.1227/neu.0000000000001967</t>
  </si>
  <si>
    <t>A8JV1</t>
  </si>
  <si>
    <t>35384923</t>
  </si>
  <si>
    <t>WOS:000957534300021</t>
  </si>
  <si>
    <t>Deng, CX; Feng, L; Li, TT; Wei, SS; Zhu, HM; Lu, J</t>
  </si>
  <si>
    <t>Introduction Patients with type 2 diabetes mellitus (T2DM) and metabolic dysfunction-associated steatotic liver disease (MASLD) face substantially elevated coronary heart disease (CHD) risk, yet no machine learning diagnostic models exist specifically for this population. This study aimed to develop and validate an interpretable machine learning model for identifying CHD in T2DM-MASLD patients.Methods Using data from 1,269 patients (development cohort) and 1,058 patients (external validation cohort) from two Chinese hospitals, we compared seven machine learning algorithms. Angiographically confirmed CHD served as the diagnostic endpoint. Nine features were selected by univariate analysis, LASSO regression, and the Boruta algorithm. The best-performing model was selected based on comprehensive evaluation of discrimination, calibration, and clinical utility. Model interpretability was assessed using SHapley Additive exPlanations (SHAP), and external validation was performed in an independent cohort.Results Feature selection identified nine predictors: total cholesterol (TC), chest distress, apolipoprotein B (ApoB), male sex, triglycerides (TG), age, chest pain, red cell distribution width (RDW), and cardiac troponin (cTn). The XGBoost model achieved the best performance, with an AUC of 0.896 (95% CI, 0.862-0.930) in internal validation and 0.865 (95% CI, 0.837-0.893) in external validation, with excellent calibration (Brier score: 0.112). To facilitate clinical application, a freely accessible web-based calculator was developed for real-time individualized CHD risk prediction.Discussion This is the first interpretable machine learning model externally validated for CHD diagnosis in T2DM-MASLD patients, demonstrating robust performance using nine routinely available clinical parameters. The model's interpretability through SHAP analysis enhances clinical trust and supports individualized risk communication between physicians and patients to guide decisions regarding coronary angiography.</t>
  </si>
  <si>
    <t>Deng, Chunxia; Feng, Ling; Li, Tingting; Wei, Suosu; Zhu, Huiming; Lu, Jie</t>
  </si>
  <si>
    <t>Lu, J (corresponding author), Peoples Hosp Guangxi Zhuang Autonomous Reg, Guangxi Acad Med Sci, Dept Endocrinol &amp; Metab, Nanning, Peoples R China.; Wei, SS (corresponding author), Peoples Hosp Guangxi Zhuang Autonomous Reg, Clin Res Ctr Guangxi Acad Med Sci, Nanning, Guangxi, Peoples R China.; Zhu, HM (corresponding author), Shanghai Univ, Dept Clin Lab, Nantong Peoples Hosp 6, Nantong, Jiangsu, Peoples R China.</t>
  </si>
  <si>
    <t>zhmwpp@163.com; lujie16389@163.com; sswei@gxams.org.cn</t>
  </si>
  <si>
    <t>Bethune Charitable Foundation [Z04JKM2022E036]</t>
  </si>
  <si>
    <t>Bethune Charitable Foundation</t>
  </si>
  <si>
    <t>The author(s) declared that financial support was received for this work and/or its publication. This work was supported by the Bethune Charitable Foundation (Z04JKM2022E036).</t>
  </si>
  <si>
    <t>[Deng, Chunxia; Feng, Ling; Lu, Jie] Peoples Hosp Guangxi Zhuang Autonomous Reg, Guangxi Acad Med Sci, Dept Endocrinol &amp; Metab, Nanning, Peoples R China; [Deng, Chunxia; Feng, Ling; Lu, Jie] Peoples Hosp Guangxi Zhuang Autonomous Reg, Nanning, Guangxi, Peoples R China; [Li, Tingting] Sun Yat Sen Univ, Guangxi Hosp Affiliated Hosp 1, Dept Resp &amp; Crit Care Med, Nanning, Guangxi, Peoples R China; [Wei, Suosu] Peoples Hosp Guangxi Zhuang Autonomous Reg, Clin Res Ctr Guangxi Acad Med Sci, Nanning, Guangxi, Peoples R China; [Zhu, Huiming] Shanghai Univ, Dept Clin Lab, Nantong Peoples Hosp 6, Nantong, Jiangsu, Peoples R China</t>
  </si>
  <si>
    <t>Sun Yat Sen University; Shanghai University</t>
  </si>
  <si>
    <t>Development and external validation of an interpretable machine learning model for diagnosing coronary heart disease in patients with type 2 diabetes and MASLD</t>
  </si>
  <si>
    <t>coronary heart disease; external validation; machine learning; metabolic dysfunction-associated steatotic liver disease; SHAP; type 2 diabetes mellitus; XGBoost</t>
  </si>
  <si>
    <t>FATTY LIVER; ASSOCIATION; TROPONIN; EVENTS; RISK</t>
  </si>
  <si>
    <t>Zhu, Huiming/NFS-4282-2025; Wei, Suosu/HLW-3261-2023</t>
  </si>
  <si>
    <t>1830594</t>
  </si>
  <si>
    <t>10.3389/fendo.2026.1830594</t>
  </si>
  <si>
    <t>http://dx.doi.org/10.3389/fendo.2026.1830594</t>
  </si>
  <si>
    <t>IP8YC</t>
  </si>
  <si>
    <t>42222087</t>
  </si>
  <si>
    <t>WOS:001777500900001</t>
  </si>
  <si>
    <t>Yu, JY; Xie, F; Nan, L; Yoon, S; Ong, MEH; Ng, YY; Cha, WC</t>
  </si>
  <si>
    <t>Emergency departments (EDs) are experiencing complex demands. An ED triage tool, the Score for Emergency Risk Prediction (SERP), was previously developed using an interpretable machine learning framework. It achieved a good performance in the Singapore population. We aimed to externally validate the SERP in a Korean cohort for all ED patients and compare its performance with Korean triage acuity scale (KTAS). This retrospective cohort study included all adult ED patients of Samsung Medical Center from 2016 to 2020. The outcomes were 30-day and in-hospital mortality after the patients' ED visit. We used the area under the receiver operating characteristic curve (AUROC) to assess the performance of the SERP and other conventional scores, including KTAS. The study population included 285,523 ED visits, of which 53,541 were after the COVID-19 outbreak (2020). The whole cohort, in-hospital, and 30 days mortality rates were 1.60%, and 3.80%. The SERP achieved an AUROC of 0.821 and 0.803, outperforming KTAS of 0.679 and 0.729 for in-hospital and 30-day mortality, respectively. SERP was superior to other scores for in-hospital and 30-day mortality prediction in an external validation cohort. SERP is a generic, intuitive, and effective triage tool to stratify general patients who present to the emergency department.</t>
  </si>
  <si>
    <t>Yu, Jae Yong; Xie, Feng; Nan, Liu; Yoon, Sunyoung; Ong, Marcus Eng Hock; Ng, Yih Yng; Cha, Won Chul</t>
  </si>
  <si>
    <t>Cha, WC (corresponding author), Sungkyunkwan Univ, Samsung Adv Inst Hlth Sci &amp; Technol SAIHST, Dept Digital Hlth, Seoul, South Korea.; Cha, WC (corresponding author), Samsung Med Ctr, Digital Innovat Ctr, Seoul, South Korea.; Cha, WC (corresponding author), Sungkyunkwan Univ, Sch Med, Dept Emergency Med, 115 Irwon Ro, Seoul 06355, South Korea.</t>
  </si>
  <si>
    <t>Korea Health Technology R&amp;D Project through the Korea Health Industry Development Institute (KHIDI) - Ministry of Health &amp; Welfare, Republic of Korea [HI19C1328]</t>
  </si>
  <si>
    <t>Korea Health Technology R&amp;D Project through the Korea Health Industry Development Institute (KHIDI) - Ministry of Health &amp; Welfare, Republic of Korea</t>
  </si>
  <si>
    <t>This research was supported by a grant of the Korea Health Technology R&amp;D Project through the Korea Health Industry Development Institute (KHIDI), funded by the Ministry of Health &amp; Welfare, Republic of Korea (Grant Number : HI19C1328).</t>
  </si>
  <si>
    <t>[Yu, Jae Yong; Yoon, Sunyoung; Cha, Won Chul] Sungkyunkwan Univ, Samsung Adv Inst Hlth Sci &amp; Technol SAIHST, Dept Digital Hlth, Seoul, South Korea; [Yu, Jae Yong; Ng, Yih Yng] Tan Tock Seng Hosp, Digital &amp; Smart Hlth Off, Singapore, Singapore; [Xie, Feng; Nan, Liu; Ong, Marcus Eng Hock] Duke Natl Univ, Singapore Med Sch, Programme Hlth Serv &amp; Syst Res, Singapore, Singapore; [Nan, Liu] Singapore Hlth Serv, Hlth Serv Res Ctr, Singapore, Singapore; [Nan, Liu] Natl Univ Singapore, Inst Data Sci, Singapore, Singapore; [Ong, Marcus Eng Hock] Singapore Gen Hosp, Dept Emergency Med, Singapore, Singapore; [Ng, Yih Yng] Tan Tock Seng Hosp, Dept Emergency Med, Singapore, Singapore; [Cha, Won Chul] Samsung Med Ctr, Digital Innovat Ctr, Seoul, South Korea; [Cha, Won Chul] Sungkyunkwan Univ, Sch Med, Dept Emergency Med, 115 Irwon Ro, Seoul 06355, South Korea</t>
  </si>
  <si>
    <t>Sungkyunkwan University (SKKU); Samsung; Tan Tock Seng Hospital; National University of Singapore; National University of Singapore; Singapore General Hospital; Tan Tock Seng Hospital; Sungkyunkwan University (SKKU); Samsung Medical Center; Sungkyunkwan University (SKKU)</t>
  </si>
  <si>
    <t>An external validation study of the Score for Emergency Risk Prediction (SERP), an interpretable machine learning-based triage score for the emergency department</t>
  </si>
  <si>
    <t>Yu, JaeYong/KHT-5013-2024; /HPF-9653-2023; Ng, Yih/AAE-9969-2020; Ong, Marcus/LNP-4888-2024; Liu, Nan/HCS-2632-2022</t>
  </si>
  <si>
    <t>Liu, Nan/0000-0003-3610-4883</t>
  </si>
  <si>
    <t>OCT 19 2022</t>
  </si>
  <si>
    <t>17466</t>
  </si>
  <si>
    <t>10.1038/s41598-022-22233-w</t>
  </si>
  <si>
    <t>http://dx.doi.org/10.1038/s41598-022-22233-w</t>
  </si>
  <si>
    <t>5L5BC</t>
  </si>
  <si>
    <t>36261457</t>
  </si>
  <si>
    <t>WOS:000870427800012</t>
  </si>
  <si>
    <t>He, Y; Dong, JF; Lin, F; Zhang, JY; Zheng, X; Chen, QB; Li, J; Ma, SR; Li, LZ; Huang, HB</t>
  </si>
  <si>
    <t>BackgroundMedium-to-giant coronary artery aneurysm (MGCAA) represents the most severe complication of Kawasaki disease (KD) and remains difficult to identify early. Existing risk scores are not tailored for MGCAA and lack external validation. Interpretable machine learning (ML) approaches may improve early risk stratification.MethodsWe retrospectively analyzed 443 patients from Fuzhou (development cohort) and 2,334 from Suzhou (external validation). Multiple ML algorithms were compared, and a random forest (RF ranger) model was selected. Six routinely collected predictors were retained, and model interpretability was assessed using SHapley Additive exPlanations (SHAP). Discrimination, calibration, and decision curve analysis (DCA) were conducted. Intercept-only recalibration was applied for external adaptation.ResultsThe final model included hemoglobin, time to diagnosis, oral mucosal changes, rash, triglycerides, and neutrophil percentage. The AUC was 0.70 in internal validation and 0.75 in external validation. Recalibration improved calibration-in-the-large. SHAP analysis supported the clinical interpretability of the selected predictors, and DCA indicated potential net benefit within a limited range of low-to-moderate threshold probabilities. The model is available as a web-based tool to support individualized risk estimation.ConclusionsThis interpretable machine learning model enables early risk stratification for MGCAA using six routinely collected clinical variables, and may assist individualized clinical risk assessment in children with Kawasaki disease.ImpactMedium-to-giant coronary artery aneurysms (MGCAA) are the most severe cardiovascular complication of Kawasaki disease and are difficult to predict early, before imaging confirmation.This study proposes an interpretable machine-learning model for MGCAA risk assessment based on six routinely available clinical variables.The model incorporates SHAP-based transparency, external validation, and intercept-only recalibration to improve generalizability across populations.Deployed as a web-based tool, it facilitates individualized risk stratification and may support clinical decision-making related to monitoring intensity and follow-up strategies.</t>
  </si>
  <si>
    <t>He, Ying; Dong, Jinfeng; Lin, Fan; Zhang, Jiaying; Zheng, Xin; Chen, Qiaobin; Li, Jing; Ma, Shurong; Li, Lizhi; Huang, Hongbiao</t>
  </si>
  <si>
    <t>Huang, HB (corresponding author), Fuzhou Univ, Affiliated Prov Hosp, Dept Pediat, Fuzhou, Fujian, Peoples R China.</t>
  </si>
  <si>
    <t>403032197@qq.com</t>
  </si>
  <si>
    <t>Program for the Middle-aged and Young Key Talents in the Health System of Fujian Province [2024GGA010]; Fujian Provincial Natural Science Foundation [2025J01748, 2025J01076]; Joint Funds for the Innovation of Science and Technology of Fujian Province [2024Y9016]; Suzhou Program of Gusu Medical Talent [GSWS2024029]; Youth Talents in Science and Education Program of Suzhou [KJXW2022019]</t>
  </si>
  <si>
    <t>Program for the Middle-aged and Young Key Talents in the Health System of Fujian Province; Fujian Provincial Natural Science Foundation; Joint Funds for the Innovation of Science and Technology of Fujian Province; Suzhou Program of Gusu Medical Talent; Youth Talents in Science and Education Program of Suzhou</t>
  </si>
  <si>
    <t>This work was supported by the Program for the Middle-aged and Young Key Talents in the Health System of Fujian Province (Grant No. 2024GGA010); the Fujian Provincial Natural Science Foundation (Grant No. 2025J01748, 2025J01076); the Joint Funds for the Innovation of Science and Technology of Fujian Province (Grant No. 2024Y9016); the Suzhou Program of Gusu Medical Talent (Grant No. GSWS2024029); and the Youth Talents in Science and Education Program of Suzhou (Grant No. KJXW2022019).</t>
  </si>
  <si>
    <t>[He, Ying; Lin, Fan; Zheng, Xin; Chen, Qiaobin; Huang, Hongbiao] Fuzhou Univ, Affiliated Prov Hosp, Dept Pediat, Fuzhou, Fujian, Peoples R China; [Dong, Jinfeng] Fujian Med Univ, Affiliated Hosp 1, Dept Hematol, Fuzhou, Fujian, Peoples R China; [Dong, Jinfeng] Fujian Med Univ, Affiliated Hosp 1, Natl Reg Med Ctr, Dept Hematol, Binhai Campus, Fuzhou, Fujian, Peoples R China; [Zhang, Jiaying; Li, Jing] Soochow Univ, Childrens Hosp, Inst Pediat Res, Suzhou, Jiangsu, Peoples R China; [Ma, Shurong] Soochow Univ, Childrens Hosp, Dept Endocrine, Suzhou, Jiangsu, Peoples R China; [Li, Lizhi] Fujian Med Univ, Fujian Prov Hosp, Dept Pediat Surg, Fujian Prov Clin Med Coll, Fuzhou, Fujian, Peoples R China</t>
  </si>
  <si>
    <t>Fuzhou University; Fujian Medical University; Fujian Medical University; Soochow University - China; Soochow University - China; Fujian Provincial Hospital; Fujian Medical University</t>
  </si>
  <si>
    <t>An interpretable machine learning model for early risk stratification of medium-to-giant coronary artery aneurysm in Kawasaki disease: development and external validation</t>
  </si>
  <si>
    <t>PEDIATRIC RESEARCH</t>
  </si>
  <si>
    <t>INTRAVENOUS IMMUNOGLOBULIN TREATMENT; SCIENTIFIC STATEMENT; RESISTANCE; CHILDREN; PREDICTION; MANAGEMENT; DIAGNOSIS</t>
  </si>
  <si>
    <t>Huang, Hongbiao/LLM-2445-2024; Li, Lizhi/PSK-5135-2026</t>
  </si>
  <si>
    <t>Huang, Hongbiao/0000-0002-5420-3415</t>
  </si>
  <si>
    <t>0031-3998</t>
  </si>
  <si>
    <t>1530-0447</t>
  </si>
  <si>
    <t>PEDIATR RES</t>
  </si>
  <si>
    <t>Pediatr. Res.</t>
  </si>
  <si>
    <t>10.1038/s41390-026-04878-9</t>
  </si>
  <si>
    <t>http://dx.doi.org/10.1038/s41390-026-04878-9</t>
  </si>
  <si>
    <t>FK1PE</t>
  </si>
  <si>
    <t>41872544</t>
  </si>
  <si>
    <t>WOS:001720678900001</t>
  </si>
  <si>
    <t>Hu, YX; Lui, A; Goldstein, M; Sudarshan, M; Tinsay, A; Tsui, CY; Maidman, SD; Medamana, J; Jethani, N; Puli, A; Nguy, V; Aphinyanaphongs, Y; Kiefer, N; Smilowitz, NR; Horowitz, J; Ahuja, T; Fishman, GI; Hochman, J; Katz, S; Bernard, S; Ranganath, R</t>
  </si>
  <si>
    <t>Aims Myocardial infarction and heart failure are major cardiovascular diseases that affect millions of people in the USA with morbidity and mortality being highest among patients who develop cardiogenic shock. Early recognition of cardiogenic shock allows prompt implementation of treatment measures. Our objective is to develop a new dynamic risk score, called CShock, to improve early detection of cardiogenic shock in the cardiac intensive care unit (ICU).Methods and results We developed and externally validated a deep learning-based risk stratification tool, called CShock, for patients admitted into the cardiac ICU with acute decompensated heart failure and/or myocardial infarction to predict the onset of cardiogenic shock. We prepared a cardiac ICU dataset using the Medical Information Mart for Intensive Care-III database by annotating with physician-adjudicated outcomes. This dataset which consisted of 1500 patients with 204 having cardiogenic/mixed shock was then used to train CShock. The features used to train the model for CShock included patient demographics, cardiac ICU admission diagnoses, routinely measured laboratory values and vital signs, and relevant features manually extracted from echocardiogram and left heart catheterization reports. We externally validated the risk model on the New York University (NYU) Langone Health cardiac ICU database which was also annotated with physician-adjudicated outcomes. The external validation cohort consisted of 131 patients with 25 patients experiencing cardiogenic/mixed shock. CShock achieved an area under the receiver operator characteristic curve (AUROC) of 0.821 (95% CI 0.792-0.850). CShock was externally validated in the more contemporary NYU cohort and achieved an AUROC of 0.800 (95% CI 0.717-0.884), demonstrating its generalizability in other cardiac ICUs. Having an elevated heart rate is most predictive of cardiogenic shock development based on Shapley values. The other top 10 predictors are having an admission diagnosis of myocardial infarction with ST-segment elevation, having an admission diagnosis of acute decompensated heart failure, Braden Scale, Glasgow Coma Scale, blood urea nitrogen, systolic blood pressure, serum chloride, serum sodium, and arterial blood pH.Conclusion The novel CShock score has the potential to provide automated detection and early warning for cardiogenic shock and improve the outcomes for millions of patients who suffer from myocardial infarction and heart failure.Graphical Abstract</t>
  </si>
  <si>
    <t>Hu, Yuxuan; Lui, Albert; Goldstein, Mark; Sudarshan, Mukund; Tinsay, Andrea; Tsui, Cindy; Maidman, Samuel D.; Medamana, John; Jethani, Neil; Puli, Aahlad; Nguy, Vuthy; Aphinyanaphongs, Yindalon; Kiefer, Nicholas; Smilowitz, Nathaniel R.; Horowitz, James; Ahuja, Tania; Fishman, Glenn, I; Hochman, Judith; Katz, Stuart; Bernard, Samuel; Ranganath, Rajesh</t>
  </si>
  <si>
    <t>Hu, YX (corresponding author), NYU, Leon H Charney Div Cardiol, Langone Hlth, 550 1st Ave, New York, NY 10016 USA.</t>
  </si>
  <si>
    <t>yuxuanh@gmail.com</t>
  </si>
  <si>
    <t>National Institute of Health T32 grant [T32HL098129, T32GM007308]; National Institute of Health/ National Heart, Lung, and Blood Institute [R01HL148248]; National Science Foundation Award [1922658]; National Science Foundation CAREER [2145542]</t>
  </si>
  <si>
    <t>National Institute of Health T32 grant; National Institute of Health/ National Heart, Lung, and Blood Institute; National Science Foundation Award (National Science Foundation (NSF)); National Science Foundation CAREER (National Science Foundation (NSF))</t>
  </si>
  <si>
    <t>Y.H. was supported by an National Institute of Health T32 grant (T32HL098129). R.R. was supported by National Institute of Health/ National Heart, Lung, and Blood Institute Award R01HL148248, National Science Foundation Award 1922658 NRT-HDR: FUTURE Foundations, Translation, and Responsibility for Data Science, and National Science Foundation CAREER Award 2145542. N.J. was sup-ported by an National Institute of Health T32 grant (T32GM007308). The funder of the study (National Institute of Health and National Science Foundation) had no role in study design, data collection, data analysis, data interpretation, writing of the report, or the decision to submit for publication.</t>
  </si>
  <si>
    <t>[Hu, Yuxuan; Kiefer, Nicholas; Smilowitz, Nathaniel R.; Horowitz, James; Fishman, Glenn, I; Hochman, Judith; Katz, Stuart; Bernard, Samuel] NYU, Leon H Charney Div Cardiol, Langone Hlth, 550 1st Ave, New York, NY 10016 USA; [Lui, Albert; Jethani, Neil] NYU, Grossman Sch Med, New York, NY USA; [Goldstein, Mark; Sudarshan, Mukund; Jethani, Neil; Ranganath, Rajesh] NYU, Courant Inst Math Sci, New York, NY USA; [Tinsay, Andrea; Tsui, Cindy; Maidman, Samuel D.; Medamana, John] NYU, Dept Med, Langone Hlth, New York, NY USA; [Nguy, Vuthy; Aphinyanaphongs, Yindalon; Ranganath, Rajesh] NYU, Dept Populat Hlth, Langone Hlth, New York, NY USA; [Ahuja, Tania] NYU, Dept Pharm, Langone Hlth, New York, NY USA; [Ranganath, Rajesh] NYU, Ctr Data Sci, New York, NY USA</t>
  </si>
  <si>
    <t>New York University; New York University; New York University; New York University; New York University; New York University; New York University</t>
  </si>
  <si>
    <t>Development and external validation of a dynamic risk score for early prediction of cardiogenic shock in cardiac intensive care units using machine learning</t>
  </si>
  <si>
    <t>Heart failure; Myocardial infarction; Data science; Machine learning; Cardiac critical care</t>
  </si>
  <si>
    <t>ACUTE MYOCARDIAL-INFARCTION; MANAGEMENT; CLASSIFICATION; MORTALITY; OUTCOMES</t>
  </si>
  <si>
    <t>Fishman, Glenn/KPB-5062-2024; Ahuja, Tania/KMY-3918-2024</t>
  </si>
  <si>
    <t>Jethani, Neil/0000-0002-1364-7984</t>
  </si>
  <si>
    <t>APR 8 2024</t>
  </si>
  <si>
    <t>472</t>
  </si>
  <si>
    <t>10.1093/ehjacc/zuae037</t>
  </si>
  <si>
    <t>http://dx.doi.org/10.1093/ehjacc/zuae037</t>
  </si>
  <si>
    <t>WV5S4</t>
  </si>
  <si>
    <t>38518758</t>
  </si>
  <si>
    <t>WOS:001198170700001</t>
  </si>
  <si>
    <t>Li, DL; He, XY; Zhou, YL; Liu, FK; Wang, Y; Wu, ZQ; Zhong, C; Guo, HY; Liu, T; Tang, SJ; Hu, HY; Li, Q; Zhou, HN</t>
  </si>
  <si>
    <t>Classical heatstroke (CHS) is a life-threatening condition necessitating accurate prognostic tools for risk stratification. The potential of machine learning to predict clinical outcomes in CHS remains largely unexplored. Our objective was to develop and externally validate machine learning-based Cox model for predicting survival in hospitalized CHS patients. This retrospective multicenter study analyzed data from 538 CHS patients admitted to eight hospitals in western China between June 2022 and September 2023, with four institutions constituting the training cohort and four geographically distinct hospitals forming the external validation cohort. An innovative machine learning framework integrating nine algorithms with 54 combinatorial implementations was employed to identify robust prognostic features. Significant predictors from the optimal algorithm combination were incorporated into a multivariable Cox regression model, visualized as a clinical nomogram. Model performance was evaluated using the area under the receiver operating characteristic curve (AUC) and calibration curves, while survival differences were assessed with Kaplan-Meier analysis. The least absolute shrinkage and selection operator (Lasso) + supervised principal components (SuperPC) combination yielded the highest C-indexes (0.921 training; 0.811 validation). The nomogram achieved AUCs of 0.91, 0.85, and 0.86 for 10-, 20-, and 30-day survival in the training set, and 0.710, 0.80, and 0.80 in external validation. Calibration curves indicated strong agreement between predicted and observed 10-day survival probabilities, and Kaplan-Meier analyses confirmed significant survival stratification between risk groups. We developed and validated an accurate machine learning integration-based prognostic tool for CHS inpatients. This approach supports personalized clinical decision-making and offers new avenues for intelligent prognosis monitoring in critical care.</t>
  </si>
  <si>
    <t>Li, Donglin; He, Xinyi; Zhou, Yanlin; Liu, Fake; Wang, Yu; Wu, Zongqian; Zhong, Chuan; Guo, Haiyang; Liu, Tao; Tang, Shengjie; Hu, Haiyang; Li, Qin; Zhou, Haining</t>
  </si>
  <si>
    <t>Zhou, HN (corresponding author), Suining Cent Hosp, Dept Thorac Surg, Suining 629000, Peoples R China.</t>
  </si>
  <si>
    <t>haining_zhou@zmu.edu.cn</t>
  </si>
  <si>
    <t>[Li, Donglin; Zhong, Chuan; Guo, Haiyang; Liu, Tao; Tang, Shengjie; Hu, Haiyang; Zhou, Haining] Suining Cent Hosp, Dept Thorac Surg, Suining 629000, Peoples R China; [He, Xinyi] Nanchong Cent Hosp, Dept Rheumatol &amp; Immunol, Nanchong 637000, Peoples R China; [Zhou, Yanlin] Suining First Peoples Hosp, Dept Colorectal Surg, Suining 629000, Peoples R China; [Liu, Fake] Jiangan Cty Peoples Hosp, Dept Crit Care Med, Jiangan 644200, Peoples R China; [Wang, Yu] Rongxian Peoples Hosp, Dept Emergency Med, Rongxian 643100, Peoples R China; [Wu, Zongqian] Zhongjiang Cty Peoples Hosp, Dept Oncol, Zhongjiang 618100, Peoples R China; [Li, Qin] Shehong Tradit Chinese Med Hosp, Dept Ultrasound, Shehong 629200, Sichuan, Peoples R China</t>
  </si>
  <si>
    <t>North Sichuan Medical University</t>
  </si>
  <si>
    <t>Development and external validation of a machine learning-based Cox model for predicting in-hospital survival in classic heatstroke: a multicenter retrospective study</t>
  </si>
  <si>
    <t>Classic heat stroke; Machine learning; Multivariate Cox regression analysis, nomogram; Survival; Prognosis</t>
  </si>
  <si>
    <t>HEAT-WAVE; EXERTIONAL HEATSTROKE; MORTALITY; MORBIDITY; STROKE; INJURY; IMPACT; CARE</t>
  </si>
  <si>
    <t>MAY 25 2026</t>
  </si>
  <si>
    <t>23840</t>
  </si>
  <si>
    <t>10.1038/s41598-026-53712-z</t>
  </si>
  <si>
    <t>http://dx.doi.org/10.1038/s41598-026-53712-z</t>
  </si>
  <si>
    <t>MD5DI</t>
  </si>
  <si>
    <t>42185384</t>
  </si>
  <si>
    <t>WOS:001839654500010</t>
  </si>
  <si>
    <t>Guo, H; Zhou, TX; Li, SH; Yu, YP; Han, XJ; Liu, X; Shi, XQ; Zhou, Y; Zhao, RN; Zhu, JH; Shang, LP</t>
  </si>
  <si>
    <t>Malnutrition significantly impacts the prognosis of elderly patients with stable chronic obstructive pulmonary disease (COPD). The objective of this study was to develop and validate an automated machine learning (AutoML) framework for predicting malnutrition risk in this population. Data from the National Health and Nutrition Examination Survey (NHANES) 2007-2012 were utilized for model development (n = 710). An independent clinical cohort (n = 330) from the First Hospital of Shanxi Medical University (China) served as the external validation set. Malnutrition status was defined according to the Controlling Nutritional Status (CONUT) score. After feature selection via Least Absolute Shrinkage and Selection Operator (LASSO) regression, the H2O AutoML platform was employed to train and compare models across 6 algorithm families. Model performance was evaluated using the Area Under the Receiver Operating Characteristic Curve (AUC), sensitivity, and specificity. Model interpretability was assessed via SHapley Additive exPlanations (SHAP) analysis. Malnutrition prevalence in the development cohort was 30.99%. Among 52 trained models, a Gradient Boosting Machine (GBM) demonstrated the highest predictive performance. In the internal validation set, the GBM achieved an AUC of 0.813 (95% CI: 0.747-0.872). In the external validation cohort, the model yielded an AUC of 0.830 (95% CI: 0.786-0.875) with a sensitivity of 0.911. SHAP analysis identified fasting glucose, serum creatinine, comorbidity count, hemoglobin, body mass index (BMI), triglycerides, and age as the most influential predictors. The GBM model, developed through an AutoML framework, demonstrates robust predictive performance and generalizability across geographically and ethnically diverse populations. The deployment of a web-based risk calculator facilitates early screening and supports personalized nutritional management in clinical settings.</t>
  </si>
  <si>
    <t>Guo, Hao; Zhou, Tingxu; Li, Shuhua; Yu, Yanping; Han, Xiaojuan; Liu, Xing; Shi, Xinqian; Zhou, Yue; Zhao, Ruining; Zhu, Jiahui; Shang, Linping</t>
  </si>
  <si>
    <t>Shang, LP (corresponding author), Shanxi Med Univ, 56 Xinjian South Rd, Taiyuan, Shanxi, Peoples R China.; Shang, LP (corresponding author), Shanxi Med Univ, Hosp 1, 56 Xinjian South Rd, Taiyuan, Peoples R China.</t>
  </si>
  <si>
    <t>yuyanping@sxmu.edu.cn; 15582731619@163.com; 1363222062@qq.com; zy17836183482@163.com; zhaoruining2023@163.com; shixinqian2022@163.com; 1263514949@qq.com; jiahuizhu0821@163.com; lishuhua1983@163.com; shanglp2017@sxmu.edu.cn</t>
  </si>
  <si>
    <t>[Guo, Hao; Zhou, Tingxu; Yu, Yanping; Liu, Xing; Shi, Xinqian; Zhou, Yue; Zhao, Ruining; Zhu, Jiahui; Shang, Linping] Shanxi Med Univ, 56 Xinjian South Rd, Taiyuan, Shanxi, Peoples R China; [Li, Shuhua; Han, Xiaojuan; Shang, Linping] Shanxi Med Univ, Hosp 1, 56 Xinjian South Rd, Taiyuan, Peoples R China</t>
  </si>
  <si>
    <t>Shanxi Medical University; Shanxi Medical University</t>
  </si>
  <si>
    <t>Development and external validation of a malnutrition risk prediction model for elderly patients with stable chronic obstructive pulmonary disease using automated machine learning</t>
  </si>
  <si>
    <t>aged; automated machine learning; chronic obstructive; machine learning; malnutrition; pulmonary disease; risk assessment; validation study</t>
  </si>
  <si>
    <t>SERUM CREATININE; PREVALENCE; MORTALITY</t>
  </si>
  <si>
    <t>Han, Xiaojuan/GXA-1674-2022</t>
  </si>
  <si>
    <t>e48671</t>
  </si>
  <si>
    <t>10.1097/MD.0000000000048671</t>
  </si>
  <si>
    <t>http://dx.doi.org/10.1097/MD.0000000000048671</t>
  </si>
  <si>
    <t>ID1ZW</t>
  </si>
  <si>
    <t>42152362</t>
  </si>
  <si>
    <t>WOS:001768890900025</t>
  </si>
  <si>
    <t>Cheng, HT; Wang, ZC; Feng, M; Tang, YL; Zheng, XY; Zhang, XS; Lyu, J</t>
  </si>
  <si>
    <t>Aims and ObjectivesTo develop and validate a prediction model for high-flow nasal cannula (HFNC) failure in patients with acute hypoxaemic respiratory failure (AHRF).BackgroundAHRF accounts for a major proportion of intensive care unit (ICU) admissions and is associated with high mortality. HFNC is a non-invasive respiratory support technique that can improve patient oxygenation. However, HFNC failure, defined as the need for escalation to invasive mechanical ventilation, can lead to delayed intubation, prolonged mechanical ventilation and increased risk of mortality. Timely and accurate prediction of HFNC failure has important clinical implications. Machine learning (ML) can improve clinical prediction.DesignMulticentre observational study.MethodsThis study analysed 581 patients from an academic medical centre in Boston and 180 patients from Guangzhou, China treated with HFNC for AHRF. The Boston dataset was randomly divided into a training set (90%, n = 522) and an internal validation set (10%, n = 59), and the model was externally validated using the Guangzhou dataset (n = 180). A random forest (RF)-based feature selection method was used to identify predictive factors. Nine machine learning algorithms were selected to build the predictive model. The area under the receiver operating characteristic curve (AUC) and performance evaluation parameters were used to evaluate the models.ResultsThe final model included 38 features selected using the RF method, with additional input from clinical specialists. Models based on ensemble learning outperformed other models (internal validation AUC: 0.83; external validation AUC: 0.75). Important predictors of HFNC failure include Glasgow Coma Scale scores and Sequential Organ Failure Assessment scores, albumin levels measured during HFNC treatment, ROX index at ICU admission and sepsis.ConclusionsThis study developed an interpretable ML model that accurately predicts the risk of HFNC failure in patients with AHRF.Relevance to Clinical PracticeClinicians and nurses can use ML models for early risk assessment and decision support in AHRF patients receiving HFNC.Reporting MethodTRIPOD checklist for prediction model studies was followed in this study.Patient or Public ContributionPatients were involved in the sample of the study.</t>
  </si>
  <si>
    <t>Cheng, Hongtao; Wang, Zichen; Feng, Mei; Tang, Yonglan; Zheng, Xiaoyu; Zhang, Xiaoshen; Lyu, Jun</t>
  </si>
  <si>
    <t>Lyu, J (corresponding author), Jinan Univ, Dept Clin Res, Affiliated Hosp 1, Guangzhou, Guangdong, Peoples R China.; Zhang, XS (corresponding author), Jinan Univ, Dept Cardiovasc Surg, Affiliated Hosp 1, Guangzhou, Guangdong, Peoples R China.; Lyu, J (corresponding author), Minist Educ, Key Lab Regenerat Med, Guangzhou, Guangdong, Peoples R China.</t>
  </si>
  <si>
    <t>lyujun2020@jnu.edu.cn; xszhang@jnu.edu.cn</t>
  </si>
  <si>
    <t>Clinical Frontier Technology Program of the First Affiliated Hospital of Jinan University, China</t>
  </si>
  <si>
    <t>The work was supported by Clinical Frontier Technology Program of the First Affiliated Hospital of Jinan University, China (No. JNU1AF- CFTP- 2022- a01235) and the Science and Technology Projects in Guangzhou, China (Nos. 202201020054, 2023A03J1032).</t>
  </si>
  <si>
    <t>[Cheng, Hongtao; Tang, Yonglan] Jinan Univ, Sch Nursing, Guangzhou, Guangdong, Peoples R China; [Cheng, Hongtao; Wang, Zichen; Lyu, Jun] Jinan Univ, Dept Clin Res, Affiliated Hosp 1, Guangzhou, Guangdong, Peoples R China; [Feng, Mei; Zheng, Xiaoyu] Jinan Univ, Intens Care Unit, Affiliated Hosp 1, Guangzhou, Guangdong, Peoples R China; [Zhang, Xiaoshen] Jinan Univ, Dept Cardiovasc Surg, Affiliated Hosp 1, Guangzhou, Guangdong, Peoples R China; [Lyu, Jun] Minist Educ, Key Lab Regenerat Med, Guangzhou, Guangdong, Peoples R China</t>
  </si>
  <si>
    <t>Jinan University; Jinan University; Jinan University; Jinan University</t>
  </si>
  <si>
    <t>Predicting High-Flow Nasal Cannula Oxygen Therapy Failure in Patients With Acute Hypoxaemic Respiratory Failure Using Machine Learning: Model Development and External Validation</t>
  </si>
  <si>
    <t>JOURNAL OF CLINICAL NURSING</t>
  </si>
  <si>
    <t>acute hypoxic respiratory failure; high flow nasal cannula; intensive care unit; machine learning; prediction model</t>
  </si>
  <si>
    <t>ROX INDEX; PNEUMONIA PATIENTS; COVID-19 PATIENTS; SEPSIS; ADULTS; PERFORMANCE; CARE</t>
  </si>
  <si>
    <t>Zheng, Xiaoyu/JQW-4287-2023; Cheng, Hongtao/ISU-0159-2023; Lyu, Jun/AAS-1229-2021</t>
  </si>
  <si>
    <t>Cheng, Hongtao/0000-0003-3739-9097; Lyu, Jun/0000-0002-2237-8771</t>
  </si>
  <si>
    <t>0962-1067</t>
  </si>
  <si>
    <t>1365-2702</t>
  </si>
  <si>
    <t>J CLIN NURS</t>
  </si>
  <si>
    <t>J. Clin. Nurs.</t>
  </si>
  <si>
    <t>3628</t>
  </si>
  <si>
    <t>3641</t>
  </si>
  <si>
    <t>10.1111/jocn.17518</t>
  </si>
  <si>
    <t>http://dx.doi.org/10.1111/jocn.17518</t>
  </si>
  <si>
    <t>Nursing</t>
  </si>
  <si>
    <t>6DK4P</t>
  </si>
  <si>
    <t>39468839</t>
  </si>
  <si>
    <t>WOS:001343891900001</t>
  </si>
  <si>
    <t>Isik, FD; Karaca, EE; Oztoprak, K; Yumusak, S; Kemer, OE</t>
  </si>
  <si>
    <t>Background/Objectives: To develop and validate the DMEK Risk and Outcome Prediction (DROP) Score-a benchmarking model integrating patient, donor, surgical, and center-specific parameters for individualized risk assessment following DMEK. Methods: The DROP Score comprises four subscores, namely the Patient Risk Profile (PRP), Donor Tissue Quality (DTQ), Surgical Complexity Index (SCI), and Center Performance Factor (CPF), with literature-derived weights (alpha = 0.40, beta = 0.25, gamma = 0.20, delta = 0.15) validated by sensitivity analysis (K = 0.82-0.91). Clinical validation included 76 DMEK eyes and 89 controls (2019-2023). Machine learning models utilized EfficientNetV2B3 transfer learning with Random Forest classifiers and patient-level data partitioning. IVCM imaging comprised 6200 images. Results: The mean DROP Score was 39.35 +/- 7.61 (Moderate: 92.1%; High: 7.9%). High-risk patients showed worse 12-month BCVA (0.50 vs. 0.31 logMAR) and higher poor prognosis rates (50.0% vs. 34.3%). The DROP Score showed significant correlations with BCVA (r = 0.305, p = 0.007) and ECD (r = -0.352, p = 0.002). Tissue classification accuracy reached 96.2%. Diabetes mellitus emerged as the strongest prognostic factor (OR: 4.34, p = 0.012), followed by hypertension (OR: 2.65, p = 0.078). Conclusions: The DROP Score provides transparent, individualized DMEK risk assessment. Diabetes mellitus and hypertension emerged as dominant systemic prognostic factors, while rebubbling showed no adverse impact on long-term outcomes. Complete four-domain validation requires ongoing prospective data collection.</t>
  </si>
  <si>
    <t>Isik, Feyza Dicle; Karaca, Emine Esra; Oztoprak, Kasim; Yumusak, Semih; Kemer, Ozlem Evren</t>
  </si>
  <si>
    <t>Isik, FD (corresponding author), Univ Hlth Sci, Ankara Bilkent City Hosp, Dept Ophthalmol, TR-06800 Ankara, Turkiye.; Oztoprak, K (corresponding author), Konya Food &amp; Agr Univ, Dept Comp Engn, TR-42080 Konya, Turkiye.</t>
  </si>
  <si>
    <t>dremineesra@gmail.com; kasim.oztoprak@gidatarim.edu.tr; ozlemvidya@gmail.com; feyzadicleisik@gmail.com</t>
  </si>
  <si>
    <t>Turkish Scientific and Technical Council (TUBITAK) [123E450]</t>
  </si>
  <si>
    <t>Turkish Scientific and Technical Council (TUBITAK) (Turkiye Bilimsel ve Teknolojik Arastirma Kurumu (TUBITAK))</t>
  </si>
  <si>
    <t>This research was funded by the Turkish Scientific and Technical Council (TUBITAK) under Grant 123E450.</t>
  </si>
  <si>
    <t>[Isik, Feyza Dicle; Karaca, Emine Esra; Kemer, Ozlem Evren] Univ Hlth Sci, Ankara Bilkent City Hosp, Dept Ophthalmol, TR-06800 Ankara, Turkiye; [Oztoprak, Kasim] Konya Food &amp; Agr Univ, Dept Comp Engn, TR-42080 Konya, Turkiye; [Yumusak, Semih] KTO Karatay Univ, Dept Comp Engn, TR-42020 Konya, Turkiye</t>
  </si>
  <si>
    <t>University of Health Sciences Turkey; Konya Food &amp; Agriculture University; KTO Karatay University</t>
  </si>
  <si>
    <t>Development and Clinical Validation of the DMEK Risk and Outcome Prediction (DROP) Score: A Dynamic Temporal Machine Learning Framework</t>
  </si>
  <si>
    <t>Descemet Membrane Endothelial Keratoplasty (DMEK); DROP score; risk stratification; machine learning; temporal dynamics; corneal endothelium; benchmarking</t>
  </si>
  <si>
    <t>MEMBRANE ENDOTHELIAL KERATOPLASTY; ARTIFICIAL-INTELLIGENCE; GRAFT-SURVIVAL; CELL DENSITY; MULTICENTER; TRIAL; DSAEK; AIR</t>
  </si>
  <si>
    <t>Karaca, Emine Esra/ABH-8913-2022; Isik, Feyza/JEF-6611-2023; Evren Kemer, Ozlem/AAC-8997-2019; Oztoprak, Kasim/U-1631-2018; Yumusak, Semih/NNG-5419-2025</t>
  </si>
  <si>
    <t>664</t>
  </si>
  <si>
    <t>10.3390/jcm15020664</t>
  </si>
  <si>
    <t>http://dx.doi.org/10.3390/jcm15020664</t>
  </si>
  <si>
    <t>CO5JK</t>
  </si>
  <si>
    <t>41598603</t>
  </si>
  <si>
    <t>WOS:001670683400001</t>
  </si>
  <si>
    <t>Zhang, J; Lv, YT; Li, TQ; Jiang, YJ; Wang, JQ; Yuan, YM; Meng, YF; Rui, HY; Yan, XX; Li, MB; Dong, XR; Zhang, B; Ma, L</t>
  </si>
  <si>
    <t>Objective Sepsis is a life-threatening condition characterized by a dysregulated host response to infection. Although serum creatinine and albumin are well-established prognostic biomarkers, the clinical utility of the creatinine-to-albumin ratio (CAR) in sepsis remains insufficiently elucidated. This study aimed to investigate the nonlinear association between CAR and 28-day mortality and to develop a machine learning-based prediction model for risk stratification in critically ill patients with sepsis. Methods Clinical data from 5511 sepsis patients were extracted from the MIMIC-IV (v3.1) database, with external validation conducted in 545 patients from the Intensive Care Unit (ICU) of Lanzhou University Second Hospital. CAR was calculated at ICU admission, and patients were stratified into quartiles. Restricted cubic splines (RCS), Cox proportional hazards regression, and Kaplan-Meier curves were used to evaluate the CAR-mortality association. LASSO regression and the Boruta algorithm were employed for feature selection. Seven ML models were developed to predict 28-day mortality, with performance assessed via discrimination (AUC), calibration (Brier score), and decision curve analysis (DCA). Results CAR showed a nonlinear dose-response relationship with 28-day mortality (P for nonlinearity &lt; 0.001). In multivariable Cox regression analysis, higher CAR was associated with an increased risk of 28-day mortality (adjusted HR = 1.31, 95% CI 1.17-1.47, P &lt; 0.001). Both LASSO and Boruta identified CAR as a prognostic factor. The XGBoost model including CAR showed good predictive performance (AUC = 0.812, 95% CI 0.786-0.837). The calibration was acceptable (Brier score = 0.1341), and the model showed potential clinical value. Conclusions CAR was nonlinearly associated with 28-day and in-hospital mortality in patients with sepsis and remained associated with mortality risk. An XGBoost-based model incorporating CAR demonstrated good discriminative performance. These findings suggest that CAR may serve as a simple and readily available complementary marker for prognostic assessment in sepsis.</t>
  </si>
  <si>
    <t>Zhang, Jing; Lv, Yating; Li, Tongqin; Jiang, Yujing; Wang, Jiaqi; Yuan, Yamin; Meng, Yanfei; Rui, Haiying; Yan, Xiaoxi; Li, Miaobo; Dong, Xiaorong; Zhang, Bei; Ma, Li</t>
  </si>
  <si>
    <t>Ma, L (corresponding author), Lanzhou Univ, Hosp &amp; Clin Med Sch 2, Dept Crit Care Med, 82 Cuyingmen, Lanzhou, Gansu, Peoples R China.</t>
  </si>
  <si>
    <t>ery_mali@lzu.edu.cn</t>
  </si>
  <si>
    <t>Gansu Province Joint Scientific Research Fund [24JRRA930]; National Natural Science Foundation of China [82560378]; the Lanzhou Science and Technology Talent Innovation Program [2018-RC-85]</t>
  </si>
  <si>
    <t>Gansu Province Joint Scientific Research Fund; National Natural Science Foundation of China (National Natural Science Foundation of China (NSFC)); the Lanzhou Science and Technology Talent Innovation Program</t>
  </si>
  <si>
    <t>This study was supported by the National Natural Science Foundation of China (82560378), the Gansu Province Joint Scientific Research Fund (24JRRA930), and the Lanzhou Science and Technology Talent Innovation Program (2018-RC-85).</t>
  </si>
  <si>
    <t>[Zhang, Jing; Lv, Yating; Li, Tongqin; Jiang, Yujing; Wang, Jiaqi; Yuan, Yamin; Meng, Yanfei; Rui, Haiying; Yan, Xiaoxi; Li, Miaobo; Dong, Xiaorong; Zhang, Bei; Ma, Li] Lanzhou Univ, Hosp &amp; Clin Med Sch 2, Dept Crit Care Med, 82 Cuyingmen, Lanzhou, Gansu, Peoples R China</t>
  </si>
  <si>
    <t>Lanzhou University</t>
  </si>
  <si>
    <t>Prognostic value of the creatinine-to-albumin ratio in sepsis: a retrospective study based on machine learning prediction model development and external validation</t>
  </si>
  <si>
    <t>Sepsis; Creatinine-to-albumin ratio; Prognostic biomarker; Machine learning; All-cause mortality; MIMIC-IV database</t>
  </si>
  <si>
    <t>ACUTE KIDNEY INJURY; INTERVENTION</t>
  </si>
  <si>
    <t>10.1186/s40001-026-04856-1</t>
  </si>
  <si>
    <t>http://dx.doi.org/10.1186/s40001-026-04856-1</t>
  </si>
  <si>
    <t>MJ7HF</t>
  </si>
  <si>
    <t>WOS:001843873800001</t>
  </si>
  <si>
    <t>Gu, KE; Lu, SS</t>
  </si>
  <si>
    <t>BackgroundThe incidence of intensive care unit (ICU) admissions and the corresponding mortality rates among cancer patients are both high. However, the existing scoring systems all lack specificity. This research seeks to establish and validate a prediction model for early forecasting of in-hospital mortality in critically ill cancer patients.MethodsA retrospective analysis was conducted utilizing data from cancer patients obtained from the eICU and MIMIC-IV databases. The least absolute shrinkage and selection operator method was employed to screen predictive factors and construct six machine learning (ML) models. These models were mainly compared in terms of their predictive performance through area under the curve (AUC) and underwent external validation. Nomograms were developed using multivariate logistic regression (LR) analysis findings. The Shapley Additive exPlanations (SHAP) method was employed to explain the variables within the ML models.ResultsTwelve predictive factors were chosen to develop the ML models. Among these models, the LR model and the eXtreme gradient boosting (XGB) model demonstrated the optimal efficacy. In the external validation cohort, their AUC values reached 0.751 [95% confidence interval (CI): 0.735 - 0.768] and 0.737 (95% CI: 0.720 - 0.754), respectively. Moreover, nomograms and SHAP were employed to explain the variables. Additionally, a user-friendly web-based calculator tool was created.ConclusionsThe LR and XGB models were successfully developed to predict in-hospital mortality in critically ill cancer patients. Their robust predictive ability was demonstrated in the external validation cohorts. This model can assist physicians in clinical decision-making and timely intervention.Clinical trial numberNot applicable.</t>
  </si>
  <si>
    <t>Gu, Kaier; Lu, Saisai</t>
  </si>
  <si>
    <t>Lu, SS (corresponding author), Wenzhou Med Univ, Dept Rheumatol, Affiliated Hosp 1, Wenzhou, Zhejiang, Peoples R China.</t>
  </si>
  <si>
    <t>lusaisai0505@163.com</t>
  </si>
  <si>
    <t>[Gu, Kaier] Shaoxing Matern &amp; Child Hlth Care Hosp, Dept Internal Med, Shaoxing, Zhejiang, Peoples R China; [Lu, Saisai] Wenzhou Med Univ, Dept Rheumatol, Affiliated Hosp 1, Wenzhou, Zhejiang, Peoples R China</t>
  </si>
  <si>
    <t>Shaoxing Maternity &amp; Child Healthcare Hospital; Wenzhou Medical University</t>
  </si>
  <si>
    <t>Machine learning-based predictive tools and nomogram for in-hospital mortality in critically ill cancer patients: development and external validation using retrospective cohorts</t>
  </si>
  <si>
    <t>Malignancy; Cancer; Intensive care unit; Machine learning; In-hospital mortality; Prognosis</t>
  </si>
  <si>
    <t>INTENSIVE-CARE-UNIT; ASSOCIATION; PREVALENCE; DISEASE; ANEMIA</t>
  </si>
  <si>
    <t>JUL 4 2025</t>
  </si>
  <si>
    <t>251</t>
  </si>
  <si>
    <t>10.1186/s12911-025-03054-z</t>
  </si>
  <si>
    <t>http://dx.doi.org/10.1186/s12911-025-03054-z</t>
  </si>
  <si>
    <t>4OG6H</t>
  </si>
  <si>
    <t>40616102</t>
  </si>
  <si>
    <t>WOS:001522738800002</t>
  </si>
  <si>
    <t>Chen, TLW; Buddhiraju, A; Seo, HH; Subih, MA; Tuchinda, P; Kwon, YM</t>
  </si>
  <si>
    <t>Background: Nonhome discharge disposition following primary total knee arthroplasty (TKA) is associated with a higher rate of complications and constitutes a socioeconomic burden on the health care system. While existing algorithms predicting nonhome discharge disposition varied in degrees of mathematical complexity and prediction power, their capacity to generalize predictions beyond the development dataset remains limited. Therefore, this study aimed to establish the machine learning model generalizability by performing internal and external validations using nation-scale and institu-tional cohorts, respectively. Methods: Four machine learning models were trained using the national cohort. Recursive feature elimination and hyper-parameter tuning were applied. Internal validation was achieved through five-fold cross-validation during model training. The trained models' performance was externally validated using the institutional cohort and assessed by discrimination, calibration, and clinical utility. Results: The national (424,354 patients) and institutional (10,196 patients) cohorts had non-home discharge rates of 19.4 and 36.4%, respectively. The areas under the receiver operating curve of the model predictions were 0.83 to 0.84 during internal validation and increased to 0.88 to 0.89 during external validation. Artificial neural network and histogram-based gradient boosting elicited the best performance with a mean area under the receiver operating curve of 0.89, calibration slope of 1.39, and Brier score of 0.14, which indicated that the two models were robust in distinguishing non-home discharge and well-calibrated with accurate predictions of the probabilities. The low inter-dataset similarity indicated reliable external validation. Length of stay, age, body mass index, and sex were the strongest predictors of discharge destination after primary TKA. Conclusion: The machine learning models demonstrated excellent predictive performance during both internal and external validations, supporting their generalizability across different patient cohorts and potential applicability in the clinical workflow. (c) 2023 Elsevier Inc. All rights reserved.</t>
  </si>
  <si>
    <t>Chen, Tony Lin-Wei; Buddhiraju, Anirudh; Seo, Henry Hojoon; Subih, Murad Abdullah; Tuchinda, Pete; Kwon, Young-Min</t>
  </si>
  <si>
    <t>Kwon, YM (corresponding author), Harvard Med Sch, Bioengn Lab, Dept Orthopaed Surg, Massachusetts Gen Hosp, 55 Fruit St,GRJ 1215, Boston, MA 02115 USA.</t>
  </si>
  <si>
    <t>[Chen, Tony Lin-Wei; Buddhiraju, Anirudh; Seo, Henry Hojoon; Subih, Murad Abdullah; Tuchinda, Pete; Kwon, Young-Min] Harvard Med Sch, Bioengn Lab, Dept Orthopaed Surg, Massachusetts Gen Hosp, Boston, MA USA; [Kwon, Young-Min] Harvard Med Sch, Bioengn Lab, Dept Orthopaed Surg, Massachusetts Gen Hosp, 55 Fruit St,GRJ 1215, Boston, MA 02115 USA</t>
  </si>
  <si>
    <t>Harvard University; Harvard Medical School; Harvard University Medical Affiliates; Massachusetts General Hospital; Harvard University; Harvard Medical School; Harvard University Medical Affiliates; Massachusetts General Hospital</t>
  </si>
  <si>
    <t>Internal and External Validation of the Generalizability of Machine Learning Algorithms in Predicting Non-home Discharge Disposition Following Primary Total Knee Joint Arthroplasty</t>
  </si>
  <si>
    <t>machine learning model; external validation; total knee arthroplasty; artificial intelligence; discharge disposition</t>
  </si>
  <si>
    <t>TOTAL HIP; CARE; TOOL; REGRESSION; PROGNOSIS; MODELS; IMPACT</t>
  </si>
  <si>
    <t>Buddhiraju, Anirudh/LUZ-8769-2024; Subih, Murad/HHN-3670-2022; Chen, Tony Lin-Wei/AAX-6276-2020</t>
  </si>
  <si>
    <t>Buddhiraju, Anirudh/0000-0002-9304-2474; Seo, Hojoon/0000-0002-2959-2535; Chen, Tony Lin-Wei/0000-0003-0737-0859</t>
  </si>
  <si>
    <t>1973</t>
  </si>
  <si>
    <t>1981</t>
  </si>
  <si>
    <t>10.1016/j.arth.2023.01.065</t>
  </si>
  <si>
    <t>http://dx.doi.org/10.1016/j.arth.2023.01.065</t>
  </si>
  <si>
    <t>T6XZ8</t>
  </si>
  <si>
    <t>36764409</t>
  </si>
  <si>
    <t>WOS:001079407200001</t>
  </si>
  <si>
    <t>Hadanny, A; Shouval, R; Wu, JH; Shlomo, N; Unger, R; Zahger, D; Matetzky, S; Goldenberg, I; Beigel, R; Gale, C; Iakobishvili, Z</t>
  </si>
  <si>
    <t>Background: Various prognostic models for mortality prediction following ST-segment elevation myocar-dial infarction (STEMI) have been developed over the past two decades. Our group has previously demon-strated that machine learning (ML)-based models can outperform known risk scores for 30-day mortality post-STEMI. The study aimed to redevelop an ML-based random forest prediction model for 30-day mor-tality post-STEMI and externally validate it on a large cohort. Methods: This was a retrospective, supervised learning, data mining study developed on the Acute Coro-nary Syndrome Israeli Survey (ACSIS) registry and the Myocardial Ischemia National Audit Project (MI -NAP) for external validation. Patients included received reperfusion therapy for STEMI between 2006 and 2016. Discrimination and calibration performances were assessed for two developed models and com-pared with the Global Registry of Acute Cardiac Events (GRACE) score. Results: The ACSIS cohort (2,782 included /15,212 total) and MINAP cohort (22,693 included/735,0 0 0 total) were significantly different in most variables, yet similar in 30-day mortality rate (4.3-4.4%). Ran-dom forest models were developed on the ACSIS cohort with a full model including all 32 variables and a simple model including the 10 most important ones. Features' importance was calculated using the varImp function measuring how much each feature contributes to the data's homogeneity. Applying the optimized models on the MINAP validation cohort showed high discrimination of area under the curve (AUC) = 0.804 (0.786-0.822) for the full model, and AUC = 0.787 (0.748-0.780) using the simple model, compared with the GRACE risk score discrimination of AUC = 0.764 (0.748-0.780). All models were not well calibrated for the MINAP data. Following Platt scaling on 20% of the MINAP data, the random forest models calibration improved while the GRACE calibration did not change. Conclusions: The random forest predictive model for 30-day mortality post STEMI, developed on the AC -SIS national registry, has been validated in the MINAP large external cohort and can be applied early at admission for risk stratification. The model performed better than the commonly used GRACE score. Fur -thermore, to the best of our knowledge, this is the first externally validated ML-based model for STEMI. Crown Copyright (c) 2021 Published by Elsevier Ltd on behalf of Japanese College of Cardiology. All rights reserved.</t>
  </si>
  <si>
    <t>Hadanny, Amir; Shouval, Roni; Wu, Jianhua; Shlomo, Nir; Unger, Ron; Zahger, Doron; Matetzky, Shlomi; Goldenberg, Ilan; Beigel, Roy; Gale, Chris; Iakobishvili, Zaza</t>
  </si>
  <si>
    <t>Hadanny, A (corresponding author), Shamir Med Ctr, Sagol Ctr, IL-70300 Zerifin, Israel.</t>
  </si>
  <si>
    <t>amir.had@gmail.com</t>
  </si>
  <si>
    <t>[Hadanny, Amir] Bar Ilan Univ, Mina &amp; Everard Goodman Fac Life Sci, Ramat Gan, Israel; [Shouval, Roni] Tel Aviv Univ, Sheba Med Ctr, Sackler Sch Med, Ramat Gan, Israel; [Wu, Jianhua] Univ Leeds, Leeds Inst Data Analyt, Leeds, W Yorkshire, England; [Shlomo, Nir] Sheba Med Ctr, Israeli Assoc Cardiovasc Trials, Tel Hashomer, Israel; [Unger, Ron] Ben Gurion Univ Negev, Soroka Univ Med Ctr, Fac Hlth Sci, Dept Cardiol, Beer Sheva, Israel; [Zahger, Doron] Tel Aviv Univ, Sheba Med Ctr, Sackler Sch Med, Heart Inst, Tel Hashomer, Israel; [Matetzky, Shlomi] Univ Leeds, Sch Med, Leeds Inst Cardiovasc &amp; Metab Med, Leeds, W Yorkshire, England; [Goldenberg, Ilan] Clalit Hlth Serv, Dept Cardiol, Tel Aviv Jaffa Dist, Tel Aviv, Israel; [Hadanny, Amir; Beigel, Roy] Tel Aviv Univ, Sackler Sch Med, Tel Aviv, Israel; [Shouval, Roni; Gale, Chris; Iakobishvili, Zaza] Mem Sloan Kettering Canc Ctr, Mina &amp; Everard Goodman Fac Life Sci, Adult Bone Marrow Transplantat Serv, 1275 York Ave, New York, NY 10021 USA; [Goldenberg, Ilan] Samson Assuta Ashdod Univ Hosp, Ashdod, Israel</t>
  </si>
  <si>
    <t>Bar Ilan University; Chaim Sheba Medical Center; Tel Aviv University; Sackler Faculty of Medicine; University of Leeds; Chaim Sheba Medical Center; Tel Aviv University; Ben-Gurion University of the Negev; Soroka Medical Center; Chaim Sheba Medical Center; Tel Aviv University; Sackler Faculty of Medicine; University of Leeds; Clalit Health Services; Tel Aviv University; Sackler Faculty of Medicine; Memorial Sloan Kettering Cancer Center; Ben-Gurion University of the Negev; Samson Assuta Ashdod University Hospital</t>
  </si>
  <si>
    <t>Predicting 30-day mortality after ST elevation myocardial infarction: Machine learning- based random forest and its external validation using two independent nationwide datasets</t>
  </si>
  <si>
    <t>JOURNAL OF CARDIOLOGY</t>
  </si>
  <si>
    <t>ST-segment elevation myocardial infarction; Machine learning; Data mining; Outcome; Mortality</t>
  </si>
  <si>
    <t>PERCUTANEOUS CORONARY INTERVENTION; TIMI RISK SCORE; PRIMARY ANGIOPLASTY; INDIVIDUAL PROGNOSIS; CARDIOGENIC-SHOCK; DIAGNOSIS TRIPOD; PRIMARY PCI; REGISTRY; TRENDS; DEATH</t>
  </si>
  <si>
    <t>Wu, Jianhua/G-1080-2019; Iakobishvili, Zaza/LSK-6878-2024; Gale, Chris/B-1653-2012; Beigel, Roy/MBI-1177-2025</t>
  </si>
  <si>
    <t>Wu, Jianhua/0000-0001-6093-599X; Gale, Chris/0000-0003-4732-382X</t>
  </si>
  <si>
    <t>0914-5087</t>
  </si>
  <si>
    <t>1876-4738</t>
  </si>
  <si>
    <t>J CARDIOL</t>
  </si>
  <si>
    <t>J. Cardiol.</t>
  </si>
  <si>
    <t>439</t>
  </si>
  <si>
    <t>10.1016/j.jjcc.2021.06.002</t>
  </si>
  <si>
    <t>http://dx.doi.org/10.1016/j.jjcc.2021.06.002</t>
  </si>
  <si>
    <t>WB2YW</t>
  </si>
  <si>
    <t>34154875</t>
  </si>
  <si>
    <t>WOS:000703444100013</t>
  </si>
  <si>
    <t>Park, E; Lee, K; Han, T; Nam, HS</t>
  </si>
  <si>
    <t>Background: Subtle abnormal motor signs are indications of serious neurological diseases. Although neurological deficits require fast initiation of treatment in a restricted time, it is difficult for nonspecialists to detect and objectively assess the symptoms. In the clinical environment, diagnoses and decisions are based on clinical grading methods, including the National Institutes of Health Stroke Scale (NIHSS) score or the Medical Research Council (MRC) score, which have been used to measure motor weakness. Objective grading in various environments is necessitated for consistent agreement among patients, caregivers, paramedics, and medical staff to facilitate rapid diagnoses and dispatches to appropriate medical centers.Objective: In this study, we aimed to develop an autonomous grading system for stroke patients. We investigated the feasibility of our new system to assess motor weakness and grade NIHSS and MRC scores of 4 limbs, similar to the clinical examinations performed by medical staff.Methods: We implemented an automatic grading system composed of a measuring unit with wearable sensors and a grading unit with optimized machine learning. Inertial sensors were attached to measure subtle weaknesses caused by paralysis of upper and lower limbs. We collected 60 instances of data with kinematic features of motor disorders from neurological examination and demographic information of stroke patients with NIHSS 0 or 1 and MRC 7, 8, or 9 grades in a stroke unit. Training data with 240 instances were generated using a synthetic minority oversampling technique to complement the imbalanced number of data between classes and low number of training data. We trained 2 representative machine learning algorithms, an ensemble and a support vector machine (SVM), to implement auto-NIHSS and auto-MRC grading. The optimized algorithms performed a 5-fold cross-validation and were searched by Bayes optimization in 30 trials. The trained model was tested with the 60 original hold-out instances for performance evaluation in accuracy, sensitivity, specificity, and area under the receiver operating characteristics curve (AUC).Results: The proposed system can grade NIHSS scores with an accuracy of 83.3% and an AUC of 0.912 using an optimized ensemble algorithm, and it can grade with an accuracy of 80.0% and an AUC of 0.860 using an optimized SVM algorithm. The auto-MRC grading achieved an accuracy of 76.7% and a mean AUC of 0.870 in SVM classification and an accuracy of 78.3% and a mean AUC of 0.877 in ensemble classification.Conclusions: The automatic grading system quantifies proximal weakness in real time and assesses symptoms through automatic grading. The pilot outcomes demonstrated the feasibility of remote monitoring of motor weakness caused by stroke. The system can facilitate consistent grading with instant assessment and expedite dispatches to appropriate hospitals and treatment initiation by sharing auto-MRC and auto-NIHSS scores between prehospital and hospital responses as an objective observation.</t>
  </si>
  <si>
    <t>Park, Eunjeong; Lee, Kijeong; Han, Taehwa; Nam, Hyo Suk</t>
  </si>
  <si>
    <t>Nam, HS (corresponding author), Yonsei Univ, Dept Neurol, Coll Med, 50 Yonsei Ro, Seoul, South Korea.</t>
  </si>
  <si>
    <t>hsnam@yuhs.ac</t>
  </si>
  <si>
    <t>Ministry of Science and ICT [NRF-2020R1A2C1013152]; Korea Health Technology Research and Development Project - Ministry of Health and Welfare, Republic of Korea [HI19C0481, HC19C0028]</t>
  </si>
  <si>
    <t>Ministry of Science and ICT (Ministry of Science &amp; ICT (MMSTI)); Korea Health Technology Research and Development Project - Ministry of Health and Welfare, Republic of Korea</t>
  </si>
  <si>
    <t>This research was supported by a grant funded by the Ministry of Science and ICT (NRF-2020R1A2C1013152) and by a grant of the Korea Health Technology Research and Development Project funded by the Ministry of Health and Welfare (HI19C0481, HC19C0028), Republic of Korea.</t>
  </si>
  <si>
    <t>[Park, Eunjeong] Yonsei Univ, Cerebrocardiovasc Dis Res Ctr, Coll Med, Seoul, South Korea; [Lee, Kijeong] Yonsei Univ, Dept Radiol, Coll Med, Seoul, South Korea; [Han, Taehwa] Yonsei Univ, Hlth IT Ctr, Coll Med, Seoul, South Korea; [Nam, Hyo Suk] Yonsei Univ, Dept Neurol, Coll Med, 50 Yonsei Ro, Seoul, South Korea</t>
  </si>
  <si>
    <t>Yonsei University; Yonsei University Health System; Yonsei University; Yonsei University Health System; Yonsei University; Yonsei University Health System; Yonsei University; Yonsei University Health System</t>
  </si>
  <si>
    <t>Automatic Grading of Stroke Symptoms for Rapid Assessment Using Optimized Machine Learning and 4-Limb Kinematics: Clinical Validation Study</t>
  </si>
  <si>
    <t>machine learning; artificial intelligence; sensors; kinematics; stroke; telemedicine</t>
  </si>
  <si>
    <t>MIDDLE CEREBRAL-ARTERY; ACUTE ISCHEMIC-STROKE; SCALE; THROMBOLYSIS; SEVERITY; CLASSIFICATION; PREDICTION; DESIGN; LEVEL; TIME</t>
  </si>
  <si>
    <t>NAM, HYO SUK/0000-0002-4415-3995; Lee, Kijeong/0000-0001-6459-2365</t>
  </si>
  <si>
    <t>SEP 16 2020</t>
  </si>
  <si>
    <t>e20641</t>
  </si>
  <si>
    <t>10.2196/20641</t>
  </si>
  <si>
    <t>http://dx.doi.org/10.2196/20641</t>
  </si>
  <si>
    <t>PF6EL</t>
  </si>
  <si>
    <t>32936079</t>
  </si>
  <si>
    <t>WOS:000599145000004</t>
  </si>
  <si>
    <t>Shah, AA; Karhade, A; Park, HY; Sheppard, WL; Macyszyn, LJ; Everson, RG; Shamie, AN; Park, DY; Schwab, JH; Hornicek, FJ</t>
  </si>
  <si>
    <t>BACKGROUND CONTEXT: Surgical decompression and stabilization in the setting of spinal metastasis is performed to relieve pain and preserve functional status. These potential benefits must be weighed against the risks of perioperative morbidity and mortality. Accurate prediction of a patient's postoperative survival is a crucial component of patient counseling.PURPOSE: To externally validate the SORG machine learning algorithms for prediction of 90-day and 1-year mortality after surgery for spinal metastasis.STUDY DESIGN/SETTING: Retrospective, cohort studyPATIENT SAMPLE: Patients 18 years or older at a tertiary care medical center treated surgically for spinal metastasisOUTCOME MEASURES: Mortality within 90 days of surgery, mortality within 1 year of surgeryMETHODS: This is a retrospective cohort study of 298 adult patients at a tertiary care medical center treated surgically for spinal metastasis between 2004 and 2020. Baseline characteristics of the validation cohort were compared to the derivation cohort for the SORG algorithms. The following metrics were used to assess the performance of the algorithms: discrimination, calibration, overall model performance, and decision curve analysis.RESULTS: Sixty-one patients died within 90 days of surgery and 133 died within 1 year of surgery. The validation cohort differed significantly from the derivation cohort. The SORG algorithms for 90-day mortality and 1-year mortality performed excellently with respect to discrimination; the algorithm for 1-year mortality was well-calibrated. At both postoperative time points, the SORG algorithms showed greater net benefit than the default strategies of changing management for no patients or for all patients.CONCLUSIONS: With an independent, contemporary, and geographically distinct population, we report successful external validation of SORG algorithms for preoperative risk prediction of 90-day and 1-year mortality after surgery for spinal metastasis. By providing accurate prediction of intermediate and long-term mortality risk, these externally validated algorithms may inform shared decision-making with patients in determining management of spinal metastatic disease. (C) 2021 Elsevier Inc. All rights reserved.</t>
  </si>
  <si>
    <t>Shah, Akash A.; Karhade, Aditya, V; Park, Howard Y.; Sheppard, William L.; Macyszyn, Luke J.; Everson, Richard G.; Shamie, Arya N.; Park, Don Y.; Schwab, Joseph H.; Hornicek, Francis J.</t>
  </si>
  <si>
    <t>Shah, AA (corresponding author), Univ Calif Los Angeles, David Geffen Sch Med, Dept Orthopaed Surg, 10833 Conte Ave 76-116 CHS, Los Angeles, CA 90095 USA.</t>
  </si>
  <si>
    <t>aashah@mednet.ucla.edu</t>
  </si>
  <si>
    <t>[Shah, Akash A.; Park, Howard Y.; Sheppard, William L.; Shamie, Arya N.; Park, Don Y.; Hornicek, Francis J.] Univ Calif Los Angeles, David Geffen Sch Med, Dept Orthopaed Surg, 10833 Conte Ave 76-116 CHS, Los Angeles, CA 90095 USA; [Karhade, Aditya, V; Schwab, Joseph H.] Massachusetts Gen Hosp, Dept Orthopaed Surg, Boston, MA 02114 USA; [Macyszyn, Luke J.; Everson, Richard G.] Univ Calif Los Angeles, David Geffen Sch Med, Dept Neurosurg, Los Angeles, CA 90095 USA</t>
  </si>
  <si>
    <t>Massachusetts General Hospital; Harvard University; Harvard University Medical Affiliates; Massachusetts General Hospital; University of California System; University of California Los Angeles; University of California Los Angeles Medical Center; David Geffen School of Medicine at UCLA</t>
  </si>
  <si>
    <t>Updated external validation of the SORG machine learning algorithms for prediction of ninety-day and one-year mortality after surgery for spinal metastasis</t>
  </si>
  <si>
    <t>Metastasis; Machine learning; Mortality; Complications; Outcomes; Risk calculator</t>
  </si>
  <si>
    <t>PROGNOSTIC-FACTORS; TOKUHASHI SCORE; PREOPERATIVE EVALUATION; SURGICAL-TREATMENT; UNITED-STATES; SURVIVAL; SYSTEM; PHYSICIANS; ACCURACY; CANCER</t>
  </si>
  <si>
    <t>Everson, Richard/0000-0003-2809-3061; HUITRON, EFREN/0009-0008-2046-3359; Karhade, Aditya/0000-0002-6026-4361; Hornicek, Francis/0000-0002-6916-8042; Schwab, Joseph/0000-0002-2059-7559</t>
  </si>
  <si>
    <t>1679</t>
  </si>
  <si>
    <t>1686</t>
  </si>
  <si>
    <t>10.1016/j.spinee.2021.03.026</t>
  </si>
  <si>
    <t>http://dx.doi.org/10.1016/j.spinee.2021.03.026</t>
  </si>
  <si>
    <t>WD3SW</t>
  </si>
  <si>
    <t>33798728</t>
  </si>
  <si>
    <t>WOS:000704865800013</t>
  </si>
  <si>
    <t>Tian, M; Wang, T; Wang, P</t>
  </si>
  <si>
    <t>About a third of patients with kidney cancer experience recurrence or cancer-related progression. Clinically, kidney cancer prognoses may be quite different, even in patients with kidney cancer at the same clinical stage. Therefore, there is an urgent need to screen for kidney cancer prognosis biomarkers. Differentially expressed genes (DEGs) were identified using kidney cancer RNA sequencing data from the Gene Expression Omnibus (GEO) database. Biomarkers were screened using random forest (RF) and support vector machine (SVM) models, and a multigene signature was constructed using the least absolute shrinkage and selection operator (LASSO) regression analysis. Univariate and multivariate Cox regression analyses were performed to explore the relationships between clinical features and prognosis. Finally, the reliability and clinical applicability of the model were validated, and relationships with biological pathways were identified. Western blots were also performed to evaluate gene expression. A total of 50 DEGs were obtained by intersecting the RF and SVM models. A seven-gene signature (RNASET2, EZH2, FXYD5, KIF18A, NAT8, CDCA7, and WNT7B) was constructed by LASSO regression. Univariate and multivariate Cox regression analyses showed that the seven-gene signature was an independent prognostic factor for kidney cancer. Finally, a predictive nomogram was established in The Cancer Genome Atlas (TCGA) cohort and validated internally. In tumor tissue, RNASET2 and FXYD5 were highly expressed and NAT8 was lowly expressed at the protein and transcription levels. This model could complement the clinicopathological characteristics of kidney cancer and promote the personalized management of patients with kidney cancer.</t>
  </si>
  <si>
    <t>Tian, Mi; Wang, Tao; Wang, Peng</t>
  </si>
  <si>
    <t>Wang, P (corresponding author), China Med Univ, Dept Ultrasound, Shengjing Hosp, Shenyang 110004, Liaoning, Peoples R China.</t>
  </si>
  <si>
    <t>wangpcmu@126.com</t>
  </si>
  <si>
    <t>[Tian, Mi] China Med Univ, Dept Nephrol, Shengjing Hosp, Shenyang, Peoples R China; [Wang, Tao] Shenyang KingMed Ctr Clin Lab Co Ltd, Dept Pathol, Shenyang, Peoples R China; [Wang, Peng] China Med Univ, Dept Ultrasound, Shengjing Hosp, Shenyang 110004, Liaoning, Peoples R China</t>
  </si>
  <si>
    <t>China Medical University; China Medical University</t>
  </si>
  <si>
    <t>Development and Clinical Validation of a Seven-Gene Prognostic Signature Based on Multiple Machine Learning Algorithms in Kidney Cancer</t>
  </si>
  <si>
    <t>CELL TRANSPLANTATION</t>
  </si>
  <si>
    <t>kidney cancer; SVM; RF; LASSO; gene signature; prognosis</t>
  </si>
  <si>
    <t>Wang, Tao/0000-0001-6931-5789</t>
  </si>
  <si>
    <t>0963-6897</t>
  </si>
  <si>
    <t>1555-3892</t>
  </si>
  <si>
    <t>CELL TRANSPLANT</t>
  </si>
  <si>
    <t>Cell Transplant.</t>
  </si>
  <si>
    <t>FEB 22 2021</t>
  </si>
  <si>
    <t>0963689720969176</t>
  </si>
  <si>
    <t>10.1177/0963689720969176</t>
  </si>
  <si>
    <t>http://dx.doi.org/10.1177/0963689720969176</t>
  </si>
  <si>
    <t>Cell &amp; Tissue Engineering; Medicine, Research &amp; Experimental; Transplantation</t>
  </si>
  <si>
    <t>Cell Biology; Research &amp; Experimental Medicine; Transplantation</t>
  </si>
  <si>
    <t>QR2EJ</t>
  </si>
  <si>
    <t>33626918</t>
  </si>
  <si>
    <t>WOS:000625027300001</t>
  </si>
  <si>
    <t>Duan, SY; Zhou, Q; Shi, Y; Ye, YY; Hua, HJ; Liu, DH; Xue, YQ; Zhang, CN; Yuan, YG; Xing, CY; Mao, HJ; Zhang, B</t>
  </si>
  <si>
    <t>Diabetic kidney disease (DKD) lacks specific biomarkers reflecting the interplay between mitochondrial dysfunction and immune microenvironment remodeling. To address this, we integrated multi-dataset transcriptomics (GEO, MitoCarta 3.0, GeneCards) with Weighted Gene Co-expression Network Analysis, protein-protein interaction networks, and machine learning algorithms to identify key diagnostic genes. Single-nucleus RNA sequencing was utilized to map cell-type distributions. Subsequently, a single-center cohort of 70 biopsy-confirmed DKD patients was enrolled for validation of the key hub gene, HDAC6. We identified four hub genes: EGF (downregulated), HDAC6, TPM1, and VCAM1 (upregulated). All genes exhibited robust diagnostic efficacy, and single-nucleus analysis revealed distinct renal cell-type enrichment patterns. Clinically, high renal HDAC6 expression correlated with severe interstitial inflammation, elevated complement C3 and cystatin C, and reduced urinary ammonium (a clinical proxy for proximal tubular mitochondrial dysfunction). Crucially, high HDAC6 served as an independent risk factor for both renal endpoints and cardiorenal composite events. In conclusion, EGF, HDAC6, TPM1, and VCAM1 are key regulators in DKD. Specifically, intrarenal HDAC6 quantification serves as a precise histological metric for prognostic stratification and underscores its potential as a therapeutic target for DKD intervention.</t>
  </si>
  <si>
    <t>Duan, Suyan; Zhou, Qian; Shi, Ying; Ye, Yuyou; Hua, Hujia; Liu, Dehui; Xue, Yuqian; Zhang, Chengning; Yuan, Yanggang; Xing, Changying; Mao, Huijuan; Zhang, Bo</t>
  </si>
  <si>
    <t>Zhang, B (corresponding author), Nanjing Med Univ, Affiliated Hosp 1, Dept Nephrol, 300 Guangzhou Rd, Nanjing 210029, Peoples R China.</t>
  </si>
  <si>
    <t>duansuyan@jsph.org.cn; s1240130180@163.com; zhouqian77@stu.njmu.edu.cn; yyy888@stu.njmu.edu.cn; zhangbo@jsph.org.cn</t>
  </si>
  <si>
    <t>"PRO.Run" Fund of the Nephrology Group of CEBM [KYS2021-03-02-14]; Project of Bethune PuAi Medical Research Fund [PAYJ-058]; Jiangsu Province Hospital (the First Affiliated Hospital with Nanjing Medical University) Clinical Capacity Enhancement Project [JSPH-MB-2024-3]; National Natural Science Foundation of China [82100767]; Priority Academic Program Development (PAPD) of Jiangsu Higher Education Institution, and Jiangsu Provincial Medical Key Discipline (Laboratory) Cultivation Unit [JSDW202206]; Natural Science Foundation of Jiangsu Province [BK20191075]</t>
  </si>
  <si>
    <t>"PRO.Run" Fund of the Nephrology Group of CEBM; Project of Bethune PuAi Medical Research Fund; Jiangsu Province Hospital (the First Affiliated Hospital with Nanjing Medical University) Clinical Capacity Enhancement Project; National Natural Science Foundation of China (National Natural Science Foundation of China (NSFC)); Priority Academic Program Development (PAPD) of Jiangsu Higher Education Institution, and Jiangsu Provincial Medical Key Discipline (Laboratory) Cultivation Unit; Natural Science Foundation of Jiangsu Province (Natural Science Foundation of Jiangsu Province)</t>
  </si>
  <si>
    <t>This work was supported by grants from the National Natural Science Foundation of China (82100767), Natural Science Foundation of Jiangsu Province (BK20191075), "PRO center dot Run" Fund of the Nephrology Group of CEBM (KYS2021-03-02-14), Jiangsu Province Hospital (the First Affiliated Hospital with Nanjing Medical University) Clinical Capacity Enhancement Project (JSPH-MB-2024-3), Project of Bethune PuAi Medical Research Fund (PAYJ-058), Priority Academic Program Development (PAPD) of Jiangsu Higher Education Institution, and Jiangsu Provincial Medical Key Discipline (Laboratory) Cultivation Unit (JSDW202206).</t>
  </si>
  <si>
    <t>[Duan, Suyan; Zhou, Qian; Shi, Ying; Ye, Yuyou; Hua, Hujia; Liu, Dehui; Xue, Yuqian; Zhang, Chengning; Yuan, Yanggang; Xing, Changying; Mao, Huijuan; Zhang, Bo] Nanjing Med Univ, Affiliated Hosp 1, Dept Nephrol, 300 Guangzhou Rd, Nanjing 210029, Peoples R China</t>
  </si>
  <si>
    <t>Nanjing Medical University</t>
  </si>
  <si>
    <t>Immune Infiltration and Mitochondrial Function in Diabetic Kidney Disease: WGCNA and Machine Learning Identified Hub Genes with Clinical Validation</t>
  </si>
  <si>
    <t>diabetic kidney disease; bioinformatics analysis; immune infiltration; mitochondria; clinical cohort</t>
  </si>
  <si>
    <t>CROSS-TALK</t>
  </si>
  <si>
    <t>段俗言, 南京医科大学/HJY-9548-2023</t>
  </si>
  <si>
    <t>MAY 23 2026</t>
  </si>
  <si>
    <t>4696</t>
  </si>
  <si>
    <t>10.3390/ijms27114696</t>
  </si>
  <si>
    <t>http://dx.doi.org/10.3390/ijms27114696</t>
  </si>
  <si>
    <t>JI3CB</t>
  </si>
  <si>
    <t>42278229</t>
  </si>
  <si>
    <t>WOS:001789998300001</t>
  </si>
  <si>
    <t>Tang, F; Zuo, X; Wang, WY; Sun, R; Cheng, H; Wu, WH</t>
  </si>
  <si>
    <t>Objective Type 2 diabetes (T2DM) is a highly prevalent metabolic disorder with substantial molecular heterogeneity, and traditional bulk transcriptomic approaches often fail to capture cell-specific changes critical to disease pathogenesis. This study aims to identify and validate key signature genes for T2DM by integrating single-cell RNA sequencing (scRNA-seq) with machine learning, providing new insights into disease mechanisms and potential biomarkers.Methods We analyzed scRNA-seq data to characterize cellular heterogeneity across 10 distinct cell types. Differential expression analysis identified 455 candidate genes, which were refined using LASSO regression. The diagnostic potential of identified genes was evaluated using ROC curve analysis on an independent dataset. Functional enrichment and cell communication analyses were performed to elucidate biological processes and intercellular signaling networks. Finally, expression changes of the candidate genes were validated in peripheral blood from a separate clinical cohort (15 T2DM patients, 20 controls) using qRT-PCR.Results Four core genes (PNLIP, BUB1, CTSB, NAMPT) were identified as candidate signature genes. ROC analysis showed AUC values of 0.819, 0.931, 0.882, and 0.694, respectively, suggesting promising but variable diagnostic accuracy. Enrichment analyses indicated these genes participate in processes including extracellular matrix remodeling, digestion/absorption, and signal transduction. Cell communication analysis suggested a potential central role of Alpha and Beta cells in diabetic signaling networks, with the MK and SPP1 pathways showing complementary expression patterns. In addition, qRT-PCR confirmed significantly up-regulated expression of PNLIP, BUB1, and CTSB along with down-regulated NAMPT in T2DM patients, supporting their potential as circulating candidate biomarkers.Conclusion This study integrates machine learning with scRNA-seq to identify PNLIP, BUB1, CTSB, and NAMPT as potential T2DM signature genes. These findings offer candidate diagnostic biomarkers and provide preliminary mechanistic insights into disease-associated pathways.</t>
  </si>
  <si>
    <t>Tang, Fang; Zuo, Xin; Wang, Weiyan; Sun, Rui; Cheng, Heng; Wu, Weihua</t>
  </si>
  <si>
    <t>Wu, WH (corresponding author), Southern Univ Sci &amp; Technol, Shenzhen Peoples Hosp 3, Affiliated Hosp 2, Dept Endocrinol, Shenzhen, Guangdong, Peoples R China.</t>
  </si>
  <si>
    <t>wwh_2678@163.com</t>
  </si>
  <si>
    <t>Shenzhen High-level Hospital Construction Fund [XKJS-NFMK-001]</t>
  </si>
  <si>
    <t>Shenzhen High-level Hospital Construction Fund</t>
  </si>
  <si>
    <t>The author(s) declared that financial support was received for this work and/or its publication. This work was supported by the Shenzhen High-level Hospital Construction Fund (XKJS-NFMK-001).</t>
  </si>
  <si>
    <t>[Tang, Fang; Zuo, Xin; Wang, Weiyan; Sun, Rui; Cheng, Heng; Wu, Weihua] Southern Univ Sci &amp; Technol, Shenzhen Peoples Hosp 3, Affiliated Hosp 2, Dept Endocrinol, Shenzhen, Guangdong, Peoples R China</t>
  </si>
  <si>
    <t>Southern University of Science &amp; Technology</t>
  </si>
  <si>
    <t>Identification and preliminary clinical validation of type 2 diabetes signature genes through machine learning analysis of scRNA-seq data</t>
  </si>
  <si>
    <t>clinical validation; machine learning; Signature genes; single-cell RNA sequencing; type 2 diabetes</t>
  </si>
  <si>
    <t>MAY 12 2026</t>
  </si>
  <si>
    <t>1801737</t>
  </si>
  <si>
    <t>10.3389/fmed.2026.1801737</t>
  </si>
  <si>
    <t>http://dx.doi.org/10.3389/fmed.2026.1801737</t>
  </si>
  <si>
    <t>IK4ME</t>
  </si>
  <si>
    <t>42205842</t>
  </si>
  <si>
    <t>WOS:001773801700001</t>
  </si>
  <si>
    <t>Brodin, NP; Schulte, L; Velten, C; Martin, W; Shen, S; Shen, J; Basavatia, A; Ohri, N; Garg, MK; Carpenter, C; Tomé, WA</t>
  </si>
  <si>
    <t>Objective To quantify the clinical performance of a machine learning (ML) algorithm for organ-at-risk (OAR) dose prediction for lung stereotactic body radiation therapy (SBRT) and estimate the treatment planning benefit from having upfront access to these dose predictions. Methods ML models were trained using multi-center data consisting of 209 patients previously treated with lung SBRT. Two prescription levels were investigated, 50 Gy in five fractions and 54 Gy in three fractions. Models were generated using a gradient-boosted regression tree algorithm using grid searching with fivefold cross-validation. Twenty patients not included in the training set were used to test OAR dose prediction performance, ten for each prescription. We also performed blinded re-planning based on OAR dose predictions but without access to clinically delivered plans. Differences between predicted and delivered doses were assessed by root-mean square deviation (RMSD), and statistical differences between predicted, delivered, and re-planned doses were evaluated with one-way analysis of variance (ANOVA) tests. Results ANOVA tests showed no significant differences between predicted, delivered, and replanned OAR doses (all p &gt;= 0.36). The RMSD was 2.9, 3.9, 4.3, and 1.7Gy for max dose to the spinal cord, great vessels, heart, and trachea, respectively, for 50 Gy in five fractions. Average improvements of 1.0, 1.4, and 2.0 Gy were seen for spinal cord, esophagus, and trachea max doses in blinded replans compared to clinically delivered plans with 54 Gy in three fractions, and 1.8, 0.7, and 1.5 Gy, respectively, for the esophagus, heart and bronchus max doses with 50 Gy in five fractions. Target coverage was similar with an average PTV V100% of 94.7% for delivered plans compared to 97.3% for blinded re-plans for 50 Gy in five fractions, and respectively 98.4% versus 99.2% for 54 Gy in three fractions. Conclusion This study validated ML-based OAR dose prediction for lung SBRT, showing potential for improved OAR dose sparing and more consistent plan quality using dose predictions for patient-specific planning guidance.</t>
  </si>
  <si>
    <t>Brodin, N. Patrik; Schulte, Leslie; Velten, Christian; Martin, William; Shen, Sydney; Shen, Jin; Basavatia, Amar; Ohri, Nitin; Garg, Madhur K.; Carpenter, Colin; Tome, Wolfgang A.</t>
  </si>
  <si>
    <t>Brodin, NP; Tomé, WA (corresponding author), Albert Einstein Coll Med, Inst Oncophys, 1300 Morris Pk Ave, Bronx, NY 10461 USA.; Brodin, NP; Tomé, WA (corresponding author), Montefiore Med Ctr, 1300 Morris Pk Ave, Bronx, NY 10461 USA.</t>
  </si>
  <si>
    <t>wolfgang.tome@einsteinmed.org; patrik.brodin@einsteinmed.org</t>
  </si>
  <si>
    <t>[Brodin, N. Patrik; Velten, Christian; Ohri, Nitin; Garg, Madhur K.; Tome, Wolfgang A.] Albert Einstein Coll Med, Inst Oncophys, 1300 Morris Pk Ave, Bronx, NY 10461 USA; [Brodin, N. Patrik; Velten, Christian; Martin, William; Shen, Jin; Basavatia, Amar; Ohri, Nitin; Garg, Madhur K.; Tome, Wolfgang A.] Montefiore Med Ctr, Dept Radiat Oncol, Bronx, NY 10461 USA; [Schulte, Leslie; Carpenter, Colin] Siris Med, Burlingame, CA USA; [Shen, Sydney] Massachusetts Gen Hosp, Dept Radiat Oncol, Boston, MA 02114 USA; [Garg, Madhur K.] Montefiore Med Ctr, Dept Urol, Bronx, NY 10461 USA; [Garg, Madhur K.] Montefiore Med Ctr, Dept Otorhinolaryngol Head &amp; Neck Surg, Bronx, NY 10461 USA; [Tome, Wolfgang A.] Albert Einstein Coll Med, Dept Neurol, Bronx, NY 10461 USA</t>
  </si>
  <si>
    <t>Montefiore Medical Center; Albert Einstein College of Medicine; Yeshiva University; Montefiore Medical Center; Albert Einstein College of Medicine; Harvard University; Harvard University Medical Affiliates; Massachusetts General Hospital; Montefiore Medical Center; Albert Einstein College of Medicine; Montefiore Medical Center; Albert Einstein College of Medicine; Yeshiva University; Montefiore Medical Center; Albert Einstein College of Medicine</t>
  </si>
  <si>
    <t>Organ-at-risk dose prediction using a machine learning algorithm: Clinical validation and treatment planning benefit for lung SBRT</t>
  </si>
  <si>
    <t>dose prediction; machine learning; lung SBRT</t>
  </si>
  <si>
    <t>RADIATION-THERAPY; DECISION-SUPPORT; IMPLEMENTATION</t>
  </si>
  <si>
    <t>Tomé, Wolfgang/P-5443-2016; Velten, Christian/MXL-8192-2025; Tom, Wolfgang/P-5443-2016</t>
  </si>
  <si>
    <t>Tomé, Wolfgang/0000-0003-1586-8091; Basavatia, Amar/0000-0003-0589-2653</t>
  </si>
  <si>
    <t>e13609</t>
  </si>
  <si>
    <t>10.1002/acm2.13609</t>
  </si>
  <si>
    <t>http://dx.doi.org/10.1002/acm2.13609</t>
  </si>
  <si>
    <t>2C1AB</t>
  </si>
  <si>
    <t>35460150</t>
  </si>
  <si>
    <t>WOS:000785953800001</t>
  </si>
  <si>
    <t>Flechet, M; Falini, S; Bonetti, C; Güiza, F; Schetz, M; Van den Berghe, G; Meyfroidt, G</t>
  </si>
  <si>
    <t>Background Early diagnosis of acute kidney injury (AKI) is a major challenge in the intensive care unit (ICU). The AKIpredictor is a set of machine-learning-based prediction models for AKI using routinely collected patient information, and accessible online. In order to evaluate its clinical value, the AKIpredictor was compared to physicians' predictions. Methods Prospective observational study in five ICUs of a tertiary academic center. Critically ill adults without end-stage renal disease or AKI upon admission were considered for enrollment. Using structured questionnaires, physicians were asked upon admission, on the first morning, and after 24 h to predict the development of AKI stages 2 or 3 (AKI-23) during the first week of ICU stay. Discrimination, calibration, and net benefit of physicians' predictions were compared against the ones by the AKIpredictor. Results Two hundred fifty-two patients were included, 30 (12%) developed AKI-23. In the cohort of patients with predictions by physicians and AKIpredictor, the performance of physicians and AKIpredictor were respectively upon ICU admission, area under the receiver operating characteristic curve (AUROC) 0.80 [0.69-0.92] versus 0.75 [0.62-0.88] (n = 120, P = 0.25) with net benefit in ranges 0-26% versus 0-74%; on the first morning, AUROC 0.94 [0.89-0.98] versus 0.89 [0.82-0.97] (n = 187, P = 0.27) with main net benefit in ranges 0-10% versus 0-48%; after 24 h, AUROC 0.95 [0.89-1.00] versus 0.89 [0.79-0.99] (n = 89, P = 0.09) with main net benefit in ranges 0-67% versus 0-50%. Conclusions The machine-learning-based AKIpredictor achieved similar discriminative performance as physicians for prediction of AKI-23, and higher net benefit overall, because physicians overestimated the risk of AKI. This suggests an added value of the systematic risk stratification by the AKIpredictor to physicians' predictions, in particular to select high-risk patients or reduce false positives in studies evaluating new and potentially harmful therapies. Due to the low event rate, future studies are needed to validate these findings.</t>
  </si>
  <si>
    <t>Flechet, Marine; Falini, Stefano; Bonetti, Claudia; Guiza, Fabian; Schetz, Miet; Van den Berghe, Greet; Meyfroidt, Geert</t>
  </si>
  <si>
    <t>Meyfroidt, G (corresponding author), Katholieke Univ Leuven, Acad Dept Cellular &amp; Mol Med, Clin Div, Herestr 49, B-3000 Leuven, Belgium.; Meyfroidt, G (corresponding author), Katholieke Univ Leuven, Acad Dept Cellular &amp; Mol Med, Lab Intens Care Med, Herestr 49, B-3000 Leuven, Belgium.</t>
  </si>
  <si>
    <t>marine.flechet@kuleuven.be; geert.meyfroidt@uzleuven.be</t>
  </si>
  <si>
    <t>Research Foundation, Flanders (FWO) [11Y1118N]; Methusalem program - Flemish Government [METH/14/06]; Horizon 2020 Programme of the EU [AdvG-2017-785809]; FWO [1843118 N]</t>
  </si>
  <si>
    <t>Research Foundation, Flanders (FWO) (FWO); Methusalem program - Flemish Government; Horizon 2020 Programme of the EU; FWO (FWO)</t>
  </si>
  <si>
    <t>Dr. M. Flechet received funding from the Research Foundation, Flanders (FWO) as a PhD fellow (11Y1118N). Dr. G. Van den Berghe, via the University of Leuven, receives structural research financing via the Methusalem program funded by the Flemish Government (METH/14/06) and holds a European Research Council advanced grant (AdvG-2017-785809) from the Horizon 2020 Programme of the EU. Dr. G. Meyfroidt received funding from FWO as a senior clinical investigator (1843118 N).</t>
  </si>
  <si>
    <t>[Falini, Stefano] Humanitas Clin &amp; Res Ctr, Dept Anesthesia &amp; Gen Intens Care, Via Manzoni 56, I-20089 Milan, Italy; [Bonetti, Claudia] Univ Milano Bicocca, Piazza Ateneo Nuovo 1, I-20126 Milan, Italy; [Flechet, Marine; Guiza, Fabian; Schetz, Miet; Van den Berghe, Greet; Meyfroidt, Geert] Katholieke Univ Leuven, Acad Dept Cellular &amp; Mol Med, Clin Div, Herestr 49, B-3000 Leuven, Belgium; [Flechet, Marine; Guiza, Fabian; Schetz, Miet; Van den Berghe, Greet; Meyfroidt, Geert] Katholieke Univ Leuven, Acad Dept Cellular &amp; Mol Med, Lab Intens Care Med, Herestr 49, B-3000 Leuven, Belgium</t>
  </si>
  <si>
    <t>University of Milano-Bicocca; KU Leuven; KU Leuven</t>
  </si>
  <si>
    <t>Machine learning versus physicians' prediction of acute kidney injury in critically ill adults: a prospective evaluation of the AKIpredictor</t>
  </si>
  <si>
    <t>Acute kidney injury; AKIpredictor; Predictive modeling; Machine learning</t>
  </si>
  <si>
    <t>MODELS; CARE; RISK; EPIDEMIOLOGY; CALIBRATION; BIOMARKERS; GUIDELINES</t>
  </si>
  <si>
    <t>Van den Berghe, Greet/0000-0002-5320-1362; Güiza, Fabian/0000-0001-7026-0957; Meyfroidt, Geert/0000-0003-4259-3935</t>
  </si>
  <si>
    <t>AUG 16 2019</t>
  </si>
  <si>
    <t>10.1186/s13054-019-2563-x</t>
  </si>
  <si>
    <t>http://dx.doi.org/10.1186/s13054-019-2563-x</t>
  </si>
  <si>
    <t>IR9ES</t>
  </si>
  <si>
    <t>31420056</t>
  </si>
  <si>
    <t>WOS:000481747000002</t>
  </si>
  <si>
    <t>Kaiser, TM; Dentmon, ZW; Burger, PB; Shi, Q; Snyder, JP; Du, YH; Fu, HA; Liotta, DC</t>
  </si>
  <si>
    <t>As a result of the rapidly increasing cost of drug development, efficient methods for early identification of compounds with a high probability of clinical success are needed. Herein, we describe a cheminformatics protocol which dramatically increases quality candidate identification and should reduce the attrition rate of compounds entering the clinic, increasing the cost-effectiveness of drug development. Against the oncology target phosphatidylinositol 3-kinase alpha, all five compounds synthesized from the protocol were found to have low nanomolar activity. We therefore propose that our protocol can be used as a tool for reducing the synthetic burden required for hit-to-lead optimization.[GRAPHICS]</t>
  </si>
  <si>
    <t>Kaiser, Thomas M.; Dentmon, Zackery W.; Burger, Pieter B.; Shi, Qi; Snyder, James P.; Du, Yuhong; Fu, Haian; Liotta, Dennis C.</t>
  </si>
  <si>
    <t>Liotta, DC (corresponding author), Emory Univ, Dept Chem, 1521 Dickey Dr, Atlanta, GA 30322 USA.</t>
  </si>
  <si>
    <t>dliotta@emory.edu</t>
  </si>
  <si>
    <t>[Kaiser, Thomas M.] Univ Oxford, St Peters Coll, Oxford OX1 2DL, England; [Burger, Pieter B.] Med Coll South Carolina, Coll Pharm, Dept Drug Discovery &amp; Biomed Sci, 70 President St, Charleston, SC 29425 USA; [Dentmon, Zackery W.; Shi, Qi; Snyder, James P.; Liotta, Dennis C.] Emory Univ, Dept Chem, 1521 Dickey Dr, Atlanta, GA 30322 USA; [Du, Yuhong; Fu, Haian] Emory Univ, Dept Pharmacol &amp; Chem Biol, 1521 Dickey Dr, Atlanta, GA 30322 USA</t>
  </si>
  <si>
    <t>University of Oxford; Emory University; Emory University</t>
  </si>
  <si>
    <t>Prospective evaluation and success of a machine learning hit-to-lead drug development program against phosphatidylinositol 3-kinase α</t>
  </si>
  <si>
    <t>ARKIVOC</t>
  </si>
  <si>
    <t>Machine learning; hit-to-lead optimization; PI3K alpha inhibitors; chemotherapy</t>
  </si>
  <si>
    <t>DISCOVERY; PRODUCTIVITY; CHALLENGES; DESIGN</t>
  </si>
  <si>
    <t>Dentmon, Zackery/0000-0003-1140-9998; Fu, Haian/0000-0002-2362-7979</t>
  </si>
  <si>
    <t>ARKAT USA INC</t>
  </si>
  <si>
    <t>GAINESVILLE</t>
  </si>
  <si>
    <t>C/O ALAN R KATRITZKY, UNIV FLORIDA, DEPT CHEMISTRY, PO BOX 117200, GAINESVILLE, FL 32611 USA</t>
  </si>
  <si>
    <t>1551-7004</t>
  </si>
  <si>
    <t>1551-7012</t>
  </si>
  <si>
    <t>Arkivoc</t>
  </si>
  <si>
    <t>10.24820/ark.5550190.p011.304</t>
  </si>
  <si>
    <t>http://dx.doi.org/10.24820/ark.5550190.p011.304</t>
  </si>
  <si>
    <t>Chemistry, Organic</t>
  </si>
  <si>
    <t>PR4BS</t>
  </si>
  <si>
    <t>WOS:000607183100003</t>
  </si>
  <si>
    <t>Tran, NT; Pham, TM; Ngo, MTQ; Tran, AV; Ninh, TTK; Nguyen, LD; Hoang, DV; Nguyen, PTT</t>
  </si>
  <si>
    <t>Background: Drug-induced liver injury (DILI) is difficult to diagnose and manage in routine care because it lacks pathognomonic biomarkers and is often recognized only after clinically meaningful injury has occurred. Existing computational approaches are largely drug-centric and do not routinely incorporate patient-level clinical data available in electronic health records (EHRs).Objectives: To develop and temporally validate a machine learning model for episode-level risk stratification of Roussel Uclaf Causality Assessment Method (RUCAM)-defined DILI using routinely available baseline clinical data.Design: This was an observational cohort study conducted at Hai Phong International Hospital using linked EHR, laboratory, and pharmacy data. The final labeled cohort was partitioned chronologically at the patient level into a retrospective development cohort (2019-2023) and a temporally subsequent prospective validation cohort (2024-2025).Methods: Eligible drug-exposure episodes with complete baseline liver biochemistry and key exposure covariates were included. Analysis-ready episodes were monitored for biochemical liver injury triggers, and trigger-positive episodes underwent clinical review and RUCAM adjudication. DILI was defined as RUCAM &gt;= 6. Predictors were limited to baseline demographics, comorbidities, laboratory values, drug-exposure features, and FDA DILIrank 2.0 metadata. Candidate models included logistic regression, elastic-net logistic regression, random forest, ExtraTrees, XGBoost, and LightGBM.Results: Among 5095 eligible episodes from 3579 patients, 2786 episodes from 2712 patients were analysis-ready after exclusions. The final labeled cohort comprised 274 DILI-positive and 2512 non-DILI episodes. The prospective validation cohort included 828 episodes, of which 108 (13.0%) were DILI-positive. Tree-based ensemble models outperformed regression-based models. Logistic regression achieved an area under the receiver operating characteristic curve (AUROC) of 0.777 and an area under the precision-recall curve (PR-AUC) of 0.349, whereas the final LightGBM model achieved an AUROC of 0.965 (95% CI 0.942-0.983), a PR-AUC of 0.903 (95% CI 0.856-0.943), and a Brier score of 0.034.Conclusion: A prospectively validated machine learning model using routinely collected baseline clinical data showed excellent performance for DILI risk stratification and may strengthen hospital pharmacovigilance.</t>
  </si>
  <si>
    <t>Tran, Ngan Thi; Pham, Tung My; Ngo, Mai Thi Quynh; Tran, Anh Van; Ninh, Thu Thi Kim; Nguyen, Long Duc; Hoang, Dung Van; Nguyen, Phuong Thi Thu</t>
  </si>
  <si>
    <t>Nguyen, PTT (corresponding author), Hai Phong Univ Med &amp; Pharm, Fac Pharm, Hai Phong 180000, Vietnam.; Nguyen, PTT (corresponding author), Hai Phong Int Hosp, Dept Pharm, Hai Phong, Vietnam.</t>
  </si>
  <si>
    <t>The authors received no financial support for the research, authorship, and/or publication of this article.</t>
  </si>
  <si>
    <t>[Tran, Ngan Thi; Pham, Tung My; Ngo, Mai Thi Quynh; Tran, Anh Van; Ninh, Thu Thi Kim; Nguyen, Phuong Thi Thu] Hai Phong Univ Med &amp; Pharm, Fac Pharm, Hai Phong 180000, Vietnam; [Tran, Ngan Thi; Tran, Anh Van; Nguyen, Long Duc; Nguyen, Phuong Thi Thu] Hai Phong Int Hosp, Dept Pharm, Hai Phong, Vietnam; [Hoang, Dung Van] Hai Phong Int Hosp, Dept Internal Med, Hai Phong, Vietnam; [Hoang, Dung Van] Hai Phong Univ Med &amp; Pharm, Dept Internal Med, Hai Phong, Vietnam</t>
  </si>
  <si>
    <t>Hai Phong University Medicine &amp; Pharmacy; Hai Phong University Medicine &amp; Pharmacy</t>
  </si>
  <si>
    <t>Development and prospective validation of a machine learning model for risk stratification of drug-induced liver injury using real-world clinical data</t>
  </si>
  <si>
    <t>THERAPEUTIC ADVANCES IN DRUG SAFETY</t>
  </si>
  <si>
    <t>drug-induced liver injury; electronic health records; machine learning; pharmacovigilance; RUCAM; temporal validation</t>
  </si>
  <si>
    <t>CAUSALITY ASSESSMENT; OUTCOMES; POPULATION; FEATURES; MARKER</t>
  </si>
  <si>
    <t>2042-0986</t>
  </si>
  <si>
    <t>2042-0994</t>
  </si>
  <si>
    <t>THER ADV DRUG SAF</t>
  </si>
  <si>
    <t>Ther. Adv. Drug Saf.</t>
  </si>
  <si>
    <t>20420986261467891</t>
  </si>
  <si>
    <t>10.1177/20420986261467891</t>
  </si>
  <si>
    <t>http://dx.doi.org/10.1177/20420986261467891</t>
  </si>
  <si>
    <t>LP0YI</t>
  </si>
  <si>
    <t>42504271</t>
  </si>
  <si>
    <t>WOS:001829859200001</t>
  </si>
  <si>
    <t>Yang, RH; Li, WM; Yu, SQ; Wu, ZY; Zhang, HP; Liu, XT; Tao, LX; Li, X; Huang, J; Guo, XH</t>
  </si>
  <si>
    <t>Rationale and Objectives: To develop and validate a deep learning model for automated pathological grading and prognostic assessment of lung cancer using CT imaging, thereby providing surgeons with a non-invasive tool to guide surgical planning. Material and Methods: This study utilized 572 cases from the National Lung Screening Trial cohort, dividing them randomly into training (461 cases) and internal validation (111 cases) sets in an 8:2 ratio. Additionally, 224 cases from four cohorts obtained from the Cancer Imaging Archive, all diagnosed with non-small cell lung cancer, were included for external validation. The deep learning model, built on the MobileNetV3 architecture, was assessed in both internal and external validation sets using metrics such as accuracy, sensitivity, specificity, and area under the receiver operating characteristic curve (AUC). The model's prognostic value was further analyzed using Cox proportional hazards models. Results: The model achieved high accuracy, sensitivity, specificity, and AUC in the internal validation set (accuracy: 0.888, macro AUC: 0.968, macro sensitivity: 0.798, macro specificity: 0.956). External validation demonstrated comparable performance (accuracy: 0.807, macro AUC: 0.920, macro sensitivity: 0.799, macro specificity: 0.896). The model's predicted signatures correlated significantly with patient mortality and provided valuable insights for prognostic assessment (adjusted HR 2.016 [95% CI: 1.010, 4.022]). Conclusions: This study successfully developed and validated a deep learning model for the preoperative grading of lung cancer pathology. The model's accurate predictions could serve as a useful adjunct in treatment planning for lung cancer patients, enabling more effective and customized interventions to improve patient outcomes. (c) 2024 The Association of University Radiologists. Published by Elsevier Inc. All rights are reserved, including those for text and data mining, AI training, and similar technologies.</t>
  </si>
  <si>
    <t>Yang, Runhuang; Li, Weiming; Yu, Siqi; Wu, Zhiyuan; Zhang, Haiping; Liu, Xiangtong; Tao, Lixin; Li, Xia; Huang, Jian; Guo, Xiuhua</t>
  </si>
  <si>
    <t>Guo, XH (corresponding author), Capital Med Univ, Sch Publ Hlth, Dept Epidemiol &amp; Hlth Stat, Beijing, Peoples R China.; Guo, XH (corresponding author), Capital Med Univ, Beijing Municipal Key Lab Clin Epidemiol, Beijing, Peoples R China.; Guo, XH (corresponding author), Edith Cowan Univ, Ctr Precis Hlth, Sch Med &amp; Hlth Sci, Joondalup, Australia.</t>
  </si>
  <si>
    <t>statguo@ccmu.edu.cn</t>
  </si>
  <si>
    <t>National Natural Science Foundation of China [82173617, 82373683]; Beijing Municipal Health Commission [KCZX-KT-2023002]</t>
  </si>
  <si>
    <t>National Natural Science Foundation of China (National Natural Science Foundation of China (NSFC)); Beijing Municipal Health Commission</t>
  </si>
  <si>
    <t>Our work was funded by the National Natural Science Foundation of China (grant number 82173617 and 82373683) and Beijing Municipal Health Commission (grant number KCZX-KT-2023002) .</t>
  </si>
  <si>
    <t>[Yang, Runhuang; Li, Weiming; Yu, Siqi; Zhang, Haiping; Liu, Xiangtong; Tao, Lixin; Guo, Xiuhua] Capital Med Univ, Sch Publ Hlth, Dept Epidemiol &amp; Hlth Stat, Beijing, Peoples R China; [Yang, Runhuang; Li, Weiming; Yu, Siqi; Zhang, Haiping; Liu, Xiangtong; Tao, Lixin; Guo, Xiuhua] Capital Med Univ, Beijing Municipal Key Lab Clin Epidemiol, Beijing, Peoples R China; [Wu, Zhiyuan] Harvard T H Chan Sch Publ Hlth, Boston, MA USA; [Li, Xia] La Trobe Trobe Univ, Dept Math &amp; Stat, Melbourne, Australia; [Huang, Jian] Univ Coll Cork, Sch Math Sci, Cork, Ireland; [Guo, Xiuhua] Edith Cowan Univ, Ctr Precis Hlth, Sch Med &amp; Hlth Sci, Joondalup, Australia</t>
  </si>
  <si>
    <t>Capital Medical University; Capital Medical University; Harvard University; Harvard T.H. Chan School of Public Health; University College Cork; Edith Cowan University</t>
  </si>
  <si>
    <t>Deep Learning Model for Pathological Grading and Prognostic Assessment of Lung Cancer Using CT Imaging: A Study on NLST and External Validation Cohorts</t>
  </si>
  <si>
    <t>Lung cancer; Deep learning; CT imaging; Pathological grading; Prognostic assessment</t>
  </si>
  <si>
    <t>INTERNATIONAL ASSOCIATION; MICROPAPILLARY PATTERN; SCREENING TRIAL; ADENOCARCINOMA; IMPACT; CLASSIFICATION; MULTICENTER; RECURRENCE; MORTALITY; LOBECTOMY</t>
  </si>
  <si>
    <t>WU, ZHIYUAN/JPK-5256-2023; Tao, Li/KWU-0773-2024; Huang, Jian/AAG-5787-2019</t>
  </si>
  <si>
    <t>Huang, Jian/0000-0002-0862-1384</t>
  </si>
  <si>
    <t>533</t>
  </si>
  <si>
    <t>10.1016/j.acra.2024.08.028</t>
  </si>
  <si>
    <t>http://dx.doi.org/10.1016/j.acra.2024.08.028</t>
  </si>
  <si>
    <t>Y7C4U</t>
  </si>
  <si>
    <t>39294054</t>
  </si>
  <si>
    <t>WOS:001433656200001</t>
  </si>
  <si>
    <t>Spaanderman, DJ; Hakkesteegt, SN; Hanff, DF; Schut, ARW; Schiphouwer, LM; Vos, M; Messiou, C; Doran, SJ; Jones, RL; Hayes, AJ; Nardo, L; Abdelhafez, YG; Moawad, AW; Elsayes, KM; Lee, S; Link, TM; Niessen, WJ; van Leenders, GJLH; Visser, JJ; Klein, S; Grünhagen, DJ; Verhoef, C; Starmans, MPA</t>
  </si>
  <si>
    <t>&lt;bold&gt;Background &lt;/bold&gt;As differentiating between lipomas and atypical lipomatous tumors (ALTs) based on imaging is challenging and requires biopsies, radiomics has been proposed to aid the diagnosis. This study aimed to externally and prospectively validate a radiomics model differentiating between lipomas and ALTs on MRI in three large, multicenter cohorts, and extend it with automatic and minimally interactive segmentation methods to increase clinical feasibility. &lt;bold&gt;Methods &lt;/bold&gt;Three study cohorts were formed, two for external validation containing data from medical centers in the United States (US) collected from 2008 until 2018 and the United Kingdom (UK) collected from 2011 until 2017, and one for prospective validation consisting of data collected from 2020 until 2021 in the Netherlands. Patient characteristics, MDM2 amplification fi cation status, and MRI scans were collected. An automatic segmentation method was developed to segment all tumors on T1-weighted MRI scans of the validation cohorts. Segmentations were subsequently quality scored. In case of insufficient quality, an interactive segmentation method was used. Radiomics performance was evaluated for all cohorts and compared to two radiologists. &lt;bold&gt;Findings &lt;/bold&gt;The validation cohorts included 150 (54% ALT), 208 (37% ALT), and 86 patients (28% ALT) from the US, UK and NL. Of the 444 cases, 78% were automatically segmented. For 22%, interactive segmentation was necessary due to insufficient quality, with only 3% of all patients requiring manual adjustment. External validation resulted in an AUC of 0.74 (95% CI: 0.66, 0.82) in US data and 0.86 (0.80, 0.92) in UK data. Prospective validation resulted in an AUC of 0.89 (0.83, 0.96). The radiomics model performed similar to the two radiologists (US: 0.79 and 0.76, UK: 0.86 and 0.86, NL: 0.82 and 0.85). &lt;bold&gt;Interpretation &lt;/bold&gt;The radiomics model extended with automatic and minimally interactive segmentation methods accurately differentiated between lipomas and ALTs in two large, multi-center external cohorts, and in prospective validation, performing similar to expert radiologists, possibly limiting the need for invasive diagnostics.</t>
  </si>
  <si>
    <t>Spaanderman, D. J.; Hakkesteegt, S. N.; Hanff, D. F.; Schut, A. R. W.; Schiphouwer, L. M.; Vos, M.; Messiou, C.; Doran, S. J.; Jones, R. L.; Hayes, A. J.; Nardo, L.; Abdelhafez, Y. G.; Moawad, A. W.; Elsayes, K. M.; Lee, S.; Link, T. M.; Niessen, W. J.; van Leenders, G. J. L. H.; Visser, J. J.; Klein, S.; Grunhagen, D. J.; Verhoef, C.; Starmans, M. P. A.</t>
  </si>
  <si>
    <t>Spaanderman, DJ (corresponding author), Off 2624,Dr Molewaterpl 40, NL-3015 GD Rotterdam, Netherlands.</t>
  </si>
  <si>
    <t>d.spaanderman@erasmusmc.nl</t>
  </si>
  <si>
    <t>Hanarth fonds</t>
  </si>
  <si>
    <t>Hanarth fonds.</t>
  </si>
  <si>
    <t>[Spaanderman, D. J.; Hanff, D. F.; Schiphouwer, L. M.; Visser, J. J.; Klein, S.; Starmans, M. P. A.] Erasmus MC, Dept Radiol &amp; Nucl Med, Rotterdam, Netherlands; [Hakkesteegt, S. N.; Schut, A. R. W.; Vos, M.; Grunhagen, D. J.; Verhoef, C.] Erasmus Univ, Dept Surg Oncol &amp; Gastrointestinal Surg, Erasmus MC Canc Inst, Med Ctr, Rotterdam, Netherlands; [Messiou, C.; Doran, S. J.; Jones, R. L.; Hayes, A. J.] Royal Marsden Hosp, Inst Canc Res London, London, England; [Nardo, L.; Abdelhafez, Y. G.] UC Davis Hlth, Dept Radiol, Sacramento, CA USA; [Moawad, A. W.; Elsayes, K. M.] Univ Texas MD Anderson Canc Ctr, Dept Diagnost Imaging, Houston, TX USA; [Moawad, A. W.] Mercy Catholic Med Ctr, Dept Gastroenterol, Darby, PA USA; [Lee, S.] Univ Calif Irvine, Dept Radiol Sci, Irvine, CA USA; [Link, T. M.] Univ Calif San Francisco, Dept Radiol &amp; Biomed Imaging, San Francisco, CA USA; [Niessen, W. J.] Univ Groningen, Fac Med Sci, Groningen, Netherlands; [van Leenders, G. J. L. H.; Starmans, M. P. A.] Erasmus MC, Dept Pathol, Rotterdam, Netherlands</t>
  </si>
  <si>
    <t>Erasmus University Rotterdam; Erasmus MC; Erasmus MC Cancer Institute; Erasmus University Rotterdam; Erasmus MC; Erasmus MC Cancer Institute; Royal Marsden NHS Foundation Trust; University of London; Institute of Cancer Research - UK; University of Texas System; UTMD Anderson Cancer Center; University of California System; University of California Irvine; University of California System; University of California San Francisco; University of Groningen; Erasmus University Rotterdam; Erasmus MC</t>
  </si>
  <si>
    <t>Multi-center external validation of an automated method segmenting and differentiating atypical lipomatous tumors from lipomas using radiomics and deep-learning on MRI</t>
  </si>
  <si>
    <t>Lipomatous tumors; Radiomics; External validation; Prospective validation; Deep learning-based segmentation; Magnetic resonance imaging</t>
  </si>
  <si>
    <t>LIPOSARCOMA</t>
  </si>
  <si>
    <t>Link, Thomas/E-7522-2012; Grünhagen, Dirk/ABE-5102-2020; Klein, Stefan/JAX-2520-2023; Jones, Robin/AAO-3738-2020; Hanff, David Frederikus/LZH-2002-2025</t>
  </si>
  <si>
    <t>Hayes, Andrew/0000-0002-9832-4219; Niessen, Wiro/0000-0002-5822-1995; Spaanderman, Douwe/0000-0001-8397-2339; Hakkesteegt, Stefanie Nicolette/0000-0002-6765-8267; Schiphouwer, Loes/0000-0001-8327-9358; Visser, Jacob J/0000-0001-9935-2097; Starmans, Martijn Pieter Anton/0000-0001-5086-7153; Grünhagen, Dirk/0000-0001-8293-6002; Klein, Stefan/0000-0003-4449-6784; Messiou, Christina/0000-0002-0557-9379; Hanff, David Frederikus/0000-0003-2743-0214</t>
  </si>
  <si>
    <t>102802</t>
  </si>
  <si>
    <t>10.1016/j.eclinm.2024.102802</t>
  </si>
  <si>
    <t>http://dx.doi.org/10.1016/j.eclinm.2024.102802</t>
  </si>
  <si>
    <t>G8Z3T</t>
  </si>
  <si>
    <t>39351025</t>
  </si>
  <si>
    <t>WOS:001319451600001</t>
  </si>
  <si>
    <t>Bae, J; Yu, S; Oh, J; Kim, TH; Chung, JH; Byun, H; Yoon, MS; Ahn, C; Lee, DK</t>
  </si>
  <si>
    <t>This study aimed to develop a method for detection of femoral neck fracture (FNF) including displaced and non-displaced fractures using convolutional neural network (CNN) with plain X-ray and to validate its use across hospitals through internal and external validation sets. This is a retrospective study using hip and pelvic anteroposterior films for training and detecting femoral neck fracture through residual neural network (ResNet) 18 with convolutional block attention module (CBAM) + +. The study was performed at two tertiary hospitals between February and May 2020 and used data from January 2005 to December 2018. Our primary outcome was favorable performance for diagnosis of femoral neck fracture from negative studies in our dataset. We described the outcomes as area under the receiver operating characteristic curve (AUC), accuracy, Youden index, sensitivity, and specificity. A total of 4,189 images that contained 1,109 positive images (332 non-displaced and 777 displaced) and 3,080 negative images were collected from two hospitals. The test values after training with one hospital dataset were 0.999 AUC, 0.986 accuracy, 0.960 Youden index, and 0.966 sensitivity, and 0.993 specificity. Values of external validation with the other hospital dataset were 0.977, 0.971, 0.920, 0.939, and 0.982, respectively. Values of merged hospital datasets were 0.987, 0.983, 0.960, 0.973, and 0.987, respectively. A CNN algorithm for FNF detection in both displaced and non-displaced fractures using plain X-rays could be used in other hospitals to screen for FNF after training with images from the hospital of interest.</t>
  </si>
  <si>
    <t>Bae, Junwon; Yu, Sangjoon; Oh, Jaehoon; Kim, Tae Hyun; Chung, Jae Ho; Byun, Hayoung; Yoon, Myeong Seong; Ahn, Chiwon; Lee, Dong Keon</t>
  </si>
  <si>
    <t>Oh, J (corresponding author), Hanyang Univ, Coll Med, Dept Emergency Med, 222 Wangsimni Ro, Seoul 04763, South Korea.; Kim, TH (corresponding author), Hanyang Univ, Dept Comp Sci, 222 Wangsimni Ro, Seoul 04763, South Korea.; Oh, J; Kim, TH (corresponding author), Hanyang Univ, Machine Learning Res Ctr Med Data, Seoul, South Korea.</t>
  </si>
  <si>
    <t>taehyunkim@hanyang.ac.kr; ojjai@hanmail.net</t>
  </si>
  <si>
    <t>National Research Foundation of Korea [2019R1F1A1063502]; Hanyang University; National Research Foundation of Korea (NRF) - Korea government (MSIT) [NRF2019R1A4A1029800]</t>
  </si>
  <si>
    <t>National Research Foundation of Korea (National Research Foundation of Korea); Hanyang University (Hanyang University); National Research Foundation of Korea (NRF) - Korea government (MSIT) (National Research Foundation of Korea, Ministry of Science &amp; ICT (MMSTI))</t>
  </si>
  <si>
    <t>This study was supported by the National Research Foundation of Korea (2019R1F1A1063502). This work was also supported by the research fund of Hanyang University (HY-2018) and the National Research Foundation of Korea (NRF) grant funded by the Korea government (MSIT) (NRF2019R1A4A1029800).</t>
  </si>
  <si>
    <t>[Bae, Junwon; Oh, Jaehoon; Yoon, Myeong Seong] Hanyang Univ, Coll Med, Dept Emergency Med, 222 Wangsimni Ro, Seoul 04763, South Korea; [Yu, Sangjoon; Kim, Tae Hyun] Hanyang Univ, Dept Comp Sci, 222 Wangsimni Ro, Seoul 04763, South Korea; [Oh, Jaehoon; Kim, Tae Hyun; Chung, Jae Ho; Byun, Hayoung] Hanyang Univ, Machine Learning Res Ctr Med Data, Seoul, South Korea; [Chung, Jae Ho; Byun, Hayoung] Hanyang Univ, Coll Med, Dept Otolaryngol Head &amp; Neck Surg, Seoul, South Korea; [Chung, Jae Ho] Hanyang Univ, Coll Med, Dept HY, KIST Bioconvergence, Seoul, South Korea; [Ahn, Chiwon] Chung Ang Univ, Coll Med, Dept Emergency Med, Seoul, South Korea; [Lee, Dong Keon] Seoul Natl Univ, Dept Emergency Med, Bundang Hosp, Gyeonggi Do, South Korea</t>
  </si>
  <si>
    <t>Hanyang University; Hanyang University; Hanyang University; Hanyang University; Hanyang University; Chung Ang University; Chung Ang University Hospital; Seoul National University (SNU); Seoul National University Hospital</t>
  </si>
  <si>
    <t>External Validation of Deep Learning Algorithm for Detecting and Visualizing Femoral Neck Fracture Including Displaced and Non-displaced Fracture on Plain X-ray</t>
  </si>
  <si>
    <t>Femur; Fracture; Deep learning; Machine learning; Artificial intelligence; AI</t>
  </si>
  <si>
    <t>HIP-FRACTURES; GARDEN CLASSIFICATION; DIAGNOSIS; DELAY</t>
  </si>
  <si>
    <t>Ahn, Chiwon/ABG-4142-2021; Kim, Tae Hyun/GNP-3195-2022; Chung, Jae Ho/W-3109-2017; Oh, Jaehoon/P-1698-2015</t>
  </si>
  <si>
    <t>Bae, Junwon/0000-0002-8408-0540; Chung, Jae Ho/0000-0001-6884-7927; Oh, Jaehoon/0000-0001-8055-1467</t>
  </si>
  <si>
    <t>1099</t>
  </si>
  <si>
    <t>1109</t>
  </si>
  <si>
    <t>10.1007/s10278-021-00499-2</t>
  </si>
  <si>
    <t>http://dx.doi.org/10.1007/s10278-021-00499-2</t>
  </si>
  <si>
    <t>WO6US</t>
  </si>
  <si>
    <t>34379216</t>
  </si>
  <si>
    <t>WOS:000684057100001</t>
  </si>
  <si>
    <t>Miyazaki, A; Ikejima, K; Nishio, M; Yabuta, M; Matsuo, H; Onoue, K; Matsunaga, T; Nishioka, E; Kono, A; Yamada, D; Oba, K; Ishikura, R; Murakami, T</t>
  </si>
  <si>
    <t>To evaluate the diagnostic performance of our deep learning (DL) model of COVID-19 and investigate whether the diagnostic performance of radiologists was improved by referring to our model. Our datasets contained chest X-rays (CXRs) for the following three categories: normal (NORMAL), non-COVID-19 pneumonia (PNEUMONIA), and COVID-19 pneumonia (COVID). We used two public datasets and private dataset collected from eight hospitals for the development and external validation of our DL model (26,393 CXRs). Eight radiologists performed two reading sessions: one session was performed with reference to CXRs only, and the other was performed with reference to both CXRs and the results of the DL model. The evaluation metrics for the reading session were accuracy, sensitivity, specificity, and area under the curve (AUC). The accuracy of our DL model was 0.733, and that of the eight radiologists without DL was 0.696 +/- 0.031. There was a significant difference in AUC between the radiologists with and without DL for COVID versus NORMAL or PNEUMONIA (p = 0.0038). Our DL model alone showed better diagnostic performance than that of most radiologists. In addition, our model significantly improved the diagnostic performance of radiologists for COVID versus NORMAL or PNEUMONIA.</t>
  </si>
  <si>
    <t>Miyazaki, Aki; Ikejima, Kengo; Nishio, Mizuho; Yabuta, Minoru; Matsuo, Hidetoshi; Onoue, Koji; Matsunaga, Takaaki; Nishioka, Eiko; Kono, Atsushi; Yamada, Daisuke; Oba, Ken; Ishikura, Reiichi; Murakami, Takamichi</t>
  </si>
  <si>
    <t>Nishio, M (corresponding author), Kobe Univ, Dept Radiol, Grad Sch Med, 7-5-2 Kusunoki Cho,Chuo Ku, Kobe 6500017, Japan.</t>
  </si>
  <si>
    <t>nmizuho@med.kobe-u.ac.jp</t>
  </si>
  <si>
    <t>We thank Yoshiaki Watanabe (Nishinomiya Watanabe Hospital) for his cooperation.</t>
  </si>
  <si>
    <t>[Miyazaki, Aki; Nishio, Mizuho; Matsuo, Hidetoshi; Matsunaga, Takaaki; Nishioka, Eiko; Kono, Atsushi; Murakami, Takamichi] Kobe Univ, Dept Radiol, Grad Sch Med, 7-5-2 Kusunoki Cho,Chuo Ku, Kobe 6500017, Japan; [Ikejima, Kengo; Yabuta, Minoru; Yamada, Daisuke; Oba, Ken] St Lukes Int Hosp, Dept Radiol, 9-1 Akashi Cho,Chuo Ku, Tokyo 1048560, Japan; [Onoue, Koji; Ishikura, Reiichi] Kobe City Med Ctr Gen Hosp, Dept Radiol, 2-1-1 Minatojimaminamimachi,Chuo Ku, Kobe 6500047, Japan; [Onoue, Koji] Kyoto Katsura Hosp, Dept Diagnost Imaging &amp; Intervent Radiol, 17 Yamada Hirao,Nishikyo Ku, Kyoto 6158256, Japan</t>
  </si>
  <si>
    <t>Kobe University; St. Luke's International Hospital; Kobe City Medical Center General Hospital</t>
  </si>
  <si>
    <t>Computer-aided diagnosis of chest X-ray for COVID-19 diagnosis in external validation study by radiologists with and without deep learning system</t>
  </si>
  <si>
    <t>Kono, Atsushi/N-2697-2019; Matsuo, Hidetoshi/AAA-5772-2021; Yamada, Daisuke/GZK-7297-2022; Nishio, Mizuho/ACC-0897-2022; 池島, 健吾/IRZ-6157-2023</t>
  </si>
  <si>
    <t>Yamada, Daisuke/0000-0003-1561-5908</t>
  </si>
  <si>
    <t>OCT 16 2023</t>
  </si>
  <si>
    <t>17533</t>
  </si>
  <si>
    <t>10.1038/s41598-023-44818-9</t>
  </si>
  <si>
    <t>http://dx.doi.org/10.1038/s41598-023-44818-9</t>
  </si>
  <si>
    <t>U8GI4</t>
  </si>
  <si>
    <t>37845348</t>
  </si>
  <si>
    <t>WOS:001087127100087</t>
  </si>
  <si>
    <t>Kim, C; Hwang, EJ; Choi, YR; Choi, H; Goo, JM; Kim, Y; Choi, J; Park, CM</t>
  </si>
  <si>
    <t>BACKGROUND. Chest radiography is an essential tool for diagnosing community-acquired pneumonia (CAP), but it has an uncertain prognostic role in the care of patients with CAP.OBJECTIVE. The purpose of this study was to develop a deep learning (DL) model to predict 30-day mortality from diagnosis among patients with CAP by use of chest radiographs to validate the performance model in patients from different time periods and institutions.METHODS. In this retrospective study, a DL model was developed from data on 7105 patients from one institution from March 2013 to December 2019 (3:1:1 allocation to training, validation, and internal test sets) to predict the risk of all-cause mortality within 30 days after CAP diagnosis by use of patients' initial chest radiographs. The DL model was evaluated in a cohort of patients diagnosed with CAP during emergency department visits at the same institution from January 2020 to March 2020 (temporal test cohort [n = 947]) and in two additional cohorts from different institutions (external test cohort A [n = 467], January 2020 to December 2020; external test cohort B [n = 381], March 2019 to October 2021). AUCs were compared between the DL model and an established risk prediction tool based on the presence of confusion, blood urea nitrogen level, respiratory rate, blood pressure, and age 65 years or older (CURB-65 score). The combination of CURB-65 score and DL model was evaluated with a logistic regression model.RESULTS. The AUC for predicting 30-day mortality was significantly larger (p &lt; .001) for the DL model than for CURB-65 score in the temporal test set (0.77 vs 0.67). The larger AUC for the DL model than for CURB-65 score was not significant (p &gt;.05) in external test cohort A (0.80 vs 0.73) or external test cohort B (0.80 vs 0.72). In the three cohorts, the DL model, in comparison with CURB-65 score, had higher (p &lt; .001) specificity (range, 61-69% vs 44-58%) at the sensitivity of CURB-65 score. The combination of DL model and CURB-65 score, in comparison with CURB-65 score, yielded a significant increase in AUC in the temporal test cohort (0.77, p &lt; .001) and external test cohort B (0.80, p =.04) and a nonsignificant increase in AUC in external test cohort A (0.80, p = .16).CONCLUSION. A DL-based model consisting of initial chest radiographs was predictive of 30-day mortality among patients with CAP with improved performance over CURB-65 score.CLINICAL IMPACT. The DL-based model may guide clinical decision-making in the care of patients with CAP.</t>
  </si>
  <si>
    <t>Kim, Changi; Hwang, Eui Jin; Choi, Ye Ra; Choi, Hyewon; Goo, Jin Mo; Kim, Yisak; Choi, Jinwook; Park, Chang Min</t>
  </si>
  <si>
    <t>Hwang, EJ (corresponding author), Seoul Natl Univ, Dept Radiol, Coll Med, 101 Daehak Ro, Seoul 03080, South Korea.</t>
  </si>
  <si>
    <t>ken921004@hotmail.com</t>
  </si>
  <si>
    <t>National Research Foundation of Korea - Korean government (Ministry of Science and ICT) [NRF-2021R1F1A1045875]</t>
  </si>
  <si>
    <t>National Research Foundation of Korea - Korean government (Ministry of Science and ICT) (National Research Foundation of Korea, Ministry of Science &amp; ICT (MMSTI))</t>
  </si>
  <si>
    <t>Supported by the National Research Foundation of Korea funded by the Korean government (Ministry of Science and ICT) (grant NRF-2021R1F1A1045875).</t>
  </si>
  <si>
    <t>[Kim, Changi; Hwang, Eui Jin; Choi, Ye Ra; Goo, Jin Mo; Kim, Yisak; Park, Chang Min] Seoul Natl Univ, Dept Radiol, Coll Med, 101 Daehak Ro, Seoul 03080, South Korea; [Kim, Changi; Kim, Yisak] Seoul Natl Univ, Grad Sch, Interdisciplinary Program Bioengn &amp; Integrated Ma, Seoul, South Korea; [Choi, Ye Ra] Seoul Metropolitan Govt Seoul Natl Univ Boramae M, Dept Radiol, Seoul, South Korea; [Choi, Hyewon] Chung Ang Univ, Dept Radiol, Coll Med, Seoul, South Korea; [Choi, Jinwook] Seoul Natl Univ, Dept Biomed Engn, Coll Med, Seoul, South Korea</t>
  </si>
  <si>
    <t>Seoul National University (SNU); Seoul National University Hospital; Seoul National University (SNU); Seoul National University (SNU); Seoul National University Hospital; Seoul National University Hospital; Chung Ang University; Chung Ang University Hospital; Seoul National University (SNU)</t>
  </si>
  <si>
    <t>A Deep Learning Model Using Chest Radiographs for Prediction of 30-Day Mortality in Patients With Community-Acquired Pneumonia: Development and External Validation</t>
  </si>
  <si>
    <t>chest radiography; deep learning; mortality; pneumonia; prognosis</t>
  </si>
  <si>
    <t>INFECTIOUS-DISEASES-SOCIETY; INTEROBSERVER RELIABILITY; THORACIC-SOCIETY; MANAGEMENT; SEVERITY; CURVE</t>
  </si>
  <si>
    <t>kim, changi/KYQ-5013-2024; Kim, Yisak/KBQ-6853-2024; Hwang, Eui/X-4415-2018</t>
  </si>
  <si>
    <t>Kim, Yisak/0000-0002-5420-1436; Park, Chang Min/0000-0003-1884-3738</t>
  </si>
  <si>
    <t>586</t>
  </si>
  <si>
    <t>598</t>
  </si>
  <si>
    <t>10.2214/AJR.23.29414</t>
  </si>
  <si>
    <t>http://dx.doi.org/10.2214/AJR.23.29414</t>
  </si>
  <si>
    <t>GK3I5</t>
  </si>
  <si>
    <t>37315015</t>
  </si>
  <si>
    <t>WOS:001152520400007</t>
  </si>
  <si>
    <t>Cao, HY; Morotti, A; Mazzacane, F; Desser, D; Schlunk, F; Güttler, C; Kniep, H; Penzkofer, T; Fiehler, J; Hanning, U; Dell'Orco, A; Nawabi, J</t>
  </si>
  <si>
    <t>Background: The objective of this study was to assess the performance of the first publicly available automated 3D segmentation for spontaneous intracerebral hemorrhage (ICH) based on a 3D neural network before and after retraining. Methods: We performed an independent validation of this model using a multicenter retrospective cohort. Performance metrics were evaluated using the dice score (DSC), sensitivity, and positive predictive values (PPV). We retrained the original model (OM) and assessed the performance via an external validation design. A multivariate linear regression model was used to identify independent variables associated with the model's performance. Agreements in volumetric measurements and segmentation were evaluated using Pearson's correlation coefficients (r) and intraclass correlation coefficients (ICC), respectively. With 1040 patients, the OM had a median DSC, sensitivity, and PPV of 0.84, 0.79, and 0.93, compared to thoseo f 0.83, 0.80, and 0.91 in the retrained model (RM). However, the median DSC for infratentorial ICH was relatively low and improved significantly after retraining, at p &lt; 0.001. ICH volume and location were significantly associated with the DSC, at p &lt; 0.05. The agreement between volumetric measurements (r &gt; 0.90, p &gt; 0.05) and segmentations (ICC &amp; GE; 0.9, p &lt; 0.001) was excellent. Conclusion: The model demonstrated good generalization in an external validation cohort. Location-specific variances improved significantly after retraining. External validation and retraining are important steps to consider before applying deep learning models in new clinical settings.</t>
  </si>
  <si>
    <t>Cao, Haoyin; Morotti, Andrea; Mazzacane, Federico; Desser, Dmitriy; Schlunk, Frieder; Guettler, Christopher; Kniep, Helge; Penzkofer, Tobias; Fiehler, Jens; Hanning, Uta; Dell'Orco, Andrea; Nawabi, Jawed</t>
  </si>
  <si>
    <t>Cao, HY (corresponding author), Charite Univ Med Berlin, Humboldt Univ Berlin, Freie Univ Berlin, Dept Radiol, Charitepl 1, D-10117 Berlin, Germany.</t>
  </si>
  <si>
    <t>haoyin.cao@charite.de</t>
  </si>
  <si>
    <t>Berlin Institute of Health; Ministry of Education and Research (BMBF) [01KX2021, 68GX21001A]; German Research Foundation (DFG) [SFB 1340/2]; Horizon 2020 [952172]; Italian Ministry of Health</t>
  </si>
  <si>
    <t>Berlin Institute of Health; Ministry of Education and Research (BMBF) (Federal Ministry of Education &amp; Research (BMBF)); German Research Foundation (DFG) (German Research Foundation (DFG)); Horizon 2020 (Horizon 2020); Italian Ministry of Health (Ministry of Health, Italy)</t>
  </si>
  <si>
    <t>&amp; nbsp;J.N. is grateful for being supported by the Berlin Institute of Health (Digital Clinician Scientist Grant funded by Charite-Universitaetsmedizin Berlin, the Berlin Institute of Health and the German Research Foundation, DFG). F.S. was supported by the Berlin Institute of Health (Clinician Scientist Grant). T.P. was supported by the Berlin Institute of Health (Clinician Scientist Grant and Platform Grant), Ministry of Education and Research (BMBF, 01KX2021, and 68GX21001A), German Research Foundation (DFG, SFB 1340/2), and Horizon 2020 (952172). F.M. was supported by the Italian Ministry of Health (Ricerca Corrente 2022-2024).</t>
  </si>
  <si>
    <t>[Cao, Haoyin; Penzkofer, Tobias; Nawabi, Jawed] Charite Univ Med Berlin, Humboldt Univ Berlin, Freie Univ Berlin, Dept Radiol, Charitepl 1, D-10117 Berlin, Germany; [Morotti, Andrea] ASST Spedali Civili, Dept Neurol Sci &amp; Vis, Neurol Unit, I-25123 Brescia, Italy; [Mazzacane, Federico] Univ Pavia, Dept Brain &amp; Behav Sci, I-27100 Pavia, Italy; [Mazzacane, Federico] IRCCS Fdn Mondino, UC Malattie Cerebrovasc &amp; Stroke Unit, I-27100 Pavia, Italy; [Desser, Dmitriy; Schlunk, Frieder; Guettler, Christopher; Dell'Orco, Andrea; Nawabi, Jawed] Charite Sch Med, Dept Neuroradiol, D-10117 Berlin, Germany; [Desser, Dmitriy; Schlunk, Frieder; Guettler, Christopher; Dell'Orco, Andrea; Nawabi, Jawed] Univ Hosp Berlin, D-10117 Berlin, Germany; [Kniep, Helge; Fiehler, Jens; Hanning, Uta] Univ Med Ctr Hamburg Eppendorf, Dept Diagnost &amp; Intervent Neuroradiol, D-20246 Hamburg, Germany; [Penzkofer, Tobias; Nawabi, Jawed] Berlin Inst Hlth BIH, BIH Biomed Innovat Acad, D-10178 Berlin, Germany</t>
  </si>
  <si>
    <t>Free University of Berlin; Humboldt University of Berlin; Charite Universitatsmedizin Berlin; Hospital Spedali Civili Brescia; University of Pavia; IRCCS Fondazione Casimiro Mondino; Free University of Berlin; Humboldt University of Berlin; Charite Universitatsmedizin Berlin; University of Hamburg; University Medical Center Hamburg-Eppendorf; Free University of Berlin; Humboldt University of Berlin; Charite Universitatsmedizin Berlin; Berlin Institute of Health</t>
  </si>
  <si>
    <t>External Validation and Retraining of DeepBleed: The First Open-Source 3D Deep Learning Network for the Segmentation of Spontaneous Intracerebral and Intraventricular Hemorrhage</t>
  </si>
  <si>
    <t>intracerebral hemorrhage; automated segmentation; deep learning; multicenter; external validation</t>
  </si>
  <si>
    <t>BLOOD-PRESSURE REDUCTION; EVACUATION MISTIE; GUIDELINE; VOLUME; SCORE; MRI</t>
  </si>
  <si>
    <t>Mazzacane, Federico/ABH-1348-2021; Dell'Orco, Andrea/PKG-3267-2026; Penzkofer, Tobias/AAW-8839-2020; Morotti, Andrea/AAC-5252-2022; Hanning, Uta/ACB-3126-2022</t>
  </si>
  <si>
    <t>Mazzacane, Federico/0000-0002-2224-8002; Nawabi, Jawed/0000-0002-1137-0643; Cao, Haoyin/0000-0001-8196-0385; Desser, Dmitriy/0000-0002-4642-3063; Dell'Orco, Andrea/0000-0002-3964-8360; Penzkofer, Tobias/0000-0001-9591-8575</t>
  </si>
  <si>
    <t>4005</t>
  </si>
  <si>
    <t>10.3390/jcm12124005</t>
  </si>
  <si>
    <t>http://dx.doi.org/10.3390/jcm12124005</t>
  </si>
  <si>
    <t>K6AK8</t>
  </si>
  <si>
    <t>37373699</t>
  </si>
  <si>
    <t>WOS:001017245500001</t>
  </si>
  <si>
    <t>Fu, F; Zhong, DC; Liu, JM; Xu, TX; Shen, Q; Wang, W; Zhu, SS; Li, JQ</t>
  </si>
  <si>
    <t>The 12-lead electrocardiogram (ECG) is crucial in assessing patient decisions. However, portable ECG devices capable of acquiring a complete 12-lead ECG are scarce. For the first time, a deep learning-based method is proposed to reconstruct the 12-lead ECG from Frank leads (VX, VY, and VZ) or EASI leads (VES, VAS, and VAI). The innovative ECG reconstruction network called M2Eformer is composed of a 2D-ECGblock and a ProbDecoder module. The 2D-ECGblock module adaptively segments EASI leads into multi-periods based on frequency energy, transforming the 1D time series into a 2D tensor representing within-cycle and between-cycle variations. The ProbDecoder module aims to extract Probsparse self-attention and achieve one-step output for the target leads. Experimental results from comparing recorded and reconstructed 12-lead ECG using Frank leads indicate that M2Eformer outperforms traditional ECG reconstruction methods on a public database. In this study, a self-constructed database (10 healthy individuals + 15 patients) was utilized for the clinical diagnostic validation of ECG reconstructed from EASI leads. Subsequently, both the ECG reconstructed using EASI and the recorded 12-lead ECG were subjected to a double-blind diagnostic experiment conducted by three cardiologists. The overall diagnostic consensus among three cardiology experts, reaching a rate of 96%, indicates the significant utility of EASI-reconstructed 12-lead ECG in facilitating the diagnosis of cardiac conditions.</t>
  </si>
  <si>
    <t>Fu, Fan; Zhong, Dacheng; Liu, Jiamin; Xu, Tianxiang; Shen, Qin; Wang, Wei; Zhu, Songsheng; Li, Jianqing</t>
  </si>
  <si>
    <t>Zhu, SS (corresponding author), Nanjing Med Univ, Sch Biomed Engn &amp; Informat, Nanjing 211166, Peoples R China.; Li, JQ (corresponding author), Nanjing Med Univ, Engn Res Ctr Intelligent Theranost Technol &amp; Instr, Minist Educ, Nanjing 211166, Peoples R China.; Li, JQ (corresponding author), Southeast Univ, Sch Instrument Sci &amp; Engn, State Key Lab Bioelect, Nanjing 210096, Peoples R China.</t>
  </si>
  <si>
    <t>echo_yaya77@163.com; jqli@njmu.edu.cn; zhu@njmu.edu.cn</t>
  </si>
  <si>
    <t>We would like to thank Lei Guo for her help in the data collection process.</t>
  </si>
  <si>
    <t>[Fu, Fan; Zhong, Dacheng; Liu, Jiamin; Xu, Tianxiang; Zhu, Songsheng] Nanjing Med Univ, Sch Biomed Engn &amp; Informat, Nanjing 211166, Peoples R China; [Shen, Qin] Nanjing Med Univ, Affiliated Hosp 1, Nanjing 210029, Peoples R China; [Wang, Wei] Nanjing Med Univ, Jiangsu Engn Res Ctr Prov Intelligent Wearable Mon, Nanjing 211166, Peoples R China; [Li, Jianqing] Nanjing Med Univ, Engn Res Ctr Intelligent Theranost Technol &amp; Instr, Minist Educ, Nanjing 211166, Peoples R China; [Li, Jianqing] Southeast Univ, Sch Instrument Sci &amp; Engn, State Key Lab Bioelect, Nanjing 210096, Peoples R China</t>
  </si>
  <si>
    <t>Nanjing Medical University; Nanjing Medical University; Nanjing Medical University; Nanjing Medical University; Southeast University - China</t>
  </si>
  <si>
    <t>Wearable 12-Lead ECG Acquisition Using a Novel Deep Learning Approach from Frank or EASI Leads with Clinical Validation</t>
  </si>
  <si>
    <t>deep neural network; EASI lead system; electrocardiogram; 12-lead ECG reconstruction</t>
  </si>
  <si>
    <t>Shen, Qin/MVV-7879-2025; tianxiang, xu/OBN-7339-2025</t>
  </si>
  <si>
    <t>Zhu, Songsheng/0000-0002-4645-9322; Li, Jianqing/0000-0002-3524-8933</t>
  </si>
  <si>
    <t>293</t>
  </si>
  <si>
    <t>10.3390/bioengineering11030293</t>
  </si>
  <si>
    <t>http://dx.doi.org/10.3390/bioengineering11030293</t>
  </si>
  <si>
    <t>MD6T7</t>
  </si>
  <si>
    <t>38534567</t>
  </si>
  <si>
    <t>WOS:001191734700001</t>
  </si>
  <si>
    <t>Park, KB; Kim, MS; Yoon, D; Jeon, YD</t>
  </si>
  <si>
    <t>BackgroundOrthopedic surgeons use manual measurements, acetate templating, and dedicated software to determine the appropriate implant size for total knee arthroplasty (TKA). This study aimed to use deep learning (DL) to assist in deciding the femoral and tibial implant sizes without manual manipulation and to evaluate the clinical validity of the DL decision by comparing it with conventional manual procedures.MethodsTwo types of DL were used to detect the femoral and tibial regions using the You Only Look Once algorithm model and to determine the implant size from the detected regions using convolutional neural network. An experienced surgeon predicted the implant size for 234 patient cases using manual procedures, and the DL model also predicted the implant sizes for the same cases.ResultsThe exact accuracies of the surgeon's template were 61.54% and 68.38% for predicting femoral and tibial implant sizes, respectively. Meanwhile, the proposed DL model reported exact accuracies of 89.32% and 90.60% for femoral and tibial implant sizes, respectively. The accuracy +/- 1 levels of the surgeon and proposed DL model were 97.44% and 97.86%, respectively, for the femoral implant size and 98.72% for both the surgeon and proposed DL model for the tibial implant size.ConclusionThe observed differences and higher agreement levels achieved by the proposed DL model demonstrate its potential as a valuable tool in preoperative decision-making for TKA. By providing accurate predictions of implant size, the proposed DL model has the potential to optimize implant selection, leading to improved surgical outcomes.</t>
  </si>
  <si>
    <t>Park, Ki-Bong; Kim, Moo-Sub; Yoon, Do-Kun; Jeon, Young Dae</t>
  </si>
  <si>
    <t>Jeon, YD (corresponding author), Univ Ulsan, Coll Med, Ulsan Univ Hosp, Dept Orthopaed Surg, Ulsan, South Korea.</t>
  </si>
  <si>
    <t>yd.jeon84@gmail.com</t>
  </si>
  <si>
    <t>Program of Support for R&amp;D of companies specializing in AI in Seoul type R&amp;D Support Center, Seoul Business Agency [CY240143]; National Research Foundation of Korea(NRF) - Korea government(MSIT) [RS-2024-00350460]</t>
  </si>
  <si>
    <t>Program of Support for R&amp;D of companies specializing in AI in Seoul type R&amp;D Support Center, Seoul Business Agency; National Research Foundation of Korea(NRF) - Korea government(MSIT) (National Research Foundation of Korea, Ministry of Science &amp; ICT (MMSTI))</t>
  </si>
  <si>
    <t>This work was supported by the Program of Support for R&amp;D of companies specializing in AI in Seoul type R&amp;D Support Center, Seoul Business Agency (Grant Number: CY240143), and by the National Research Foundation of Korea(NRF) grant funded by the Korea government(MSIT) (No. RS-2024-00350460).</t>
  </si>
  <si>
    <t>[Park, Ki-Bong; Jeon, Young Dae] Univ Ulsan, Coll Med, Ulsan Univ Hosp, Dept Orthopaed Surg, Ulsan, South Korea; [Kim, Moo-Sub; Yoon, Do-Kun] Kavilab Co Ltd, Ind R&amp;D Ctr, Seoul, South Korea; [Yoon, Do-Kun] Yonsei Univ, Coll Med, Dept Integrat Med, Seoul, South Korea</t>
  </si>
  <si>
    <t>Yonsei University; Yonsei University Health System</t>
  </si>
  <si>
    <t>Clinical validation of a deep learning-based approach for preoperative decision-making in implant size for total knee arthroplasty</t>
  </si>
  <si>
    <t>Total knee arthroplasty; Implant size; Preoperative; Deep learning; Clinical validity</t>
  </si>
  <si>
    <t>TEMPLATE-DIRECTED INSTRUMENTATION; TOTAL HIP; ACCURACY; RELIABILITY; REPLACEMENT; ANALOG; COST</t>
  </si>
  <si>
    <t>Park, Ki-Bong/GRY-4294-2022</t>
  </si>
  <si>
    <t>Kim, Moo-Sub/0000-0002-8202-617X; Park, Ki-Bong/0000-0002-2978-8300</t>
  </si>
  <si>
    <t>OCT 8 2024</t>
  </si>
  <si>
    <t>637</t>
  </si>
  <si>
    <t>10.1186/s13018-024-05128-6</t>
  </si>
  <si>
    <t>http://dx.doi.org/10.1186/s13018-024-05128-6</t>
  </si>
  <si>
    <t>I6J5I</t>
  </si>
  <si>
    <t>39380122</t>
  </si>
  <si>
    <t>WOS:001331302600002</t>
  </si>
  <si>
    <t>Wang, YP; Dai, Y; Liu, ZM; Guo, JJ; Cao, GP; Ouyang, MW; Liu, D; Shan, YZ; Kang, GX; Zhao, GG</t>
  </si>
  <si>
    <t>Surgical intervention or the control of drug-refractory epilepsy requires accurate analysis of invasive inspection intracranial EEG (iEEG) data. A multi-branch deep learning fusion model is proposed to identify epileptogenic signals from the epileptogenic area of the brain. The classical approach extracts multi-domain signal wave features to construct a time-series feature sequence and then abstracts it through the bi-directional long short-term memory attention machine (Bi-LSTM-AM) classifier. The deep learning approach uses raw time-series signals to build a one-dimensional convolutional neural network (1D-CNN) to achieve end-to-end deep feature extraction and signal detection. These two branches are integrated to obtain deep fusion features and results. Resampling is employed to split the imbalanced epileptogenic and non-epileptogenic samples into balanced subsets for clinical validation. The model is validated over two publicly available benchmark iEEG databases to verify its effectiveness on a private, large-scale, clinical stereo EEG database. The model achieves high sensitivity (97.78%), accuracy (97.60%), and specificity (97.42%) on the Bern-Barcelona database, surpassing the performance of existing state-of-the-art techniques. It is then demonstrated on a clinical dataset with an average intra-subject accuracy of 92.53% and cross-subject accuracy of 88.03%. The results suggest that the proposed method is a valuable and extremely robust approach to help researchers and clinicians develop an automated method to identify the source of iEEG signals.</t>
  </si>
  <si>
    <t>Wang, Yiping; Dai, Yang; Liu, Zimo; Guo, Jinjie; Cao, Gongpeng; Ouyang, Mowei; Liu, Da; Shan, Yongzhi; Kang, Guixia; Zhao, Guoguang</t>
  </si>
  <si>
    <t>Kang, GX (corresponding author), Beijing Univ Posts &amp; Telecommun, Key Lab Universal Wireless Commun, Minist Educ, 10 Xitucheng Rd, Beijing 100876, Peoples R China.; Zhao, GG (corresponding author), Capital Med Univ, Xuan Wu Hosp, Dept Neurosurg, 45 Changchun St, Beijing 100053, Peoples R China.; Kang, GX (corresponding author), Wuxi BUPT Sensory Technol &amp; Ind Inst Co Ltd, Wuxi 214001, Jiangsu, Peoples R China.</t>
  </si>
  <si>
    <t>shanyongzhi@xwhosp.org; baytest@bupt.edu.cn; gxkang@bupt.edu.cn; guojinjie2@bupt.edu.cn; gpcao@bupt.edu.cn; ggzhao@xwhosp.org; liuzimo@bupt.edu.cn; ypwang@bupt.edu.cn; drliuda@buaa.edu.cn; yangdai@mail.ccmu.edu.cn</t>
  </si>
  <si>
    <t>Fundamental Research Funds for the Central Universities [2020XD-A06-1]; State Key Program of the National Natural Science Foundation of China [82030037]; National Natural Science Foundation of China [61471064]; National Science and Technology Major Project of China [2017ZX03001022]; BUPT Excellent Ph.D.; Students Foundation [CX2021206]</t>
  </si>
  <si>
    <t>Fundamental Research Funds for the Central Universities (Fundamental Research Funds for the Central Universities); State Key Program of the National Natural Science Foundation of China (National Natural Science Foundation of China (NSFC)); National Natural Science Foundation of China (National Natural Science Foundation of China (NSFC)); National Science and Technology Major Project of China (National Science and Technology Major Project of China); BUPT Excellent Ph.D.; Students Foundation</t>
  </si>
  <si>
    <t>This work was supported by Fundamental Research Funds for the Central Universities (2020XD-A06-1), the State Key Program of the National Natural Science Foundation of China (82030037), the National Natural Science Foundation of China (61471064), the National Science and Technology Major Project of China (No.2017ZX03001022), and BUPT Excellent Ph.D. Students Foundation (CX2021206).</t>
  </si>
  <si>
    <t>[Wang, Yiping; Liu, Zimo; Guo, Jinjie; Cao, Gongpeng; Ouyang, Mowei; Kang, Guixia] Beijing Univ Posts &amp; Telecommun, Key Lab Universal Wireless Commun, Minist Educ, 10 Xitucheng Rd, Beijing 100876, Peoples R China; [Dai, Yang; Shan, Yongzhi; Zhao, Guoguang] Capital Med Univ, Xuan Wu Hosp, Dept Neurosurg, 45 Changchun St, Beijing 100053, Peoples R China; [Liu, Da] Beihang Univ, Robot Inst, Sch Mech Engn &amp; Automat, 37 Xueyuan Rd, Beijing 100191, Peoples R China; [Kang, Guixia] Wuxi BUPT Sensory Technol &amp; Ind Inst Co Ltd, Wuxi 214001, Jiangsu, Peoples R China</t>
  </si>
  <si>
    <t>Beijing University of Posts &amp; Telecommunications; Capital Medical University; Beihang University</t>
  </si>
  <si>
    <t>Computer-Aided Intracranial EEG Signal Identification Method Based on a Multi-Branch Deep Learning Fusion Model and Clinical Validation</t>
  </si>
  <si>
    <t>BRAIN SCIENCES</t>
  </si>
  <si>
    <t>intracranial EEG (iEEG); SEEG; epileptogenic signals identification; multi-branch deep learning fusion</t>
  </si>
  <si>
    <t>NEURAL-NETWORKS; CLASSIFICATION; EPILEPSY; FEATURES</t>
  </si>
  <si>
    <t>Cao, Gongpeng/0000-0002-6324-9503; Zhao, Guoguang/0000-0002-7569-5252</t>
  </si>
  <si>
    <t>2076-3425</t>
  </si>
  <si>
    <t>BRAIN SCI</t>
  </si>
  <si>
    <t>Brain Sci.</t>
  </si>
  <si>
    <t>615</t>
  </si>
  <si>
    <t>10.3390/brainsci11050615</t>
  </si>
  <si>
    <t>http://dx.doi.org/10.3390/brainsci11050615</t>
  </si>
  <si>
    <t>SG7GG</t>
  </si>
  <si>
    <t>34064889</t>
  </si>
  <si>
    <t>WOS:000653607800001</t>
  </si>
  <si>
    <t>Shao, ZH; Xin, EH; Chen, LS; Liu, AE; Gu, CC; Li, AJ; Pan, YN</t>
  </si>
  <si>
    <t>Objectives: To establish an automated scoring system for abdominal aortic calcification (AAC) to facilitate standardized quantitative imaging analysis in support of clinical decision-making in atherosclerosis management. Methods: x-ray images of the abdominal aorta were obtained for 2,941 individuals from five medical centers in Zhejiang Province. Calcification severity was graded manually using the Kauppila scoring system, and cases were stratified into three groups based on total calcification burden. The automated assessment framework comprised two sequential components: a lumbar spine segmentation model based on nnUnet and an AAC score regression model based on ResNet. Model development was conducted using 1,737 training cases, with internal validation in 471 cases and external validation in 733 cases from independent centers. A retrospective matched cohort study was conducted in 200 AAC patients from Center B (100 dialysis-dependent and 100 not dialysis-dependent cases), to investigate associations with major adverse cardiovascular events. Results: The developed automated quantification system demonstrated mean absolute errors of 1.686 (internal validation set) and 1.920 (external validation set), with strong correlation to expert ratings (Spearman's rho = 0.923 and 0.888, respectively, both P &lt; 0.001). Inter-rater reliability analysis revealed excellent agreement with manual scoring (intraclass correlation coefficients of 0.913 internally and 0.874 externally). Stratification based on calcification severity showed optimal sensitivity for the moderate calcification category (88.6%), with superior specificity for the non/mild (94.2%) and severe (91.5%) categories. Conclusion: The established automated quantification system for AAC exhibits good assessment efficiency and measurement accuracy, offering a standardized approach to refine cardiovascular risk stratification in clinical practice.</t>
  </si>
  <si>
    <t>Shao, Zhenhong; Xin, Enhui; Chen, Lisong; Liu, Aie; Gu, Chaochao; Li, Aijing; Pan, Yuning</t>
  </si>
  <si>
    <t>Pan, YN (corresponding author), Ningbo Univ, Dept Radiol, Affiliated Hosp 1, Ningbo, Zhejiang, Peoples R China.</t>
  </si>
  <si>
    <t>fyypanyuning@nbu.edu.cn</t>
  </si>
  <si>
    <t>Public Welfare Science and Technology Program Project of CiXi [2024Z220, 2022S133, LKLY25H200010, 2022LY-KEYB03, 2023HMKY50, CN2024007]</t>
  </si>
  <si>
    <t>Public Welfare Science and Technology Program Project of CiXi</t>
  </si>
  <si>
    <t>The author(s) declare that financial support was received for the research and/or publication of this article. The financial support for the study was sourced from multiple entities: the Key Research and Development Project of Ningbo (Project identification nos. 2024Z220 and 2022S133); the Natural Science Joint Foundation of Zhejiang Province (Project code: LKLY25H200010); the Ningbo Clinical Research Center for Medical Imaging (Grant no.: 2022LY-KEYB03); the HwaMei Research Foundation of Ningbo No. 2 Hospital (Project no.: 2023HMKY50); the Public Welfare Science and Technology Program Project of CiXi (CN2024007).</t>
  </si>
  <si>
    <t>[Shao, Zhenhong; Chen, Lisong] Cixi Peoples Hosp, Med Hlth Grp, Dept Radiol, Ningbo, Zhejiang, Peoples R China; [Shao, Zhenhong; Pan, Yuning] Ningbo Univ, Dept Radiol, Affiliated Hosp 1, Ningbo, Zhejiang, Peoples R China; [Xin, Enhui; Liu, Aie] United Imaging Intelligence, Dept Res &amp; Dev, Shanghai, Peoples R China; [Gu, Chaochao; Li, Aijing] Ningbo 2 Hosp, Dept Radiol, Ningbo, Zhejiang, Peoples R China</t>
  </si>
  <si>
    <t>Deep learning-based automated quantification system for abdominal aortic calcification: multicenter cohort study for algorithm development and clinical validation</t>
  </si>
  <si>
    <t>deep learning; abdominal aortic calcification; cardiovascular riskstratification; automated quantification; x-ray image</t>
  </si>
  <si>
    <t>CARDIOVASCULAR EVENTS; PREDICTOR</t>
  </si>
  <si>
    <t>OCT 21 2025</t>
  </si>
  <si>
    <t>1647882</t>
  </si>
  <si>
    <t>10.3389/fcvm.2025.1647882</t>
  </si>
  <si>
    <t>http://dx.doi.org/10.3389/fcvm.2025.1647882</t>
  </si>
  <si>
    <t>9JK5H</t>
  </si>
  <si>
    <t>41195129</t>
  </si>
  <si>
    <t>WOS:001607788000001</t>
  </si>
  <si>
    <t>Liu, YB; Zhu, GM; Zhang, ZZ; Liang, JQ</t>
  </si>
  <si>
    <t>Purpose To develop and clinically validate an automated deep learning-based stitching model for intraoperative generation of full-length spinal radiographs from segmented C-arm fluoroscopy during scoliosis surgery. Methods A deep learning model was developed to detect pedicle screws and align sequential intraoperative C-arm images to reconstruct a full-length spine view. For clinical validation, we retrospectively analyzed 43 scoliosis patients (2018-2023) with adequate intraoperative segmented sequences. Stitched intraoperative images (Method A) were compared with postoperative full-length standing digital radiographs as the reference standard (Method B). Five spine surgeons independently measured coronal Cobb angles on both image sets. Interobserver reliability was assessed using intraclass correlation coefficients (ICC). Agreement between methods was evaluated using ICC, Bland-Altman analysis, and absolute paired differences. Results The model generated stitched full-length images within 5 s. The mean absolute Cobb angle difference between Methods A and B was 1.95 degrees(SD 2.81 degrees), with a median of 0.20 degrees(IQR 0.00-2.80 degrees) and a range of 0.00-9.80 degrees. Absolute differences were &lt;= 1 degrees, &lt;= 3 degrees, and &lt;= 5 degrees in 76.74%, 88.37%, and 97.67% of paired measurements. Interobserver reliability was excellent (ICC 0.999 for Method A; 0.998 for Method B). Between-method agreement was high (ICC 0.991) with minimal bias (mean difference - 0.13 degrees, 95% limits of agreement - 4.20 degrees to 3.93 degrees). Conclusion Automated stitching of routine intraoperative C-arm images can rapidly produce full-length spinal radiographs with excellent Cobb angle agreement versus postoperative DR, supporting intraoperative alignment assessment.</t>
  </si>
  <si>
    <t>Liu, Yibing; Zhu, Guomao; Zhang, Zhenzhuo; Liang, Jinqian</t>
  </si>
  <si>
    <t>Liang, JQ (corresponding author), Peking Union Med Coll Hosp, Orthoped Dept, 1 Shuaifuyuan, Beijing 100730, Peoples R China.</t>
  </si>
  <si>
    <t>s2024001121@student.pumc.edu.cn; 18701200507@163.com; zhangzz5637@126.com; liuyb7018@163.com</t>
  </si>
  <si>
    <t>National High Level Hospital Clinical Research Funding [2022-PUMCH-B-002)]; National Natural Science Foundation of China [82072477]</t>
  </si>
  <si>
    <t>National High Level Hospital Clinical Research Funding; National Natural Science Foundation of China (National Natural Science Foundation of China (NSFC))</t>
  </si>
  <si>
    <t>We sincerely thank Yi Li and Wei Liu, along with their model design team, for their invaluable contributions to the development of the image stitching algorithm. Their expertise and dedication were instrumental in the success of this research. We also extend our gratitude to the operating room team at Peking Union Medical College Hospital for their support in facilitating this study. Their assistance in providing the necessary surgical environment and technical resources was essential for the implementation and validation of our method. Finally, we deeply appreciate the patients who provided informed consent to participate in this study. Their willingness to contribute to medical research is vital in advancing surgical imaging technologies.</t>
  </si>
  <si>
    <t>[Liu, Yibing; Zhu, Guomao; Zhang, Zhenzhuo; Liang, Jinqian] Peking Union Med Coll Hosp, Orthoped Dept, 1 Shuaifuyuan, Beijing 100730, Peoples R China</t>
  </si>
  <si>
    <t>Chinese Academy of Medical Sciences - Peking Union Medical College; Peking Union Medical College Hospital</t>
  </si>
  <si>
    <t>Intraoperative full-spine imaging with C-arm using a deep learning-based automatic stitching model: development and clinical validation</t>
  </si>
  <si>
    <t>C-arm system fluoroscopy; Deep learning; Full-length spinal image; Intraoperative stitching technology.</t>
  </si>
  <si>
    <t>10.1007/s00586-026-09872-7</t>
  </si>
  <si>
    <t>http://dx.doi.org/10.1007/s00586-026-09872-7</t>
  </si>
  <si>
    <t>FV9UH</t>
  </si>
  <si>
    <t>41910750</t>
  </si>
  <si>
    <t>WOS:001728697100001</t>
  </si>
  <si>
    <t>Tai, J; Hsu, TH; Chen, CJ; Chang, ML; Lin, CH; Huang, SF; Lu, L; Harrison, AP; Tai, DI</t>
  </si>
  <si>
    <t>Background: Liver steatosis assessment by 2D ultrasound is widely used but remains subjective. We previously developed a deep learning (DL) algorithm for objective steatosis quantification. This study aimed to (1) establish histology-based cutoffs, (2) evaluate their transferability across different imaging views, and (3) validate performance on a new scanner not included in training. Methods: We retrospectively analyzed 588 ultrasound studies from 457 histology-proven cases and prospectively collected paired scans using a new scanner (Philips Affiniti 70). Images from right intercostal, left hepatic lobe, and subcostal views were processed with the DL algorithm, and mean values from 3-5 images per view were correlated with histology. Results: Across three views, the DL algorithm achieved AUROCs of 0.891-0.936 across steatosis grades, consistently outperforming FibroScan's controlled attenuation parameter (0.840-0.905), especially in moderate-to-severe steatosis (p &lt; 0.001). Cutoffs established from right intercostal images (N = 565) were applied to images from left hepatic lobe (N = 464) and subcostal views (N = 341), yielding accuracies of 0.792-0.850. On Affiniti 70 images, AUROCs remained high (0.838-0.896), supporting scanner generalizability. Conclusions: The DL algorithm provides accurate, view-independent steatosis grading across different ultrasound scanners and outperforms CAP, supporting its real-world use for objective, reproducible quantification.</t>
  </si>
  <si>
    <t>Tai, Jennifer; Hsu, Tse-Hwa; Chen, Cheng-Jen; Chang, Ming-Ling; Lin, Chihung; Huang, Shiu-Feng; Lu, Le; Harrison, Adam P.; Tai, Dar-In</t>
  </si>
  <si>
    <t>Tai, DI (corresponding author), Chang Gung Mem Hosp Linkou, Dept Gastroenterol &amp; Hepatol, Taoyuan 333423, Taiwan.; Harrison, AP (corresponding author), Riverain Technol, Res Div, Miamisburg, OH 45342 USA.</t>
  </si>
  <si>
    <t>sfhuang@nhri.org.tw; tiger.lelu@gmail.com; mlchang8210@gmail.com; k85731@cgmh.org.tw; tai48978@cgmh.org.tw; jennifertai112@gmail.com; lin3031@gmail.com; echohsuth45@gmail.com; adam.p.harrison@gmail.com</t>
  </si>
  <si>
    <t>Chang Gung Memorial Hospital [CMRPG3P0261]</t>
  </si>
  <si>
    <t>Chang Gung Memorial Hospital (Chang Gung Memorial Hospital)</t>
  </si>
  <si>
    <t>This research was funded by Chang Gung Memorial Hospital (CMRPG3P0261).</t>
  </si>
  <si>
    <t>[Tai, Jennifer; Hsu, Tse-Hwa; Chen, Cheng-Jen; Chang, Ming-Ling; Tai, Dar-In] Chang Gung Mem Hosp Linkou, Dept Gastroenterol &amp; Hepatol, Taoyuan 333423, Taiwan; [Lin, Chihung] Chang Gung Mem Hosp, Ctr Artificial Intelligence Med, Taoyuan 333, Taiwan; [Huang, Shiu-Feng] Natl Hlth Res Inst, Inst Mol &amp; Genom Med, Miaoli 35053, Taiwan; [Lu, Le] Alibaba Grp, DAMO Acad, New York, NY 10014 USA; [Harrison, Adam P.] Riverain Technol, Res Div, Miamisburg, OH 45342 USA</t>
  </si>
  <si>
    <t>Chang Gung Memorial Hospital; Chang Gung Memorial Hospital; National Health Research Institutes - Taiwan; Alibaba Group</t>
  </si>
  <si>
    <t>Clinical Validation of a Deep Learning-Based 2D Ultrasound Steatosis Algorithm: Cutoff Transferability, Scanner Generalizability, and Comparison with FibroScan</t>
  </si>
  <si>
    <t>deep learning; 2D ultrasound; quantitative ultrasound; liver steatosis; liver histology; controlled attenuation parameter; diagnostic performance</t>
  </si>
  <si>
    <t>FATTY LIVER-DISEASE; HEPATIC STEATOSIS; DIAGNOSIS</t>
  </si>
  <si>
    <t>10.3390/diagnostics16020267</t>
  </si>
  <si>
    <t>http://dx.doi.org/10.3390/diagnostics16020267</t>
  </si>
  <si>
    <t>CR6ON</t>
  </si>
  <si>
    <t>41594243</t>
  </si>
  <si>
    <t>WOS:001672798200001</t>
  </si>
  <si>
    <t>Tabari, A; Vejdani-Jahromi, M; Lang, M; Nickel, D; Lo, WC; Clifford, B; Conklin, J; Huang, SY</t>
  </si>
  <si>
    <t>BACKGROUND AND PURPOSE: Deep learning (DL) reconstruction methods have shown promise in accelerating 2D MRI sequences but have yet to be extensively validated for routine 3D volumetric MRI applications. Our purpose was to assess the diagnostic quality of a novel DL-accelerated 3D T1-MPRAGE compared with a state-of-the-art wave-controlled aliasing in parallel imaging (Wave-CAIPI) accelerated 3D T1-MPRAGE for evaluating intracranial enhancing lesions. MATERIALS AND METHODS: This prospective study was approved by the Institutional Review Board. Patients undergoing contrast-enhanced brain MRI in an outpatient setting were scanned on 3T MRI systems. The imaging protocol included a state-of-the-art Wave-CAIPI postcontrast T1-MPRAGE (acceleration factor [R] = 2 x 2, acquisition time [TA] = 2:11 minutes) and a research-based postcontrast DL-T1-MPRAGE (R = 2 x 2, TA = 2:11 minutes). The DL-based reconstruction process involved 2 steps. The first step, inspired by variational networks, involved 6 iterations alternating between data consistency updates and neural network evaluation. The second step applied a super-resolution algorithm for further image enhancement. Two independent neuroradiologists conducted a blinded, randomized head-to-head comparison of the 2 sequences by using a previously published scale across the following criteria: visualization of dural, parenchymal, leptomeningeal, and ependymal enhancement; sharpness; noise; artifacts; and overall diagnostic quality. A third board-certified neuroradiologist adjudicated cases with discrepant ratings. Noninferiority of DL-T1-MPRAGE was tested by using a 15% margin. RESULTS: A total of 115 patients (68 women/47 men, mean age = 54 +/- 10 years) were included. The top 3 clinical indications were: neoplasm (52%), vascular lesions (24%), and headache (8%). DL-T1-MPRAGE was noninferior to Wave-CAIPI T1-MPRAGE for delineating enhancing lesions with unanimous agreement in all cases with enhancing pathology. It was also noninferior in terms of noise perception (P &lt; .0001), artifact (P &lt; .0001), sharpness (P = .001), and overall diagnostic quality (P &lt; .0001). DL-T1-MPRAGE provided equivalent visualization of small, subtle enhancing parenchymal, dural, and leptomeningeal lesions. CONCLUSIONS: The highly accelerated postcontrast DL-T1-MPRAGE demonstrated noninferior image quality compared with the clinically validated Wave-CAIPI T1-MPRAGE accelerated sequence while offering enhanced visualization of subtle enhancing lesions.</t>
  </si>
  <si>
    <t>Tabari, Azadeh; Vejdani-Jahromi, Maryam; Lang, Min; Nickel, Dominik; Lo, Wei-Ching; Clifford, Bryan; Conklin, John; Huang, Susie Y.</t>
  </si>
  <si>
    <t>Tabari, A (corresponding author), 55 Fruit St,Ellison 2, Boston, MA 02114 USA.</t>
  </si>
  <si>
    <t>atabari@mgh.harvard.edu</t>
  </si>
  <si>
    <t>Siemens Healthineers; National Institutes of Health (NIH) [P41 EB030006]</t>
  </si>
  <si>
    <t>Siemens Healthineers; National Institutes of Health (NIH) (United States Department of Health &amp; Human Services, National Institutes of Health (NIH) - USA)</t>
  </si>
  <si>
    <t>This research was supported by research grants from Siemens Healthineers and the National Institutes of Health (NIH) under award number P41 EB030006.</t>
  </si>
  <si>
    <t>[Tabari, Azadeh; Vejdani-Jahromi, Maryam; Lang, Min; Conklin, John; Huang, Susie Y.] Massachusetts Gen Hosp, AA Martinos Ctr Biomed Imaging, Dept Radiol, Charlestown, MA USA; [Tabari, Azadeh; Lang, Min; Conklin, John; Huang, Susie Y.] Harvard Med Sch, Boston, MA USA; [Nickel, Dominik] Siemens Healthineers AG, Erlangen, Germany; [Lo, Wei-Ching; Clifford, Bryan] Siemens Med Solut, Boston, MA USA; [Huang, Susie Y.] MIT, Harvard MIT Hlth Sci &amp; Technol, Cambridge, MA USA</t>
  </si>
  <si>
    <t>Harvard University; Harvard University Medical Affiliates; Massachusetts General Hospital; Harvard University; Harvard Medical School; Siemens AG; Siemens USA; Harvard University; Massachusetts Institute of Technology (MIT); Harvard Medical School</t>
  </si>
  <si>
    <t>Clinical Validation of Deep Learning-Accelerated versus Wave-CAIPI Postcontrast 3D T1-MPRAGE for Evaluation of Intracranial Enhancing Lesions</t>
  </si>
  <si>
    <t>MRI</t>
  </si>
  <si>
    <t>Huang, Susie/H-8357-2019; Nickel, Dominik/AAJ-3270-2021</t>
  </si>
  <si>
    <t>Huang, Susie/0000-0003-2950-7254; Lo, Wei-Ching/0000-0002-1893-0500; Nickel, Dominik/0000-0002-0360-7233; Clifford, Bryan/0000-0002-1966-0581</t>
  </si>
  <si>
    <t>JAN 29 2026</t>
  </si>
  <si>
    <t>400</t>
  </si>
  <si>
    <t>10.3174/ajnr.A8992</t>
  </si>
  <si>
    <t>http://dx.doi.org/10.3174/ajnr.A8992</t>
  </si>
  <si>
    <t>CV5CO</t>
  </si>
  <si>
    <t>41617400</t>
  </si>
  <si>
    <t>WOS:001675414100001</t>
  </si>
  <si>
    <t>Lee, KC; Lee, KH; Kang, CH; Ahn, KS; Chung, LY; Lee, JJ; Hong, SJ; Kim, BH; Shim, E</t>
  </si>
  <si>
    <t>Objective: To evaluate the accuracy and clinical efficacy of a hybrid Greulich-Pyle (GP) and modified Tanner-Whitehouse (TW) artificial intelligence (AI) model for bone age assessment. Materials and Methods: A deep learning-based model was trained on an open dataset of multiple ethnicities. A total of 102 hand radiographs (51 male and 51 female; mean age +/- standard deviation = 10.95 +/- 2.37 years) from a single institution were selected for external validation. Three human experts performed bone age assessments based on the GP atlas to develop a reference standard. Two study radiologists performed bone age assessments with and without AI model assistance in two separate sessions, for which the reading time was recorded. The performance of the AI software was assessed by comparing the mean absolute difference between the AI-calculated bone age and the reference standard. The reading time was compared between reading with and without AI using a paired t test. Furthermore, the reliability between the two study radiologists' bone age assessments was assessed using intraclass correlation coefficients (ICCs), and the results were compared between reading with and without AI. Results: The bone ages assessed by the experts and the AI model were not significantly different (11.39 +/- 2.74 years and 11.35 +/- 2.76 years, respectively, p = 0.31). The mean absolute difference was 0.39 years (95% confidence interval, 0.33- 0.45 years) between the automated AI assessment and the reference standard. The mean reading time of the two study radiologists was reduced from 54.29 to 35.37 seconds with AI model assistance (p &lt; 0.001). The ICC of the two study radiologists slightly increased with AI model assistance (from 0.945 to 0.990). Conclusion: The proposed AI model was accurate for assessing bone age. Furthermore, this model appeared to enhance the clinical efficacy by reducing the reading time and improving the inter-observer reliability.</t>
  </si>
  <si>
    <t>Lee, Kyu-Chong; Lee, Kee-Hyoung; Kang, Chang Ho; Ahn, Kyung-Sik; Chung, Lindsey Yoojin; Lee, Jae-Joon; Hong, Suk Joo; Kim, Baek Hyun; Shim, Euddeum</t>
  </si>
  <si>
    <t>Kang, CH (corresponding author), Korea Univ, Dept Radiol, Anam Hosp, 73 Goryeodae Ro, Seoul 02841, South Korea.</t>
  </si>
  <si>
    <t>[Lee, Kyu-Chong; Kang, Chang Ho; Ahn, Kyung-Sik] Korea Univ, Dept Radiol, Anam Hosp, 73 Goryeodae Ro, Seoul 02841, South Korea; [Lee, Kee-Hyoung] Korea Univ, Dept Pediat, Anam Hosp, Seoul, South Korea; [Chung, Lindsey Yoojin] Myongji Hosp, Dept Pediat, Goyang, South Korea; [Lee, Jae-Joon] Crescom, Seongnam, South Korea; [Hong, Suk Joo] Korea Univ, Dept Radiol, Guro Hosp, Seoul, South Korea; [Kim, Baek Hyun; Shim, Euddeum] Korea Univ, Dept Radiol, Ansan Hosp, Ansan, South Korea</t>
  </si>
  <si>
    <t>Korea University; Korea University Medicine (KU Medicine); Korea University; Korea University Medicine (KU Medicine); Myongji Hospital; Korea University; Korea University Medicine (KU Medicine); Korea University; Korea University Medicine (KU Medicine)</t>
  </si>
  <si>
    <t>Clinical Validation of a Deep Learning-Based Hybrid (Greulich-Pyle and Modified Tanner-Whitehouse) Method for Bone Age Assessment</t>
  </si>
  <si>
    <t>KOREAN JOURNAL OF RADIOLOGY</t>
  </si>
  <si>
    <t>Artificial intelligence; Convolutional neural network; Bone age assessment; Greulich-Pyle method; Tanner-Whitehouse method</t>
  </si>
  <si>
    <t>SKELETAL MATURITY; CHILDREN</t>
  </si>
  <si>
    <t>/D-6389-2011; Lee, Kyu-chong/IAM-2743-2023; Ahn, Kyung-Sik/AAZ-1654-2020</t>
  </si>
  <si>
    <t>Kang, Chang Ho/0000-0003-2385-7245; Hong, Suk Joo/0000-0002-3923-1426; Shim, Euddeum/0000-0002-0983-0209; Chung, Lindsey Yoojin/0000-0002-7447-6250; Lee, Kyu-chong/0000-0002-4518-8567; Ahn, Kyung-Sik/0000-0001-9354-5699</t>
  </si>
  <si>
    <t>KOREAN SOCIETY OF RADIOLOGY</t>
  </si>
  <si>
    <t>71, YANGJAECHEON-RO, SEOCHO-GU, SEOUL, SOUTH KOREA</t>
  </si>
  <si>
    <t>1229-6929</t>
  </si>
  <si>
    <t>2005-8330</t>
  </si>
  <si>
    <t>KOREAN J RADIOL</t>
  </si>
  <si>
    <t>Korean J. Radiol.</t>
  </si>
  <si>
    <t>10.3348/kjr.2020.1468</t>
  </si>
  <si>
    <t>http://dx.doi.org/10.3348/kjr.2020.1468</t>
  </si>
  <si>
    <t>XE4WU</t>
  </si>
  <si>
    <t>34668353</t>
  </si>
  <si>
    <t>WOS:000723390600010</t>
  </si>
  <si>
    <t>Cimadomo, D; Chiappetta, V; Innocenti, F; Saturno, G; Taggi, M; Marconetto, A; Casciani, V; Albricci, L; Maggiulli, R; Coticchio, G; Ahlström, A; Berntsen, J; Larman, M; Borini, A; Vaiarelli, A; Ubaldi, FM; Rienzi, L</t>
  </si>
  <si>
    <t>Preimplantation genetic testing for aneuploidies (PGT-A) is arguably the most effective embryo selection strategy. Nevertheless, it requires greater workload, costs, and expertise. Therefore, a quest towards user-friendly, non-invasive strategies is ongoing. Although insufficient to replace PGT-A, embryo morphological evaluation is significantly associated with embryonic competence, but scarcely reproducible. Recently, artificial intelligence-powered analyses have been proposed to objectify and automate image evaluations. iDAScore v1.0 is a deep-learning model based on a 3D convolutional neural network trained on time-lapse videos from implanted and non-implanted blastocysts. It is a decision support system for ranking blastocysts without manual input. This retrospective, pre-clinical, external validation included 3604 blastocysts and 808 euploid transfers from 1232 cycles. All blastocysts were retrospectively assessed through the iDAScore v1.0; therefore, it did not influence embryologists' decision-making process. iDAScore v1.0 was significantly associated with embryo morphology and competence, although AUCs for euploidy and live-birth prediction were 0.60 and 0.66, respectively, which is rather comparable to embryologists' performance. Nevertheless, iDAScore v1.0 is objective and reproducible, while embryologists' evaluations are not. In a retrospective simulation, iDAScore v1.0 would have ranked euploid blastocysts as top quality in 63% of cases with one or more euploid and aneuploid blastocysts, and it would have questioned embryologists' ranking in 48% of cases with two or more euploid blastocysts and one or more live birth. Therefore, iDAScore v1.0 may objectify embryologists' evaluations, but randomized controlled trials are required to assess its clinical value.</t>
  </si>
  <si>
    <t>Cimadomo, Danilo; Chiappetta, Viviana; Innocenti, Federica; Saturno, Gaia; Taggi, Marilena; Marconetto, Anabella; Casciani, Valentina; Albricci, Laura; Maggiulli, Roberta; Coticchio, Giovanni; Ahlstrom, Aisling; Berntsen, Jorgen; Larman, Mark; Borini, Andrea; Vaiarelli, Alberto; Ubaldi, Filippo Maria; Rienzi, Laura</t>
  </si>
  <si>
    <t>Cimadomo, D (corresponding author), GeneraLife IVF, Clin Valle Giulia, Via Notaris 2B, I-00197 Rome, Italy.</t>
  </si>
  <si>
    <t>cimadomo@generalifeitalia.it</t>
  </si>
  <si>
    <t>[Cimadomo, Danilo; Chiappetta, Viviana; Innocenti, Federica; Casciani, Valentina; Albricci, Laura; Maggiulli, Roberta; Vaiarelli, Alberto; Ubaldi, Filippo Maria; Rienzi, Laura] GeneraLife IVF, Clin Valle Giulia, Via Notaris 2B, I-00197 Rome, Italy; [Saturno, Gaia; Taggi, Marilena] Univ Pavia, Dept Biol &amp; Biotechnol Lazzaro Spallanzani, I-27100 Pavia, Italy; [Marconetto, Anabella] Natl Univ Cordoba, Univ Inst Reprod Med, RA-5187 Cordoba, Argentina; [Coticchio, Giovanni; Borini, Andrea] 9 baby GeneraLife IVF, I-40125 Bologna, Italy; [Ahlstrom, Aisling] GeneraLife IVF, Livio, S-40229 Gothenburg, Sweden; [Berntsen, Jorgen] Vitrolife AS, DK-8260 Aarhus, Denmark; [Larman, Mark] Vitrolife Sweden AB, S-42132 Gothenburg, Sweden; [Rienzi, Laura] Univ Urbino Carlo Bo, Dept Biomol Sci, I-61029 Urbino, Italy</t>
  </si>
  <si>
    <t>University of Pavia; National University of Cordoba; University of Urbino</t>
  </si>
  <si>
    <t>Towards Automation in IVF: Pre-Clinical Validation of a Deep Learning-Based Embryo Grading System during PGT-A Cycles</t>
  </si>
  <si>
    <t>IVF; PGT-A; artificial intelligence; automation; time-lapse microscopy; embryo selection; blastocyst; embryo assessment; euploidy; implantation</t>
  </si>
  <si>
    <t>BLASTOCYST TRANSFER CYCLE; LIVE BIRTH; TROPHECTODERM MORPHOLOGY; ARTIFICIAL-INTELLIGENCE; PREDICTS OUTCOMES; TIME; IMPLANTATION; PREGNANCY; SELECTION; ASSOCIATION</t>
  </si>
  <si>
    <t>Coticchio, Giovanni/Q-4046-2016; Berntsen, Jorgen/PXB-1033-2026; cimadomo, danilo/L-2415-2019; Innocenti, Federica/JYP-8582-2024; /AAC-4423-2020</t>
  </si>
  <si>
    <t>Coticchio, Giovanni/0000-0003-1635-9205; Rienzi, laura/0000-0001-8104-3958; cimadomo, danilo/0000-0002-5390-9221; Berntsen, Jørgen/0000-0002-5976-1002; vaiarelli, alberto/0000-0002-0873-3925</t>
  </si>
  <si>
    <t>1806</t>
  </si>
  <si>
    <t>10.3390/jcm12051806</t>
  </si>
  <si>
    <t>http://dx.doi.org/10.3390/jcm12051806</t>
  </si>
  <si>
    <t>9U7GE</t>
  </si>
  <si>
    <t>36902592</t>
  </si>
  <si>
    <t>WOS:000947874200001</t>
  </si>
  <si>
    <t>Otgonbaatar, C; Cha, SJ; Jeon, PH; Ryu, J; Jeon, SH; Kim, H; Dagvasumberel, G; Shim, H; Ko, SM</t>
  </si>
  <si>
    <t>Objective: To evaluate the impact of Super-Resolution Deep Learning Reconstruction (SR-DLR) (Canon Medical Systems Corporation) on image quality and myocardial hemodynamic parameters in dynamic myocardial computed tomography (CT) perfusion compared with filtered-back projection (FBP), hybrid iterative reconstruction (IR), and normal-resolution deep learning reconstruction (NR-DLR). Methods: This prospective single-center study included 25 patients (mean age +/- SD, 65 +/- 10; 21 men) who underwent dynamic myocardial CT perfusion. For qualitative analysis, image noise, signal-to-noise ratio (SNR), and contrast-to-noise ratio (CNR) were assessed, while qualitative analysis included overall image quality and lesion visibility. Myocardial blood flow (MBF) at rest and stress, as well as coronary flow reserve (CFR) were analyzed. Image quality and hemodynamic parameters were compared across 4 reconstruction methods. Results: SR-DLR achieved the lowest image noise (20.33 +/- 2.45 HU), significantly lower than FBP (145.20 +/- 74.81 HU), hybrid IR (47.19 +/- 10.02 HU), and NR-DLR (22.92 +/- 2.63 HU) (P &lt; 0.001). In rest imaging, SR-DLR showed significantly higher SNR (6.71 +/- 1.88) and CNR (15.41 +/- 5.48) compared with other reconstruction methods (P &lt; 0.001). Similar improvements were observed in stress imaging, with SR-DLR providing significantly enhanced SNR and CNR compared with all other methods. The mean CFR was 2.75 +/- 1.88 for SR-DLR, 2.75 +/- 1.99 for NR-DLR, 2.74 +/- 2.44 for hybrid IR, and 2.56 +/- 3.17 for FBP, with no statistically significant differences observed in any pairwise comparisons. Qualitative analysis showed that SR-DLR achieved the highest overall image quality and lesion visibility, significantly outperforming FBP and comparable to hybrid IR and NR-DLR. Conclusions: SR-DLR and NR-DLR significantly enhanced image quality by reducing noise and improving SNR and CNR while maintaining hemodynamic quantification.</t>
  </si>
  <si>
    <t>Otgonbaatar, Chuluunbaatar; Cha, Sung-Jin; Jeon, Pil-Hyun; Ryu, Jaekyun; Jeon, Sang-Hyun; Kim, Hyunjung; Dagvasumberel, Gonchigsuren; Shim, Hackjoon; Ko, Sung Min</t>
  </si>
  <si>
    <t>Ko, SM (corresponding author), Yonsei Univ Korea, Wonju Severance Christian Hosp, Wonju Coll Med, Dept Radiol, 20 Ilsan Ro, Wonju 26426, South Korea.</t>
  </si>
  <si>
    <t>HJSHIM@yuhs.ac; leadledled@naver.com; radkhj@yonsei.ac.kr; ksm9723@yahoo.co.kr; mongolia.radiology@gmail.com; ryujaekyun@gmail.com; chuka_area17@yahoo.com; cktjdwls9612@naver.com; iromeo138@naver.com</t>
  </si>
  <si>
    <t>[Otgonbaatar, Chuluunbaatar; Ryu, Jaekyun; Shim, Hackjoon] Canon Med Syst Korea, Med Imaging AI Res Ctr, Seoul, South Korea; [Otgonbaatar, Chuluunbaatar; Dagvasumberel, Gonchigsuren] Mongolian Natl Univ Med Sci, Dept Radiol, Ulaanbaatar, Mongolia; [Cha, Sung-Jin; Jeon, Pil-Hyun; Jeon, Sang-Hyun; Kim, Hyunjung; Ko, Sung Min] Yonsei Univ Korea, Wonju Severance Christian Hosp, Wonju Coll Med, Dept Radiol, 20 Ilsan Ro, Wonju 26426, South Korea; [Shim, Hackjoon] Yonsei Univ, Coll Med, ConnectAI Res Ctr, Seoul, South Korea</t>
  </si>
  <si>
    <t>Mongolian National University of Medical Sciences; Yonsei University; Yonsei University; Yonsei University Health System</t>
  </si>
  <si>
    <t>"Super-Resolution" Deep Learning Image Reconstruction in Dynamic Myocardial Perfusion: A Prospective Evaluation of Image Quality and Hemodynamic Parameters</t>
  </si>
  <si>
    <t>JOURNAL OF COMPUTER ASSISTED TOMOGRAPHY</t>
  </si>
  <si>
    <t>super-resolution deep learning reconstruction; myocardial blood flow; coronary flow reserve; image noise; dynamic myocardial CT perfusion</t>
  </si>
  <si>
    <t>COMPUTED-TOMOGRAPHY; BLOOD-FLOW; CT; QUANTIFICATION; ISCHEMIA</t>
  </si>
  <si>
    <t>CHA, Sungjin/NNG-4590-2025</t>
  </si>
  <si>
    <t>0363-8715</t>
  </si>
  <si>
    <t>1532-3145</t>
  </si>
  <si>
    <t>J COMPUT ASSIST TOMO</t>
  </si>
  <si>
    <t>J. Comput. Assist. Tomogr.</t>
  </si>
  <si>
    <t>JUL-AUG 2026</t>
  </si>
  <si>
    <t>597</t>
  </si>
  <si>
    <t>605</t>
  </si>
  <si>
    <t>10.1097/RCT.0000000000001840</t>
  </si>
  <si>
    <t>http://dx.doi.org/10.1097/RCT.0000000000001840</t>
  </si>
  <si>
    <t>KY5MK</t>
  </si>
  <si>
    <t>41521534</t>
  </si>
  <si>
    <t>WOS:001818645200003</t>
  </si>
  <si>
    <t>Yoo, SJ; Park, YS; Choi, H; Kim, DS; Goo, JM; Yoon, SH</t>
  </si>
  <si>
    <t>Purpose To prospectively evaluate whether Lung-RADS classification and volumetric nodule assessment were feasible with ultralow-dose (ULD) chest CT scans with deep learning image reconstruction (DLIR). Methods The institutional review board approved this prospective study. This study included 40 patients (mean age, 66 +/- 12 years; 21 women). Participants sequentially underwent LDCT and ULDCT (CTDIvol, 0.96 +/- 0.15 mGy and 0.12 +/- 0.01 mGy) scans reconstructed with the adaptive statistical iterative reconstruction-V 50% (ASIR-V50) and DLIR. CT image quality was compared subjectively and objectively. The pulmonary nodules were assessed visually by two readers using the Lung-RADS 1.1 and automatically using a computerized assisted tool. Results DLIR provided a significantly higher signal-to-noise ratio for LDCT and ULDCT images than ASIR-V50 (all P &lt; .001). In general, DLIR showed superior subjective image quality for ULDCT images (P &lt; .001) and comparable quality for LDCT images compared to ASIR-V50 (P = .01-1). The per-nodule sensitivities of observers for Lung-RADS category 3-4 nodules were 70.6-88.2% and 64.7-82.4% for DLIR-LDCT and DLIR-ULDCT images (P = 1) and categories were mostly concordant within observers. The per-nodule sensitivities of the computer-assisted detection for nodules &gt;= 4 mm were 72.1% and 67.4% on DLIR-LDCT and ULDCT images (P = .50). The 95% limits of agreement for nodule volume differences between DLIR-LDCT and ULDCT images (-85.6 to 78.7 mm3) was similar to the within-scan nodule volume differences between DLIR- and ASIR-V50-LDCT images (-63.9 to 78.5 mm3), with volume differences smaller than 25% in 88.5% and 92.3% of nodules, respectively (P = .65). Conclusion DLIR enabled comparable Lung-RADS and volumetric nodule assessments on ULDCT images to LDCT images.</t>
  </si>
  <si>
    <t>Yoo, Seung-Jin; Park, Young Sik; Choi, Hyewon; Kim, Da Som; Goo, Jin Mo; Yoon, Soon Ho</t>
  </si>
  <si>
    <t>Yoon, SH (corresponding author), Seoul Natl Univ Hosp, Seoul Natl Coll Med, Dept Radiol, Seoul, South Korea.</t>
  </si>
  <si>
    <t>yshoka@snu.ac.kr</t>
  </si>
  <si>
    <t>GE Healthcare [06-2020-0300]</t>
  </si>
  <si>
    <t>GE Healthcare (General Electric, GE Healthcare)</t>
  </si>
  <si>
    <t>This work was supported by GE Healthcare (Grant number: 06-2020-0300). No author received funding in the form of salary from GE Healthcare. URLs to sponsors' websites is: https://www.gehealthcare.co.kr/. The funder had no role in study design, data collection and analysis, decision to publish, or preparation of the manuscript.</t>
  </si>
  <si>
    <t>[Yoo, Seung-Jin] Hanyang Univ, Med Ctr, Coll Med, Dept Radiol, Seoul, South Korea; [Park, Young Sik] Seoul Natl Univ, Seoul Natl Univ Hosp, Coll Med, Dept Internal Med, Seoul, South Korea; [Choi, Hyewon] Chung Ang Univ, Chung Ang Univ Hosp, Coll Med, Dept Radiol, Seoul, South Korea; [Kim, Da Som] Inje Univ, Coll Med, Busan Paik Hosp, Dept Radiol, Busan, South Korea; [Goo, Jin Mo; Yoon, Soon Ho] Seoul Natl Univ Hosp, Seoul Natl Coll Med, Dept Radiol, Seoul, South Korea</t>
  </si>
  <si>
    <t>Hanyang University; Seoul National University (SNU); Seoul National University Hospital; Chung Ang University; Chung Ang University Hospital; Inje University; Seoul National University (SNU); Seoul National University Hospital</t>
  </si>
  <si>
    <t>Prospective evaluation of deep learning image reconstruction for Lung-RADS and automatic nodule volumetry on ultralow-dose chest CT</t>
  </si>
  <si>
    <t>ITERATIVE RECONSTRUCTION; COMPUTED-TOMOGRAPHY; QUALITY ASSESSMENT; RADIATION; AGREEMENT</t>
  </si>
  <si>
    <t>Yoo, Seung-Jin/QPB-3184-2026; Park, Young Sik/MBG-1896-2025; Yoon, Soon Ho/AAL-1640-2020; Yoo, Seung-Jin/B-2779-2019</t>
  </si>
  <si>
    <t>Yoon, Soon Ho/0000-0002-3700-0165; Yoo, Seung-Jin/0000-0002-0779-3889; Goo, Jin Mo/0000-0003-1791-7942</t>
  </si>
  <si>
    <t>e0297390</t>
  </si>
  <si>
    <t>10.1371/journal.pone.0297390</t>
  </si>
  <si>
    <t>http://dx.doi.org/10.1371/journal.pone.0297390</t>
  </si>
  <si>
    <t>KA3C3</t>
  </si>
  <si>
    <t>38386632</t>
  </si>
  <si>
    <t>WOS:001177191300015</t>
  </si>
  <si>
    <t>Shah, PK; Ginestra, JC; Ungar, LH; Junker, P; Rohrbach, J; Fishman, NO; Weissman, GE</t>
  </si>
  <si>
    <t>OBJECTIVES: The National Early Warning Score, Modified Early Warning Score, and quick Sepsis-related Organ Failure Assessment can predict clinical deterioration. These scores exhibit only moderate performance and are often evaluated using aggregated measures over time. A simulated prospective validation strategy that assesses multiple predictions per patient-day would provide the best pragmatic evaluation. We developed a deep recurrent neural network deterioration model and conducted a simulated prospective evaluation. DESIGN: Retrospective cohort study. SETTING: Four hospitals in Pennsylvania. PATIENTS: Inpatient adults discharged between July 1, 2017, and June 30, 2019. INTERVENTIONS: None. MEASUREMENTS AND MAIN RESULTS: We trained a deep recurrent neural network and logistic regression model using data from electronic health records to predict hourly the 24-hour composite outcome of transfer to ICU or death. We analyzed 146,446 hospitalizations with 16.75 million patient-hours. The hourly event rate was 1.6% (12,842 transfers or deaths, corresponding to 260,295 patient-hours within the predictive horizon). On a hold-out dataset, the deep recurrent neural network achieved an area under the precision-recall curve of 0.042 (95% CI, 0.04-0.043), comparable with logistic regression model (0.043; 95% CI 0.041 to 0.045), and outperformed National Early Warning Score (0.034; 95% CI, 0.032-0.035), Modified Early Warning Score (0.028; 95% CI, 0.027- 0.03), and quick Sepsis-related Organ Failure Assessment (0.021; 95% CI, 0.021-0.022). For a fixed sensitivity of 50%, the deep recurrent neural network achieved a positive predictive value of 3.4% (95% CI, 3.4-3.5) and outperformed logistic regression model (3.1%; 95% CI 3.1-3.2), National Early Warning Score (2.0%; 95% CI, 2.0-2.0), Modified Early Warning Score (1.5%; 95% CI, 1.5-1.5), and quick Sepsis-related Organ Failure Assessment (1.5%; 95% CI, 1.5-1.5). CONCLUSIONS: Commonly used early warning scores for clinical decompensation, along with a logistic regression model and a deep recurrent neural network model, show very poor performance characteristics when assessed using a simulated prospective validation. None of these models may be suitable for real-time deployment.</t>
  </si>
  <si>
    <t>Shah, Parth K.; Ginestra, Jennifer C.; Ungar, Lyle H.; Junker, Paul; Rohrbach, Jeff, I; Fishman, Neil O.; Weissman, Gary E.</t>
  </si>
  <si>
    <t>Shah, PK (corresponding author), Univ Penn, Perelman Sch Med, Philadelphia, PA 19104 USA.</t>
  </si>
  <si>
    <t>parth.shah@pennmedicine.upenn.edu</t>
  </si>
  <si>
    <t>America Thoracic Society Research Foundation; National Institutes of Health (NIH); Medical Student Health Services and Policy Research Summer Research Fellowship through the Master of Science in Health Policy Research Program at the Perelman School of Medicine, University of Pennsylvania; NIH; NIH [K23HL141639]; National Heart Lung and Blood Institute [K23HL141639] Funding Source: NIH RePORTER</t>
  </si>
  <si>
    <t>America Thoracic Society Research Foundation; National Institutes of Health (NIH) (United States Department of Health &amp; Human Services, National Institutes of Health (NIH) - USA); Medical Student Health Services and Policy Research Summer Research Fellowship through the Master of Science in Health Policy Research Program at the Perelman School of Medicine, University of Pennsylvania; NIH (United States Department of Health &amp; Human Services, National Institutes of Health (NIH) - USA); NIH (United States Department of Health &amp; Human Services, National Institutes of Health (NIH) - USA); National Heart Lung and Blood Institute (United States Department of Health &amp; Human Services, National Institutes of Health (NIH) - USA, NIH National Heart Lung &amp; Blood Institute (NHLBI))</t>
  </si>
  <si>
    <t>Mr. Shah's institution received funding from America Thoracic Society Research Foundation and the National Institutes of Health (NIH), and he received funding from Medical Student Health Services and Policy Research Summer Research Fellowship through the Master of Science in Health Policy Research Program at the Perelman School of Medicine, University of Pennsylvania. Dr. Ungar received support for article research from the NIH. Dr. Weissman was supported in part by NIH K23HL141639 and a grant from the America Thoracic Society Research Foundation. The remaining authors have disclosed that they do not have any potential conflicts of interest.</t>
  </si>
  <si>
    <t>[Shah, Parth K.] Univ Penn, Perelman Sch Med, Philadelphia, PA 19104 USA; [Ginestra, Jennifer C.; Weissman, Gary E.] Univ Penn, Palliat &amp; Adv Illness Res Ctr, Perelman Sch Med, Philadelphia, PA 19104 USA; [Ungar, Lyle H.] Univ Penn, Dept Comp &amp; Informat Sci, 200 S 33Rd St, Philadelphia, PA 19104 USA; [Junker, Paul; Rohrbach, Jeff, I] Hosp Univ Penn, Clin Effectiveness &amp; Qual Improvement, 3400 Spruce St, Philadelphia, PA 19104 USA; [Fishman, Neil O.; Weissman, Gary E.] Hosp Univ Penn, Dept Med, Philadelphia, PA 19104 USA</t>
  </si>
  <si>
    <t>University of Pennsylvania; Pennsylvania Medicine; University of Pennsylvania; Pennsylvania Medicine; University of Pennsylvania; University of Pennsylvania; University of Pennsylvania; Pennsylvania Medicine</t>
  </si>
  <si>
    <t>A Simulated Prospective Evaluation of a Deep Learning Model for Real-Time Prediction of Clinical Deterioration Among Ward Patients*</t>
  </si>
  <si>
    <t>clinical deterioration; deep learning; Early Warning Score; electronic health records; machine learning</t>
  </si>
  <si>
    <t>EARLY WARNING SCORE; SEPSIS; VALIDATION; RECORD</t>
  </si>
  <si>
    <t>Ginestra, Jennifer/0000-0001-6230-5094</t>
  </si>
  <si>
    <t>1312</t>
  </si>
  <si>
    <t>10.1097/CCM.0000000000004966</t>
  </si>
  <si>
    <t>http://dx.doi.org/10.1097/CCM.0000000000004966</t>
  </si>
  <si>
    <t>TK3ZG</t>
  </si>
  <si>
    <t>33711001</t>
  </si>
  <si>
    <t>WOS:000674100000028</t>
  </si>
  <si>
    <t>Lorusso, V; Kabre, B; Pignot, G; Branger, N; Pacchetti, A; Thomassin-Piana, J; Brunelle, S; Nicolai, N; Musi, G; Salem, N; Montanari, E; de Cobelli, O; Gravis, G; Walz, J</t>
  </si>
  <si>
    <t>Purpose Prostate cancer (PCa) imaging has been revolutionized by the introduction of multi-parametric Magnetic Resonance Imaging (mpMRI). Transrectal ultrasound (TRUS) has always been considered a low-performance modality. To overcome this, a computerized artificial neural network analysis (ANNA/C-TRUS) of the TRUS based on an artificial intelligence (AI) analysis has been proposed. Our aim was to evaluate the diagnostic performance of the ANNA/C-TRUS system and its ability to improve conventional TRUS in PCa diagnosis. Methods We retrospectively analyzed data from 64 patients with PCa and scheduled for radical prostatectomy who underwent TRUS followed by ANNA/C-TRUS analysis before the procedure. The results of ANNA/C-TRUS analysis with whole mount sections from final pathology. Results On a per-sectors analysis, sensitivity, specificity, negative predictive value (NPV), positive predictive value (PPV) and accuracy were 62%, 81%, 80%, 64% and 78% respectively. The values for the detection of clinically significant prostate cancer were 69%, 77%, 88%, 50% and 75%. The diagnostic values for high grade tumours were 70%, 74%, 91%, 41% and 74%, respectively. Cancer volume (&lt;= 0.5 or greater) did not influence the diagnostic performance of the ANNA/C-TRUS system. Conclusions ANNA/C-TRUS represents a promising diagnostic tool and application of AI for PCa diagnosis. It improves the ability of conventional TRUS to diagnose prostate cancer, preserving its simplicity and availability. Since it is an AI system, it does not hold the inter-observer variability nor a learning curve. Multicenter biopsy-based studies with the inclusion of an adequate number of patients are needed to confirm these results.</t>
  </si>
  <si>
    <t>Lorusso, Vito; Kabre, Boukary; Pignot, Geraldine; Branger, Nicolas; Pacchetti, Andrea; Thomassin-Piana, Jeanne; Brunelle, Serge; Nicolai, Nicola; Musi, Gennaro; Salem, Naji; Montanari, Emanuele; de Cobelli, Ottavio; Gravis, Gwenaelle; Walz, Jochen</t>
  </si>
  <si>
    <t>Lorusso, V (corresponding author), Inst Paoli Calmettes Canc Ctr, Dept Urol, Marseille, France.; Lorusso, V (corresponding author), Fdn IRCCS Ist Nazl Tumori, Urol Unit, Milan, Italy.; Lorusso, V (corresponding author), Univ Milan, Milan, Italy.</t>
  </si>
  <si>
    <t>pignotg@ipc.unicancer.fr; vito.lorusso@unimi.it; gravisg@ipc.unicancer.fr; brunettes@ipc.unicancer.fr; emanuele.montanari@unimi.it; gennaro.musi@ieo.it; satemn@ipc.unicancer.fr; a.pacchetti.90@gmail.com; THOMASSINJ@ipc.unicancer.fr; walzj@ipc.unicancer.fr; kabreb2000.bk@gmail.com; ottavio.decobelli@ieo.it; nicola.nicolai@istitutotumori.mi.it; brangern@ipc.unicancer.fr</t>
  </si>
  <si>
    <t>[Lorusso, Vito; Pignot, Geraldine; Branger, Nicolas; Pacchetti, Andrea; Walz, Jochen] Inst Paoli Calmettes Canc Ctr, Dept Urol, Marseille, France; [Lorusso, Vito; Nicolai, Nicola] Fdn IRCCS Ist Nazl Tumori, Urol Unit, Milan, Italy; [Lorusso, Vito; Musi, Gennaro; Montanari, Emanuele; de Cobelli, Ottavio] Univ Milan, Milan, Italy; [Kabre, Boukary] CHU Yalgado Ouedraogo, Dept Urol, Ouagadougou, Burkina Faso; [Thomassin-Piana, Jeanne] Inst Paoli Calmettes Canc Ctr, Dept Pathol, Marseille, France; [Brunelle, Serge] Inst Paoli Calmettes Canc Ctr, Dept Radiol, Marseille, France; [Musi, Gennaro; de Cobelli, Ottavio] IRCCS, Dept Urol, IEO, European Inst Oncol, Milan, Italy; [Salem, Naji] Inst Paoli Calmettes Canc Ctr, Dept Radiotherapy, Marseille, France; [Montanari, Emanuele] Fdn IRCCS Ca Granda Osped Maggiore Policlin, Dept Urol, Milan, Italy; [Gravis, Gwenaelle] Inst Paoli Calmettes Canc Ctr, Dept Oncol, Marseille, France</t>
  </si>
  <si>
    <t>UNICANCER; Institut Paoli-Calmette (IPC); Fondazione IRCCS Istituto Nazionale Tumori Milan; University of Milan; UNICANCER; Institut Paoli-Calmette (IPC); UNICANCER; Institut Paoli-Calmette (IPC); IRCCS European Institute of Oncology (IEO); UNICANCER; Institut Paoli-Calmette (IPC); IRCCS Ca Granda Ospedale Maggiore Policlinico; UNICANCER; Institut Paoli-Calmette (IPC)</t>
  </si>
  <si>
    <t>External validation of the computerized analysis of TRUS of the prostate with the ANNA/C-TRUS system: a potential role of artificial intelligence for improving prostate cancer detection</t>
  </si>
  <si>
    <t>WORLD JOURNAL OF UROLOGY</t>
  </si>
  <si>
    <t>Prostate cancer; Imaging; Ultrasound; TRUS; Transrectal; Artificial intelligence; Diagnosis; ANNA; C-TRUS; Biopsy</t>
  </si>
  <si>
    <t>NETWORK ANALYSIS ANNA; MULTIPARAMETRIC MRI; DIAGNOSIS; ULTRASOUND; BIOPSY</t>
  </si>
  <si>
    <t>MUSI, Gennaro/AAP-8884-2020; Pacchetti, Andrea/AAC-3805-2022; DE COBELLI, OTTAVIO/O-2315-2017; MONTANARI, EMANUELE/I-8034-2015; Gravis, Gwenaelle/CAG-3019-2022; Nicolai, Nicola/D-1091-2017</t>
  </si>
  <si>
    <t>Kabré, Boukary/0000-0002-9883-0621; Lorusso, Vito/0000-0002-2009-6957; DE COBELLI, OTTAVIO/0000-0002-0699-8620; MONTANARI, EMANUELE/0000-0002-3586-666X; Gravis, Gwenaelle/0000-0002-3127-1554</t>
  </si>
  <si>
    <t>0724-4983</t>
  </si>
  <si>
    <t>1433-8726</t>
  </si>
  <si>
    <t>WORLD J UROL</t>
  </si>
  <si>
    <t>World J. Urol.</t>
  </si>
  <si>
    <t>619</t>
  </si>
  <si>
    <t>625</t>
  </si>
  <si>
    <t>10.1007/s00345-022-03965-w</t>
  </si>
  <si>
    <t>http://dx.doi.org/10.1007/s00345-022-03965-w</t>
  </si>
  <si>
    <t>D2TL7</t>
  </si>
  <si>
    <t>35249120</t>
  </si>
  <si>
    <t>WOS:000765201800004</t>
  </si>
  <si>
    <t>Mosfeldt, M; Jorgensen, HL; Lauritzen, JB; Jansson, KÅ</t>
  </si>
  <si>
    <t>Background and purpose - Many models for prediction of mortality after hip fracture have been published but few have undergone external validation, usually considered a prerequisite for assessing the actual precision before being put to clinical use. The aim of our study was to externally validate our previously published models in an independent Swedish cohort. Methods - We retrospectively analyzed 5,055 consecutive patients with hip fractures from 2 hospitals in Stockholm, Sweden, between 2010 and 2020. Previously developed Random Forest (RF), eXtreme Gradient Boosting (XGB), and Generalized Linear Models (GLM) (Mosfeldt et al. 2024) were deployed to estimate mortality at 1, 3, 6, and 12 months. Model performance was assessed using the area under the receiver operating characteristic curve (AUC), calibration metrics, and decision curve analysis (DCA). Bootstrapped isotonic regression was used for recalibration. Results - All models showed acceptable performance, with XGB performing best (AUC 0.72, 0.74, 0.75, and 0.77 for 1-, 3-, 6-, and 12-month mortality). Mortality was lower in the validation cohort, so the models were recalibrated to adjust for this difference. Conclusion - External validation of the previously published models confirmed the original findings, with the XGB models again demonstrating the best overall performance. Recalibration addressed cohort differences in mortality rates and resulted in well-aligned predictions. The updated models for 3-and 12-month mortality are available online (https:// hipfx.shinyapps.io/hipfxswe/), allowing clinicians to input patient data and receive individualized mortality predictions to support clinical decision-making.</t>
  </si>
  <si>
    <t>Mosfeldt, Mathias; Jorgensen, Henrik L.; Lauritzen, Jes B.; Jansson, Karl-Ake</t>
  </si>
  <si>
    <t>Mosfeldt, M (corresponding author), Karolinska Univ Hosp, Dept Orthopaed, Stockholm, Sweden.; Mosfeldt, M (corresponding author), Karolinska Inst, Dept Mol Med &amp; Surg, Stockholm, Sweden.</t>
  </si>
  <si>
    <t>mathias.mosfeldt@ki.se</t>
  </si>
  <si>
    <t>[Mosfeldt, Mathias] Karolinska Univ Hosp, Dept Orthopaed, Stockholm, Sweden; [Mosfeldt, Mathias] Karolinska Inst, Dept Mol Med &amp; Surg, Stockholm, Sweden; [Jorgensen, Henrik L.] Univ Copenhagen, Hvidovre Hosp, Dept Clin Biochem, Copenhagen, Denmark; [Jorgensen, Henrik L.; Lauritzen, Jes B.] Univ Copenhagen, Dept Clin Med, Copenhagen, Denmark; [Lauritzen, Jes B.] Univ Copenhagen, Bispebjerg Hosp, Dept Orthopaed Surg, Copenhagen, Denmark; [Jansson, Karl-Ake] Karolinska Inst, Sodersjukhuset, Dept Clin Sci &amp; Educ, Unit Orthopaed, Stockholm, Sweden</t>
  </si>
  <si>
    <t>Karolinska Institutet; Karolinska University Hospital; Karolinska Institutet; University of Copenhagen; University of Copenhagen; University of Copenhagen; Copenhagen University Hospital; Bispebjerg Hospital; Karolinska Institutet; Sodersjukhuset Hospital</t>
  </si>
  <si>
    <t>External validation of machine learning models for estimation of mortality 1, 3, 6, and 12 months after hip fracture on 5,055 consecutive patients</t>
  </si>
  <si>
    <t>ACTA ORTHOPAEDICA</t>
  </si>
  <si>
    <t>Jorgensen, Henrik/ABI-8236-2020</t>
  </si>
  <si>
    <t>1745-3674</t>
  </si>
  <si>
    <t>1745-3682</t>
  </si>
  <si>
    <t>ACTA ORTHOP</t>
  </si>
  <si>
    <t>Acta Orthop.</t>
  </si>
  <si>
    <t>352</t>
  </si>
  <si>
    <t>358</t>
  </si>
  <si>
    <t>10.2340/17453674.2026.45871</t>
  </si>
  <si>
    <t>http://dx.doi.org/10.2340/17453674.2026.45871</t>
  </si>
  <si>
    <t>JU0AH</t>
  </si>
  <si>
    <t>42267507</t>
  </si>
  <si>
    <t>WOS:001797926600002</t>
  </si>
  <si>
    <t>Hany, M; Elmongui, E; El Ansari, W</t>
  </si>
  <si>
    <t>Background There are no prediction models of stent outcomes for leaks after metabolic and bariatric surgery (MBS). The current study developed an artificial intelligence-based model to predict post-MBS stent failure. Methods Prospectively maintained database of patients with post-MBS leaks was used for model development (Center I, N = 250); external validation employed patients from another hospital (Center II, N = 150). Outcome definition was failure of the first (primary/initial) stent implantation to resolve the leak, i.e., lack of primary closure. Ranking of variables was performed, 11 machine learning algorithms were tested, the best model was selected, and a stent failure point-based risk scoring system was derived, with further external validation, calibration, and decision curve analysis. Results The development cohort (training sample, Center I) had 27.6% failed stents/72.4% successes; the external validation cohort (Center II) had 30% failures/70% successes. The Lasso logistic regression model exhibited the best performance. Eight variables contributed to the model's predictive performance (obstructive sleep apnea, hypertension, diabetes, hepatomegaly, hyperlipidemia, body mass index, Niti-S18 stent, gastrojejunal anastomosis leak), and nine others had varying contributions (revisional surgery, Niti-S23 stent, time to stent implantation, leak size &gt; 1 cm, age, Roux-en-Y gastric bypass surgery, esophagogastric junction leak, Hanaro 21 stent, male sex). The clinical point-based stent failure risk system showed that scores &lt;= 7 had very low failure risk (&lt;1%), scores 8-47 = low risk (1-5%), 48-77 = moderate risk (5.1-15%), 78-117 = high risk (15.1-50%), and scores &gt;= 198 were associated with extremely high failure risk (&gt;96%). The model's external validation demonstrated excellent discriminatory power, distinguishing between patients with/without the outcome with 0.85 area under the ROC curve (95% CI: 0.76-0.93), 80% sensitivity (95% CI: 65.4-90.4%), 82.9% specificity (95% CI: 74.3-89.5%), and 66.7% positive predictive value (95% CI: 52.4-79.0%). The negative predictive value was 90.6% (95% CI: 82.9-95.6%) indicating that the model was particularly effective at identifying patients unlikely to fail. Area under the precision-recall curve was 0.81 (95% CI: 0.70-0.89) indicating strong performance in identifying true positives while minimizing false positives. Calibration was acceptable (Brier score = 0.15). Decision curve analysis demonstrated higher net benefit when used in clinical decision-making across a broad range of threshold probabilities (0.10-0.80) compared to treating all patients or treating none. Conclusions A machine learning model (Alexandria-Bari-Stent) can predict post-MBS stent failure. External validation displayed high accuracy, good sensitivity/specificity, and excellent negative predictive value indicating good discriminative ability. Clinically, the model is more reliable for ruling out stent failure than confirming it, making it especially useful in reassuring low-risk post-MBS leakage patients. Patient's general status, metabolic health, and systemic factors appeared to play a more critical role than previously recognized, complementary to, not in conflict with, established technical and local factors that influence successful stent outcomes for leak management. This prompts the need for a more holistic view of leak patients who are candidates for stenting.Prospective multicenter trials are needed to confirm the performance of the Alexandria-Bari-Stent model and the role of metabolic stabilization and medically optimizing the patient for better outcomes.</t>
  </si>
  <si>
    <t>Hany, Mohamed; Elmongui, Ehab; El Ansari, Walid</t>
  </si>
  <si>
    <t>Hany, M (corresponding author), Alexandria Univ, Alexandria, Egypt.; Hany, M (corresponding author), Madina Womens Hosp, Alexandria, Egypt.; El Ansari, W (corresponding author), Ajman Univ, Ajman, U Arab Emirates.</t>
  </si>
  <si>
    <t>w.elansari@ajman.ac.ae; ehab.elmongui@gmail.com; mohamed.ashour@alexu.edu.eg</t>
  </si>
  <si>
    <t>Alexandria University</t>
  </si>
  <si>
    <t>Alexandria University (Egyptian Knowledge Bank (EKB), Alexandria University)</t>
  </si>
  <si>
    <t>Open access funding provided by The Science, Technology &amp; Innovation Funding Authority (STDF) in cooperation with The Egyptian Knowledge Bank (EKB).</t>
  </si>
  <si>
    <t>[Hany, Mohamed] Alexandria Univ, Alexandria, Egypt; [Hany, Mohamed] Madina Womens Hosp, Alexandria, Egypt; [Elmongui, Ehab] Independent Biostat Consultant, Alexandria, Egypt; [El Ansari, Walid] Ajman Univ, Ajman, U Arab Emirates</t>
  </si>
  <si>
    <t>Egyptian Knowledge Bank (EKB); Alexandria University; Ajman University</t>
  </si>
  <si>
    <t>Development and External Validation of a Machine Learning-Based Risk Score for Stent Outcomes in Post-Bariatric Leak Management: The "Alexandria-Bari-Stent" Tool</t>
  </si>
  <si>
    <t>OBESITY SURGERY</t>
  </si>
  <si>
    <t>Bariatric surgery complications; Endoscopic stent; Gastric bypass; Sleeve gastrectomy; Leak; Perforation; Artificial intelligence</t>
  </si>
  <si>
    <t>PREDICTION MODELS; SURGERY; CLASSIFICATION; READMISSION; EXPERIENCE; FOREGUT</t>
  </si>
  <si>
    <t>El-Ansari, Walid/JSL-5914-2023; Hany, Mohamed/AGZ-9395-2022</t>
  </si>
  <si>
    <t>Elmongui, Ehab/0009-0002-9497-8159; Hany, Mohamed/0000-0001-6650-8112</t>
  </si>
  <si>
    <t>0960-8923</t>
  </si>
  <si>
    <t>1708-0428</t>
  </si>
  <si>
    <t>OBES SURG</t>
  </si>
  <si>
    <t>Obes. Surg.</t>
  </si>
  <si>
    <t>5120</t>
  </si>
  <si>
    <t>5135</t>
  </si>
  <si>
    <t>10.1007/s11695-025-08321-6</t>
  </si>
  <si>
    <t>http://dx.doi.org/10.1007/s11695-025-08321-6</t>
  </si>
  <si>
    <t>AC7AR</t>
  </si>
  <si>
    <t>41315106</t>
  </si>
  <si>
    <t>WOS:001627890400001</t>
  </si>
  <si>
    <t>Xu, YX; Trivedi, A; Becker, N; Blazes, M; Ferres, JL; Lee, A; Liles, WC; Bhatraju, PK</t>
  </si>
  <si>
    <t>COVID-19 mortality risk stratification tools could improve care, inform accurate and rapid triage decisions, and guide family discussions regarding goals of care. A minority of COVID-19 prognostic tools have been tested in external cohorts. Our objective was to compare machine learning algorithms and develop a tool for predicting subsequent clinical outcomes in COVID-19. We conducted a retrospective cohort study that included hospitalized patients with COVID-19 from March 2020 to March 2021. Seven Hundred Twelve consecutive patients from University of Washington and 345 patients from Tongji Hospital in China were included. We applied three different machine learning algorithms to clinical and laboratory data collected within the initial 24 h of hospital admission to determine the risk of in-hospital mortality, transfer to the intensive care unit, shock requiring vasopressors, and receipt of renal replacement therapy. Mortality risk models were derived, internally validated in UW and externally validated in Tongji Hospital. The risk models for ICU transfer, shock and RRT were derived and internally validated in the UW dataset but were unable to be externally validated due to a lack of data on these outcomes. Among the UW dataset, 122 patients died (17%) during hospitalization and the mean days to hospital mortality was 15.7 +/- 21.5 (mean +/- SD). Elastic net logistic regression resulted in a C-statistic for in-hospital mortality of 0.72 (95% CI, 0.64 to 0.81) in the internal validation and 0.85 (95% CI, 0.81 to 0.89) in the external validation set. Age, platelet count, and white blood cell count were the most important predictors of mortality. In the sub-group of patients &gt; 50 years of age, the mortality prediction model continued to perform with a C-statistic of 0.82 (95% CI:0.76,0.87). Prediction models also performed well for shock and RRT in the UW dataset but functioned with lower accuracy for ICU transfer. We trained, internally and externally validated a prediction model using data collected within 24 h of hospital admission to predict in-hospital mortality on average two weeks prior to death. We also developed models to predict RRT and shock with high accuracy. These models could be used to improve triage decisions, resource allocation, and support clinical trial enrichment.</t>
  </si>
  <si>
    <t>Xu, Yixi; Trivedi, Anusua; Becker, Nicholas; Blazes, Marian; Ferres, Juan Lavista; Lee, Aaron; Conrad Liles, W.; Bhatraju, Pavan K.</t>
  </si>
  <si>
    <t>Bhatraju, PK (corresponding author), Univ Washington, Sch Med, Seattle, WA 98195 USA.; Bhatraju, PK (corresponding author), Univ Washington, Div Pulm, Pulm Crit Care &amp; Sleep Med, Seattle, WA 98195 USA.; Bhatraju, PK (corresponding author), Univ Washington SCORE UW, Dept Med, Seattle, WA 98195 USA.; Bhatraju, PK (corresponding author), Univ Washington SCORE UW, Sepsis Ctr Res Excellence, Seattle, WA 98195 USA.</t>
  </si>
  <si>
    <t>bhatraju@uw.edu</t>
  </si>
  <si>
    <t>NIDDK [K23DK116967]; Roche; NIH/NEI [K23EY029246]; Research to Prevent Blindness; National Eye Institute [K23EY029246] Funding Source: NIH RePORTER; National Institute of Diabetes and Digestive and Kidney Diseases [K23DK116967] Funding Source: NIH RePORTER</t>
  </si>
  <si>
    <t>NIDDK (United States Department of Health &amp; Human Services, National Institutes of Health (NIH) - USA, NIH National Institute of Diabetes &amp; Digestive &amp; Kidney Diseases (NIDDK)); Roche (Roche Holding); NIH/NEI (United States Department of Health &amp; Human Services, National Institutes of Health (NIH) - USA, NIH National Eye Institute (NEI)); Research to Prevent Blindness (Research to Prevent Blindness (RPB)); National Eye Institute (United States Department of Health &amp; Human Services, National Institutes of Health (NIH) - USA, NIH National Eye Institute (NEI)); National Institute of Diabetes and Digestive and Kidney Diseases (United States Department of Health &amp; Human Services, National Institutes of Health (NIH) - USA, NIH National Institute of Diabetes &amp; Digestive &amp; Kidney Diseases (NIDDK))</t>
  </si>
  <si>
    <t>Funding was received from the NIDDK K23DK116967 (PB), Roche (PB, WCL), NIH/NEI K23EY029246 (AL) and a career development award from Research to Prevent Blindness (AL).</t>
  </si>
  <si>
    <t>[Xu, Yixi; Trivedi, Anusua; Becker, Nicholas; Blazes, Marian; Ferres, Juan Lavista; Lee, Aaron; Conrad Liles, W.; Bhatraju, Pavan K.] Univ Washington, Sch Med, Seattle, WA 98195 USA; [Bhatraju, Pavan K.] Univ Washington, Div Pulm, Pulm Crit Care &amp; Sleep Med, Seattle, WA 98195 USA; [Conrad Liles, W.; Bhatraju, Pavan K.] Univ Washington SCORE UW, Dept Med, Seattle, WA 98195 USA; [Conrad Liles, W.; Bhatraju, Pavan K.] Univ Washington SCORE UW, Sepsis Ctr Res Excellence, Seattle, WA 98195 USA; [Xu, Yixi; Trivedi, Anusua; Becker, Nicholas; Ferres, Juan Lavista] Microsoft, AI Good Res, Seattle, WA USA; [Becker, Nicholas] Univ Washington, Comp Sci &amp; Engn, Seattle, WA 98195 USA</t>
  </si>
  <si>
    <t>University of Washington; University of Washington Seattle; University of Washington; University of Washington Seattle; Microsoft; University of Washington; University of Washington Seattle</t>
  </si>
  <si>
    <t>Machine learning-based derivation and external validation of a tool to predict death and development of organ failure in hospitalized patients with COVID-19</t>
  </si>
  <si>
    <t>VARIABLE SELECTION</t>
  </si>
  <si>
    <t>Lee, Aaron/MFZ-8723-2025</t>
  </si>
  <si>
    <t>Lee, Aaron/0000-0002-7452-1648</t>
  </si>
  <si>
    <t>OCT 8 2022</t>
  </si>
  <si>
    <t>16913</t>
  </si>
  <si>
    <t>10.1038/s41598-022-20724-4</t>
  </si>
  <si>
    <t>http://dx.doi.org/10.1038/s41598-022-20724-4</t>
  </si>
  <si>
    <t>5D9BL</t>
  </si>
  <si>
    <t>36209335</t>
  </si>
  <si>
    <t>WOS:000865228800002</t>
  </si>
  <si>
    <t>Teng, BW; Zhang, XF; Ge, MS; Miao, M; Li, W; Ma, J</t>
  </si>
  <si>
    <t>Purpose The overall survival of patients with pancreatic cancer is extremely low. We aimed to establish machine learning (ML) based model to accurately predict three-year survival and prognosis of pancreatic cancer patients.Methods We analyzed pancreatic cancer patients from the Surveillance, Epidemiology, and End Results (SEER) database between 2000 and 2021. Univariate and multivariate logistic analysis were employed to select variables. Recursive Feature Elimination (RFE) method based on 6 ML algorithms was utilized in feature selection. To construct predictive model, 13 ML algorithms were evaluated by area under the curve (AUC), area under precision-recall curve (PRAUC), accuracy, sensitivity, specificity, precision, cross-entropy, Brier scores and Balanced Accuracy (bacc) and F Beta Score (fbeta). An optimal ML model was constructed to predict three-year survival, and the predictive results were explained by SHapley Additive exPlanations (SHAP) framework. Meanwhile, 101 ML algorithm combinations were developed to select the best model with highest C-index to predict prognosis of pancreatic cancer patients.Results A total of 20,064 pancreatic cancer patients from SEER database was consecutively enrolled. We utilized eight clinical variables to establish prediction model for three-year survival. CatBoost model was selected as the best prediction model, and AUC was 0.932 [0.924, 0.939], 0.899 [0.873, 0.934] and 0.826 [0.735, 0.919] in training, internal test and external test sets, with 0.839 [0.831, 0.847] accuracy, 0.872 [0.858, 0.887] sensitivity, 0.803 [0.784, 0.825] specificity and 0.832 [0.821, 0.853] precision. Surgery type had the greatest effects on three-year survival according to SHAP results. For prognosis prediction, "RSF+GBM" algorithm was the best prognostic model with C-index of 0.774, 0.722 and 0.674 in training, internal test and external test sets.Conclusions Our ML models demonstrate excellent accuracy and reliability, offering more precise personalized prognostic prediction to pancreatic cancer patients.</t>
  </si>
  <si>
    <t>Teng, Buwei; Zhang, Xiaofeng; Ge, Mingshu; Miao, Miao; Li, Wei; Ma, Jun</t>
  </si>
  <si>
    <t>Li, W (corresponding author), Xuzhou Med Univ, Peoples Hosp Lianyungang 1, Dept Hepatobiliary Surg, Affiliated Lianyungang Hosp, Lianyungang, Peoples R China.; Ma, J (corresponding author), Xuzhou Med Univ, Affiliated Huaian Hosp, Dept Imaging, Huaian, Peoples R China.; Ma, J (corresponding author), Second Peoples Hosp Huaian, Huaian, Peoples R China.</t>
  </si>
  <si>
    <t>drmajun234@163.com; power8446@163.com</t>
  </si>
  <si>
    <t>The author(s) declare that no financial support was received for the research, authorship, and/or publication of this article.</t>
  </si>
  <si>
    <t>[Teng, Buwei; Zhang, Xiaofeng; Ge, Mingshu; Miao, Miao; Li, Wei] Xuzhou Med Univ, Peoples Hosp Lianyungang 1, Dept Hepatobiliary Surg, Affiliated Lianyungang Hosp, Lianyungang, Peoples R China; [Ma, Jun] Xuzhou Med Univ, Affiliated Huaian Hosp, Dept Imaging, Huaian, Peoples R China; [Ma, Jun] Second Peoples Hosp Huaian, Huaian, Peoples R China</t>
  </si>
  <si>
    <t>Xuzhou Medical University; Xuzhou Medical University</t>
  </si>
  <si>
    <t>Personalized three-year survival prediction and prognosis forecast by interpretable machine learning for pancreatic cancer patients: a population-based study and an external validation</t>
  </si>
  <si>
    <t>machine learning; pancreatic cancer; three-year survival; prognosis prediction; SEER</t>
  </si>
  <si>
    <t>NOMOGRAM; OUTCOMES; RISK</t>
  </si>
  <si>
    <t>OCT 21 2024</t>
  </si>
  <si>
    <t>1488118</t>
  </si>
  <si>
    <t>10.3389/fonc.2024.1488118</t>
  </si>
  <si>
    <t>http://dx.doi.org/10.3389/fonc.2024.1488118</t>
  </si>
  <si>
    <t>L1I0W</t>
  </si>
  <si>
    <t>39497722</t>
  </si>
  <si>
    <t>WOS:001348317900001</t>
  </si>
  <si>
    <t>Yang, YL; Hu, PJ</t>
  </si>
  <si>
    <t>Background Kawasaki disease (KD) is a systemic vasculitis of childhood driven by aberrant immune activation. Natural killer (NK) cell dysregulation plays a critical role, but its upstream molecular mechanisms remain unclear. Isonicotinylation (Kinic), a novel lysine acylation acting as a metabolic sensor, represents an unexplored regulatory layer in KD.Methods We employed an artificial intelligence (AI)-driven multi-omics framework. Limma differential expression analysis on GSE68004 (KD patient bulk profile) identified Kinic-related differentially expressed genes. Weighted gene co-expression network analysis (WGCNA) and CIBERSORT on GSE18606 (KD patient bulk profile) delineated an NK cell-correlated module. Their intersection defined Kinic- and NK (KN)-related signature, which was used to construct a diagnostic model via an explainable machine learning pipeline on KD patient bulk profiles (GSE73463, GSE73462, and GSE63881). The central hub gene was validated using KD patient single-cell RNA-sequencing (scRNA-seq) data (GSE24757). An AI-based drug screen (DrugReflector) and molecular docking nominated therapeutic candidates. Finally, PPID expression was validated in an independent clinical cohort using q-RT-PCR.Results We identified a six-gene KN-associated signature that demonstrated excellent diagnostic performance. PPID can be considered upregulated hub gene. Single-cell analysis confirmed predominant PPID expression in NK cells and linked its function to epigenetic modification and inflammatory signaling. Drug screening nominated BRD-K90382497 as a potential PPID-targeting compound.Conclusion This study unveils a novel KN-associated molecular axis in KD pathogenesis, with PPID as an NK cell-centric hub. This axis provides a promising diagnostic biomarker and identifies a potential therapeutic target, bridging a novel metabolic modification to NK cell dysfunction in KD.</t>
  </si>
  <si>
    <t>Yang, Yanli; Hu, Pengjuan</t>
  </si>
  <si>
    <t>Yang, YL (corresponding author), Childrens Hosp Shanxi Prov, Dept Cardiovasc &amp; Rheumatol Immunol, Taiyuan, Peoples R China.</t>
  </si>
  <si>
    <t>yyl13934636160@163.com</t>
  </si>
  <si>
    <t>[Yang, Yanli; Hu, Pengjuan] Childrens Hosp Shanxi Prov, Dept Cardiovasc &amp; Rheumatol Immunol, Taiyuan, Peoples R China</t>
  </si>
  <si>
    <t>Implications of isonicotinylation-associated patterns in NK cells in the pathogenesis of Kawasaki disease: evidence from artificial intelligence-driven multi-omics and clinical validation</t>
  </si>
  <si>
    <t>FRONTIERS IN PEDIATRICS</t>
  </si>
  <si>
    <t>artificial intelligence; isonicotinylation; Kawasaki disease; multi-omics; NK cells</t>
  </si>
  <si>
    <t>2296-2360</t>
  </si>
  <si>
    <t>FRONT PEDIATR</t>
  </si>
  <si>
    <t>Front. Pediatr.</t>
  </si>
  <si>
    <t>1870229</t>
  </si>
  <si>
    <t>10.3389/fped.2026.1870229</t>
  </si>
  <si>
    <t>http://dx.doi.org/10.3389/fped.2026.1870229</t>
  </si>
  <si>
    <t>ME2VT</t>
  </si>
  <si>
    <t>WOS:001840177900001</t>
  </si>
  <si>
    <t>Liu, X; Xiao, QF; Gu, ZT; Wu, X; Yuan, CH; Tang, XL; Meng, FB; Wang, D; Lang, R; Guo, KQ; Tian, XD; Zhang, Y; Zhao, EH; Wu, ZZ; Xu, JY; Xing, Y; Cao, F; Wang, CF; Zhang, JW</t>
  </si>
  <si>
    <t>BackgroundDuodenal adenocarcinoma (DA) has a high recurrence rate, making the prediction of recurrence after surgery critically important.MethodsOur objective is to develop a machine learning-based model to predict the postoperative recurrence of DA. We conducted a multicenter, retrospective cohort study in China. 1830 patients with DA who underwent radical surgery between 2012 and 2023 were included. Wrapper methods were used to select optimal predictors by ten machine learning learners. Subsequently, these ten learners were utilized for model development. The model's performance was validated using three separate cohorts, and assessed by the concordance index (C-index), time-dependent calibration curve, time-dependent receiver operating characteristic curves, and decision curve analysis.ResultsAfter selecting predictors, ten feature subsets were identified. And ten feature subsets were combined with the ten machine learning learners in a permutation, resulting in the development of 100 predictive models, and the Penalized Regression + Accelerated Oblique Random Survival Forest model (PAM) exhibited the best predictive performance. The C-index for PAM was 0.882 (95% CI 0.860-0.886) in the training cohort, 0.747 (95% CI 0.683-0.798) in the validation cohort 1, 0.736 (95% CI 0.649-0.792) in the validation cohort 2, and 0.734 (95% CI 0.674-0.791) in the validation cohort 3. A publicly accessible web tool was developed for the PAM.ConclusionsThe PAM has the potential to identify postoperative recurrence in DA patients. This can assist clinicians in assessing the severity of the disease, facilitating patient follow-up, and aiding in the formulation of adjuvant treatment strategies.</t>
  </si>
  <si>
    <t>Liu, Xu; Xiao, Qifeng; Gu, Zongting; Wu, Xin; Yuan, Chunhui; Tang, Xiaolong; Meng, Fanbin; Wang, Dong; Lang, Ren; Guo, Kaiqing; Tian, Xiaodong; Zhang, Yu; Zhao, Enhong; Wu, Zhenzhou; Xu, Jingyong; Xing, Ying; Cao, Feng; Wang, Chengfeng; Zhang, Jianwei</t>
  </si>
  <si>
    <t>Wang, CF; Zhang, JW (corresponding author), Chinese Acad Med Sci &amp; Peking Union Med Coll, Natl Canc Ctr, Natl Clin Res Ctr Canc, Dept Pancreat &amp; Gastr Surg,Canc Hosp, Beijing, Peoples R China.</t>
  </si>
  <si>
    <t>wangdong@ccmu.edu.cn; wuxin301@sina.com; f.cao@xwhosp.org; 13552079962@163.com; ychdoctor@163.com; enhongzhao@163.com; mfblw@hotmail.com; panchutong@163.com; zhangyu1815@163.com; drliuxu2022@163.com; tianxiaodong@pkufh.com; guzongting@hotmail.com; wangchengfeng62@163.com; xujingyong@bjhmoh.cn; tangxl666@foxmail.com; shawmaomao@163.com; zngkg@163.com; dr_langren@126.com; wuzhenzhou55@163.com</t>
  </si>
  <si>
    <t>CAMS Innovation Fund for Medical Sciences</t>
  </si>
  <si>
    <t>This research was supported by the CAMS Innovation Fund for Medical Sciences (No. 2022-I2M-1-010).</t>
  </si>
  <si>
    <t>[Xiao, Qifeng; Wang, Chengfeng; Zhang, Jianwei] Chinese Acad Med Sci &amp; Peking Union Med Coll, Natl Canc Ctr, Natl Clin Res Ctr Canc, Dept Pancreat &amp; Gastr Surg,Canc Hosp, Beijing, Peoples R China; [Liu, Xu] Chinese Acad Med Sci &amp; Peking Union Med Coll, Natl Canc Ctr, Natl Clin Res Ctr Canc, Canc Hosp, Beijing, Peoples R China; [Gu, Zongting] Hangzhou Med Coll, Affiliated Peoples Hosp, Zhejiang Prov Peoples Hosp,Gen Surg, Dept Hepatobiliary &amp; Pancreat Surg &amp; Minimally Inv, Hangzhou, Zhejiang, Peoples R China; [Wu, Xin] Peoples Liberat Army Gen Hosp, Med Ctr Chinese 1, Dept Gen Surg, Beijing, Peoples R China; [Yuan, Chunhui] Peking Univ Third Hosp, Dept Gen Surg, Beijing, Peoples R China; [Tang, Xiaolong] Shandong Univ, Qilu Hosp, Dept Gen Surg, Jinan, Shandong, Peoples R China; [Meng, Fanbin] China Med Univ, Affiliated Hosp 1, Dept Pancreat &amp; Biliary Surg, Shenyang, Liaoning, Peoples R China; [Wang, Dong] Capital Med Univ, Beijing Friendship Hosp, Dept Gen Surg, Beijing, Peoples R China; [Lang, Ren] Capital Med Univ, Beijing ChaoYang Hosp, Dept Hepatobiliary &amp; Pancreaticosplen Surg, Beijing, Peoples R China; [Guo, Kaiqing] Shanxi Med Univ, Chinese Acad Med Sci, Shanxi Prov Canc Hosp, Shanxi Hosp,Canc Hosp,Hepatobiliary &amp; Pancreatogas, Taiyuan 030013, Shanxi, Peoples R China; [Tian, Xiaodong] Peking Univ First Hosp, Dept Gen Surg, Beijing, Peoples R China; [Zhang, Yu] Shaanxi Prov Peoples Hosp, Dept Hepatobiliary Surg, Xian, Shaanxi, Peoples R China; [Zhao, Enhong] Chengde Med Univ, Dept Gastrointestinal Surg, Affiliated Hosp, Chengde, Hebei, Peoples R China; [Wu, Zhenzhou] Hebei Med Univ, Hosp 2, Dept Oncol Surg, Shijiazhuang, Peoples R China; [Xu, Jingyong] Beijing Chaoyang Hosp, Dept Gen Surg, Beijing, Peoples R China; [Xing, Ying] Capital Med Univ Beijing, Tiantan Hosp, Gen Surg Dept, Beijing 100050, Peoples R China; [Cao, Feng] Capital Med Univ, Xuanwu Hosp, Dept Gen Surg, Beijing, Peoples R China</t>
  </si>
  <si>
    <t>Chinese Academy of Medical Sciences - Peking Union Medical College; Cancer Institute &amp; Hospital - CAMS; Peking Union Medical College; Chinese Academy of Medical Sciences - Peking Union Medical College; Cancer Institute &amp; Hospital - CAMS; Peking Union Medical College; Hangzhou Medical College; Zhejiang Provincial People's Hospital; Chinese People's Liberation Army General Hospital; Peking University; Shandong University; China Medical University; Capital Medical University; Capital Medical University; Chinese Academy of Medical Sciences - Peking Union Medical College; Shanxi Medical University; Peking University; Xi'an Medical University; Chengde Medical University; Hebei Medical University; Capital Medical University; Capital Medical University</t>
  </si>
  <si>
    <t>Development and external validation of a machine learning-based model to predict postoperative recurrence in patients with duodenal adenocarcinoma: a multicenter, retrospective cohort study</t>
  </si>
  <si>
    <t>Duodenal adenocarcinoma; Cancer recurrence; Surgery; Machine learning-based model</t>
  </si>
  <si>
    <t>HEPATOCELLULAR-CARCINOMA; BLOOD-TRANSFUSION; SURVIVAL; CANCER; RESECTION; IMPACT; COMPLICATIONS; RECOVERY</t>
  </si>
  <si>
    <t>Xiaolong, Tang/HJB-4028-2022; wu, zhenzhou/LGY-7683-2024; Gu, Zongting/ABG-4553-2021; xing, ying/PGA-5625-2026</t>
  </si>
  <si>
    <t>Liu, Xu/0000-0003-0059-303X</t>
  </si>
  <si>
    <t>FEB 21 2025</t>
  </si>
  <si>
    <t>98</t>
  </si>
  <si>
    <t>10.1186/s12916-025-03912-7</t>
  </si>
  <si>
    <t>http://dx.doi.org/10.1186/s12916-025-03912-7</t>
  </si>
  <si>
    <t>X9E8R</t>
  </si>
  <si>
    <t>39984949</t>
  </si>
  <si>
    <t>WOS:001428298600005</t>
  </si>
  <si>
    <t>Wang, CH; Tay, J; Wu, CY; Wu, MC; Su, PI; Fang, YD; Huang, CY; Cheng, MT; Lu, TC; Tsai, CL; Huang, CH; Chen, WJ</t>
  </si>
  <si>
    <t>Background: The aim of this study was to validate and compare the performance of statistical (Utstein-Based Return of Spontaneous Circulation and Shockable Rhythm-Witness-Age-pH) and machine learning-based (Prehospital Return of Spontaneous Circulation and Swedish Cardiac Arrest Risk Score) models in predicting the outcomes following out-of-hospital cardiac arrest and to assess the impact of the COVID-19 pandemic on the models' performance. Methods and Results: This retrospective analysis included adult patients with out-of-hospital cardiac arrest treated at 3 academic hospitals between 2015 and 2023. The primary outcome was neurological outcomes at hospital discharge. Patients were divided into pre- (2015-2019) and post-2020 (2020-2023) subgroups to examine the effect of the COVID-19 pandemic on out-of-hospital cardiac arrest outcome prediction. The models' performance was evaluated using the area under the receiver operating characteristic curve and compared by the DeLong test. The analysis included 2161 patients, 1241 (57.4%) of whom were resuscitated after 2020. The cohort had a median age of 69.2 years, and 1399 patients (64.7%) were men. Overall, 69 patients (3.2%) had neurologically intact survival. The area under the receiver operating characteristic curves for predicting neurological outcomes were 0.85 (95% CI, 0.83-0.87) for the Utstein-Based Return of Spontaneous Circulation score, 0.82 (95% CI, 0.81-0.84) for the Shockable Rhythm-Witness-Age-pH score, 0.79 (95% CI, 0.78-0.81) for the Prehospital Return of Spontaneous Circulation score, and 0.79 (95% CI, 0.77-0.81) for the Swedish Cardiac Arrest Risk Score model. The Utstein-Based Return of Spontaneous Circulation score significantly outperformed both the Prehospital Return of Spontaneous Circulation score (P&lt;0.001) and the Swedish Cardiac Arrest Risk Score model (P=0.007). Subgroup analysis indicated no significant difference in predictive performance for patients resuscitated before versus after 2020. Conclusions: In this external validation, both statistical and machine learning-based models demonstrated excellent and fair performance, respectively, in predicting neurological outcomes despite different model architectures. The predictive performance of all evaluated clinical scoring systems was not significantly influenced by the COVID-19 pandemic.</t>
  </si>
  <si>
    <t>Wang, Chih-Hung; Tay, Joyce; Wu, Cheng-Yi; Wu, Meng-Che; Su, Pei-, I; Fang, Yao-De; Huang, Chun-Yen; Cheng, Ming-Tai; Lu, Tsung-Chien; Tsai, Chu-Lin; Huang, Chien-Hua; Chen, Wen-Jone</t>
  </si>
  <si>
    <t>Fang, YD; Tsai, CL (corresponding author), Natl Taiwan Univ Hosp, 7,Zhongshan S Rd, Taipei 100, Taiwan.</t>
  </si>
  <si>
    <t>darinmonkey@gmail.com; chulintsai@ntu.edu.tw</t>
  </si>
  <si>
    <t>National Taiwan University Hospital [113-R0006]; National Science and Technology Council, Taiwan [113-2326-B- 002-009-MY3]; National Health Research Institutes [NHRI-EX113-11332PI]; National Science and Technology Council [NSTC 112-2314-B-002-264]</t>
  </si>
  <si>
    <t>National Taiwan University Hospital (National Taiwan University); National Science and Technology Council, Taiwan; National Health Research Institutes; National Science and Technology Council</t>
  </si>
  <si>
    <t>Dr Wang received a grant (113-R0006) from the National Taiwan University Hospital and a grant (113-2326-B- 002-009-MY3) from the National Science and Technology Council, Taiwan. Both National Taiwan University Hospital and National Science and Technology Council had no involvement in designing the study, collecting, analyzing or interpreting the data, writing the manuscript, or deciding whether to submit the manuscript for publication. This project was also supported by grants from the National Health Research Institutes (NHRI-EX113-11332PI), the National Science and Technology Council (NSTC 112-2314-B-002-264).</t>
  </si>
  <si>
    <t>[Wang, Chih-Hung; Lu, Tsung-Chien; Tsai, Chu-Lin; Huang, Chien-Hua; Chen, Wen-Jone] Natl Taiwan Univ, Coll Med, Dept Emergency Med, Taipei, Taiwan; [Wang, Chih-Hung; Tay, Joyce; Wu, Cheng-Yi; Wu, Meng-Che; Su, Pei-, I; Fang, Yao-De; Cheng, Ming-Tai; Lu, Tsung-Chien; Tsai, Chu-Lin; Huang, Chien-Hua; Chen, Wen-Jone] Natl Taiwan Univ Hosp, Dept Emergency Med, Taipei, Taiwan; [Huang, Chun-Yen] Far Eastern Mem Hosp, Dept Emergency Med, New Taipei City, Taiwan; [Cheng, Ming-Tai] Natl Taiwan Univ Hosp, Dept Emergency Med, Yunlin Branch, Yunlin, Taiwan; [Chen, Wen-Jone] Min Sheng Gen Hosp, Dept Internal Med, Taoyuan, Taiwan</t>
  </si>
  <si>
    <t>National Taiwan University; National Taiwan University Hospital; National Taiwan University; National Taiwan University Hospital; Far Eastern Memorial Hospital; National Taiwan University; National Taiwan University Hospital</t>
  </si>
  <si>
    <t>External Validation and Comparison of Statistical and Machine Learning-Based Models in Predicting Outcomes Following Out-of-Hospital Cardiac Arrest: A Multicenter Retrospective Analysis</t>
  </si>
  <si>
    <t>JOURNAL OF THE AMERICAN HEART ASSOCIATION</t>
  </si>
  <si>
    <t>cardiopulmonary resuscitation; COVID-19; machine learning; out-of-hospital cardiac arrest; prediction model; prognostication</t>
  </si>
  <si>
    <t>AMERICAN-HEART-ASSOCIATION; EUROPEAN RESUSCITATION; CARDIOPULMONARY-RESUSCITATION; COUNCIL GUIDELINES; MANAGEMENT; EDUCATION; SURVIVAL; CARE; ASIA</t>
  </si>
  <si>
    <t>Chen, Huei-Wen/JAC-7638-2023</t>
  </si>
  <si>
    <t>Huang, Chun Yen/0000-0002-3347-5956; LU, TSUNG-CHIEN/0000-0003-2729-7142; Tay, Joyce/0000-0002-3302-2746; Wu, ChengYi/0000-0002-1966-0469; SU, PEI I/0000-0002-5649-1684; HUANG, CHIEN-HUA/0000-0003-2981-4537; WU, MENG-CHE/0000-0002-9584-3486; WANG, CHIH-HUNG/0000-0003-0802-7825; TSAI, CHU-LIN/0000-0003-4639-1513</t>
  </si>
  <si>
    <t>2047-9980</t>
  </si>
  <si>
    <t>J AM HEART ASSOC</t>
  </si>
  <si>
    <t>J. Am. Heart Assoc.</t>
  </si>
  <si>
    <t>OCT 15 2024</t>
  </si>
  <si>
    <t>e037088</t>
  </si>
  <si>
    <t>10.1161/JAHA.124.037088</t>
  </si>
  <si>
    <t>http://dx.doi.org/10.1161/JAHA.124.037088</t>
  </si>
  <si>
    <t>I8K7D</t>
  </si>
  <si>
    <t>39392158</t>
  </si>
  <si>
    <t>WOS:001332695300021</t>
  </si>
  <si>
    <t>Chen, JX; Jiang, X; Yang, GJ; Tang, YX; Qi, L; Chen, MF; Hu, S; Gao, XM; Gan, Y; Zhang, MX; Chen, SZ; Cai, Y</t>
  </si>
  <si>
    <t>Objective: Recent studies have shown that 68 Ga-prostate-specific membrane antigen (68 Ga-PSMA) positron emission tomography/computed tomography (PET/CT) can open a non-invasive diagnostic pathway in prostate cancer (PCa). However, the relatively small number of enrolled patients in these studies limits statistical validation and causes bias to some extent. In addition, the performance of 68 Ga-PSMA PET/CT radiomics analysis in detecting PCa has not been widely evaluated. Hence, the present multicenter study endeavored to develop and validate radiomics models based on 68 Ga-PSMA PET/CT for the detection of primary PCa in a relatively larger cohort. Methods: This study enrolled consecutive patients with suspected PCa who underwent systematic biopsy (SB) and PSMA PET/CT-targeted biopsy (TB) after 68 Ga-PSMA PET/CT in three medical centers. The whole prostate gland was adopted as the volume of interest (VOI). Eight machine learning (ML) algorithms were utilized to develop models with selected radiomics features separately, after which the best-performing radiomics model was integrated with maximum standardized uptake value (SUVmax) to create the combined model. The receiver operating characteristic (ROC) curves and area under the curve (AUC) value, accuracy, sensitivity, specificity, positive predictive value (PPV), and negative predictive value (NPV) were calculated for each model. Results: Overall, 609 patients were recruited, including 195 patients with benign prostate diseases (BPD), 30 patients with clinically insignificant prostate cancer (ciPCa, Gleason score [GS] = 3 + 3), and 384 patients with clinically significant prostate cancer (csPCa, GS &gt;= 3 + 4). For csPCa prediction, the radiomics model developed by the eXtreme Gradient Boosting (XGBoost) algorithm demonstrated the best performance. After integrating with SUVmax, the combined model achieved the highest AUC of 0.921 in internal validation cohort. External validation cohort 1 and 2 also showed promising results with AUC of 0.906 and 0.898, respectively. For PCa prediction, the XGBoost algorithm combined with SUVmax also peformed well in three validation cohorts with the AUC ranging from 0.860 to 0.918. Conclusions: This is the largest multicenter study to date, providing a noninvasive and quantitative method based on 68 Ga-PSMA PET/CT radiomics analysis modeled with ML for predicting PCa. This method has the potential to gauge the risk of PCa before biopsy.</t>
  </si>
  <si>
    <t>Chen, Jiaxian; Jiang, Xin; Yang, Guangjie; Tang, Yongxiang; Qi, Lin; Chen, Minfeng; Hu, Shuo; Gao, Xiaomei; Gan, Yu; Zhang, Mingxin; Chen, Shouzhen; Cai, Yi</t>
  </si>
  <si>
    <t>Gan, Y; Cai, Y (corresponding author), Cent South Univ, Xiangya Hosp, Natl Clin Res Ctr Geriatr Disorders, Dept Urol,Disorders Prostate Canc Multidisciplinar, Changsha, Peoples R China.; Chen, SZ (corresponding author), Shandong Univ, Qilu Hosp, Cheeloo Coll Med, Dept Urol, Jinan, Peoples R China.; Zhang, MX (corresponding author), Qingdao Univ, Dept Urol, Affiliated Hosp, Qingdao, Peoples R China.</t>
  </si>
  <si>
    <t>dr.zmx@qdu.edu.cn; 148302039@csu.edu.cn; chenshouzhen@email.sdu.edu.cn; cai-yi@csu.edu.cn</t>
  </si>
  <si>
    <t>Hunan Provincial Science Fund for Distinguished Young Scholars [2024JJ2090, 2024JJ2094, 2022JJ20096]; National Natural Science Foundation of China [82272907, 81974397, 82170789, 82273121, 82572276, 81801740]; Clinical Big Data System Construction Project Fund of Xiangya Hospital [33020125030]; Clinical Research Foundation of the National Clinical Research Center for Geriatric Diseases (Xiangya) [2023LNJJ13, 2023LNJJ16, 2022LNJJ13]; Xiangya Famous Doctor Fund of Central South University [33020123007]; China Postdoctoral Science Foundation [2022M723561]; National Key Clinical Specialty Scientific Research Project [Z2023004]</t>
  </si>
  <si>
    <t>Hunan Provincial Science Fund for Distinguished Young Scholars; National Natural Science Foundation of China (National Natural Science Foundation of China (NSFC)); Clinical Big Data System Construction Project Fund of Xiangya Hospital; Clinical Research Foundation of the National Clinical Research Center for Geriatric Diseases (Xiangya); Xiangya Famous Doctor Fund of Central South University; China Postdoctoral Science Foundation (China Postdoctoral Science Foundation); National Key Clinical Specialty Scientific Research Project</t>
  </si>
  <si>
    <t>This study was supported by Hunan Provincial Science Fund for Distinguished Young Scholars (grant numbers: 2024JJ2090, 2024JJ2094, 2022JJ20096), the National Natural Science Foundation of China (grant numbers: 82272907 , 81974397 , 82170789, 82273121, 82572276, 81801740 ), the Clinical Big Data System Construction Project Fund of Xiangya Hospital (grant number: 33020125030 ), the Clinical Research Foundation of the National Clinical Research Center for Geriatric Diseases (Xiangya) (grant numbers: 2023LNJJ13, 2023LNJJ16,2022LNJJ13), the Xiangya Famous Doctor Fund of Central South University (grant number: 33020123007 ), China Postdoctoral Science Foundation (grant number: 2022M723561 ), National Key Clinical Specialty Scientific Research Project (grant number: Z2023004).</t>
  </si>
  <si>
    <t>[Chen, Jiaxian; Qi, Lin; Chen, Minfeng; Gao, Xiaomei; Gan, Yu; Cai, Yi] Cent South Univ, Xiangya Hosp, Natl Clin Res Ctr Geriatr Disorders, Dept Urol,Disorders Prostate Canc Multidisciplinar, Changsha, Peoples R China; [Chen, Jiaxian] Nanjing Med Univ, Dept Urol, Affiliated Huaian Peoples Hosp 1, Huaian, Peoples R China; [Jiang, Xin; Chen, Shouzhen] Shandong Univ, Qilu Hosp, Cheeloo Coll Med, Dept Urol, Jinan, Peoples R China; [Jiang, Xin] Shandong Univ, Res Inst, Magnet Field free Med &amp; Funct Imaging, Jinan, Peoples R China; [Yang, Guangjie] Qingdao Univ, Dept Nucl Med, Affiliated Hosp, Qingdao, Peoples R China; [Tang, Yongxiang; Hu, Shuo] Cent South Univ, Xiangya Hosp, Dept PET Ctr, Natl Clin Res Ctr Geriatr Disorders, Changsha, Peoples R China; [Gao, Xiaomei] Cent South Univ, Xiangya Hosp, Natl Clin Res Ctr Geriatr Disorders, Dept Pathol, Changsha, Peoples R China; [Zhang, Mingxin] Qingdao Univ, Dept Urol, Affiliated Hosp, Qingdao, Peoples R China</t>
  </si>
  <si>
    <t>Central South University; Nanjing Medical University; Shandong University; Shandong University; Qingdao University; Central South University; Central South University; Qingdao University</t>
  </si>
  <si>
    <t>Construction and external validation of radiomics models to detect primary prostate cancer with machine learning: a multicenter study based on 68Ga-PSMA PET/CT</t>
  </si>
  <si>
    <t>JOURNAL OF THE NATIONAL CANCER CENTER</t>
  </si>
  <si>
    <t>Multicenter; Diagnosis; Radiomics; Machine learning; Ga-68-PSMAPET/CT</t>
  </si>
  <si>
    <t>EMISSION-TOMOGRAPHY; GA-68-PSMA PET/CT; DIAGNOSIS; BIOPSY; MEN</t>
  </si>
  <si>
    <t>Gan, Yu/OEN-4108-2025</t>
  </si>
  <si>
    <t>2667-0054</t>
  </si>
  <si>
    <t>J NATL CANCER CTR</t>
  </si>
  <si>
    <t>J. Natl. Cancer Cent.</t>
  </si>
  <si>
    <t>297</t>
  </si>
  <si>
    <t>10.1016/j.jncc.2025.12.002</t>
  </si>
  <si>
    <t>http://dx.doi.org/10.1016/j.jncc.2025.12.002</t>
  </si>
  <si>
    <t>JP4ZS</t>
  </si>
  <si>
    <t>42282124</t>
  </si>
  <si>
    <t>WOS:001794876800001</t>
  </si>
  <si>
    <t>Zhu, AK; Wei, S; Wang, HB; Liu, SD; Li, Y; Pan, XJ; Gao, XC; Lin, X</t>
  </si>
  <si>
    <t>BackgroundPatients with chronic lung disease (CLD) are at a significantly increased risk of developing cardiovascular disease (CVD); however, specific risk assessment tools tailored for this high-risk population are currently lacking. This study aimed to develop, validate, and interpret a machine learning model specifically designed to predict the risk of concurrent CVD in patients with CLD.MethodsBased on the China Health and Retirement Longitudinal Study (CHARLS) cohort, 2,639 patients with CLD were included. Core features were selected using univariate and multivariate logistic regression. Seven machine learning algorithms were systematically compared. After identifying the optimal model, external validation was conducted using the English Longitudinal Study of Ageing (ELSA) cohort (n = 1,303). The SHapley Additive exPlanations (SHAP) framework was employed to interpret the model's predictive mechanisms, and an interactive web application was developed based on the optimal model.ResultsThe study ultimately identified 8 core predictors: age, body mass index (BMI), depression score, hypertension, dyslipidemia, impaired instrumental activities of daily living (IADL), and medication history for lung diseases and lipid-lowering drugs. The XGBoost model demonstrated the best performance, achieving Area Under the Curve (AUC) values of 0.838, 0.797, and 0.695 in the training, testing, and external validation sets, respectively, while exhibiting excellent calibration and clinical net benefit. SHAP analysis revealed that hypertension, depression score, and age were the primary contributing variables, and confirmed a significant synergistic amplification effect between lipid metabolism and psychophysical functional indicators.ConclusionThe model constructed based on the XGBoost algorithm can accurately and robustly predict CVD risk in patients with CLD. Coupled with SHAP interpretability analysis and the online prediction tool, this study provides reliable digital decision support for CVD risk stratification, early identification, and personalized intervention among patients with CLD in primary care settings.</t>
  </si>
  <si>
    <t>Zhu, Ankang; Wei, Shuai; Wang, Haobo; Liu, Shaodong; Li, Yang; Pan, Xiaojie; Gao, Xingcai; Lin, Xing</t>
  </si>
  <si>
    <t>Pan, XJ; Lin, X (corresponding author), Fujian Med Univ, Dept Thorac Surg, Shengli Clin, Med Coll, 134 Dongjie, Fuzhou, Fujian, Peoples R China.; Pan, XJ; Lin, X (corresponding author), Fuzhou Univ, Affiliated Prov Hosp, 134 Dongjie, Fuzhou, Fujian, Peoples R China.; Gao, XC (corresponding author), Zhengzhou Univ, Affiliated Hosp 5, Dept Cardiothorac Surg, Zhengzhou, Peoples R China.</t>
  </si>
  <si>
    <t>gxc575788@sina.com; linxing@fzu.edu.cn; pxj1028@yeah.net</t>
  </si>
  <si>
    <t>[Zhu, Ankang; Pan, Xiaojie; Lin, Xing] Fujian Med Univ, Dept Thorac Surg, Shengli Clin, Med Coll, 134 Dongjie, Fuzhou, Fujian, Peoples R China; [Zhu, Ankang; Pan, Xiaojie; Lin, Xing] Fuzhou Univ, Affiliated Prov Hosp, 134 Dongjie, Fuzhou, Fujian, Peoples R China; [Wei, Shuai; Wang, Haobo; Liu, Shaodong; Li, Yang; Gao, Xingcai] Zhengzhou Univ, Affiliated Hosp 5, Dept Cardiothorac Surg, Zhengzhou, Peoples R China</t>
  </si>
  <si>
    <t>Zhengzhou University</t>
  </si>
  <si>
    <t>Development and external validation of a machine learning model for cardiovascular risk prediction in individuals with chronic lung disease: Evidence from CHARLS and ELSA</t>
  </si>
  <si>
    <t>chronic lung disease; cardiovascular disease; neural network; SHAP interpretation</t>
  </si>
  <si>
    <t>COHORT PROFILE</t>
  </si>
  <si>
    <t>20552076261458962</t>
  </si>
  <si>
    <t>10.1177/20552076261458962</t>
  </si>
  <si>
    <t>http://dx.doi.org/10.1177/20552076261458962</t>
  </si>
  <si>
    <t>JD9QN</t>
  </si>
  <si>
    <t>42272705</t>
  </si>
  <si>
    <t>WOS:001787048900001</t>
  </si>
  <si>
    <t>Wu, JN; Ma, K; Ma, J; Li, YL; Ren, YK</t>
  </si>
  <si>
    <t>Background: A poor prognosis is associated with atherosclerotic plaque rupture (PR) despite after conventional therapy for patients with acute coronary syndrome (ACS). Timely identification of PR improves the risk stratification and prognosis of ACS patients. Methods: A derivation cohort of 110 patients with ACS who underwent pre-intervention optical coherence tomography (OCT) were matched 1:1 to the PR and intact fibrous cap (IFC) groups according to traditional risk factors. Candidate PR proteins were identified via mass spectrometry (MS)-based proteomics using unbiased machine learning methods and were further validated by enzyme-linked immunosorbent assay (ELISA) in an external validation cohort of 85 patients with ACS. The performance of candidate biomakers was assessed using the receiver operating characteristic curve analysis. Results: 1121 proteins were identified and 535 filtered proteins were used for analysis. Nine candidate proteins were screened by five machine learning algorithms. Three proteins (APOC3, RAB39A, and KNG1) were significantly different between the PR and IFC in validation cohort. The performance of plasm APOC3, RAB39A, and KNG1 for differentiating PR and IFC was superior to that of the conventional biomarkers and risk factors. Conclusion: The proteins (APOC3, RAB39A, and KNG1) serve as a potential novel diagnostic tool to identify PR in ACS patients.</t>
  </si>
  <si>
    <t>Wu, Jianing; Ma, Ke; Ma, Jie; Li, Yulin; Ren, Yongkui</t>
  </si>
  <si>
    <t>Li, YL (corresponding author), Capital Med Univ, Beijing Anzhen Hosp, Beijing Inst Heart Lung &amp; Blood Vessel Dis, Anzhen Rd, Beijing 100029, Peoples R China.; Ren, YK (corresponding author), Med Univ, Affiliated Hosp Dalian 1, Dept Cardiol, 222 Zhongshan Rd, Dalian 116000, Liaoning, Peoples R China.</t>
  </si>
  <si>
    <t>lyllyl_1111@163.com; dlrenyongkui@163.com</t>
  </si>
  <si>
    <t>National Nature Science Foundation of China [82230013]; Beijing Municipal Public Welfare Development and Reform Pilot Project for Medical Research Institutes [JYY2023-9]</t>
  </si>
  <si>
    <t>National Nature Science Foundation of China (National Natural Science Foundation of China (NSFC)); Beijing Municipal Public Welfare Development and Reform Pilot Project for Medical Research Institutes</t>
  </si>
  <si>
    <t>This study was supported by grants from the National Nature Science Foundation of China (82230013) and Beijing Municipal Public Welfare Development and Reform Pilot Project for Medical Research Institutes (JYY2023-9) . The sponsor contributed to the study design.</t>
  </si>
  <si>
    <t>[Wu, Jianing; Ma, Ke; Ma, Jie; Li, Yulin] Capital Med Univ, Beijing Anzhen Hosp, Beijing, Peoples R China; [Wu, Jianing; Ma, Ke; Ma, Jie; Li, Yulin] Beijing Inst Heart Lung &amp; Blood Vessel Dis, Beijing, Peoples R China; [Ren, Yongkui] Dalian Med Univ, Affiliated Hosp 1, Dept Cardiol, Dalian, Peoples R China</t>
  </si>
  <si>
    <t>Capital Medical University; Dalian Medical University</t>
  </si>
  <si>
    <t>Derivation and external validation of mass spectrometry-based proteomic model using machine learning algorithms to predict plaque rupture in patients with acute coronary syndrome</t>
  </si>
  <si>
    <t>CLINICA CHIMICA ACTA</t>
  </si>
  <si>
    <t>APOLIPOPROTEIN-C-III; CARDIOVASCULAR-DISEASES; APOC-III; PLASMA; RISK; PROTEIN; BIOMARKERS; MANAGEMENT; SIGNATURE; DISCOVERY</t>
  </si>
  <si>
    <t>Ma, Ke/AAG-1467-2020; ren, yongkui/JPX-4735-2023; Li, yulin/AGZ-5611-2022</t>
  </si>
  <si>
    <t>ren, yongkui/0009-0003-7511-4176</t>
  </si>
  <si>
    <t>0009-8981</t>
  </si>
  <si>
    <t>1873-3492</t>
  </si>
  <si>
    <t>CLIN CHIM ACTA</t>
  </si>
  <si>
    <t>Clin. Chim. Acta</t>
  </si>
  <si>
    <t>SEP 15 2024</t>
  </si>
  <si>
    <t>563</t>
  </si>
  <si>
    <t>119904</t>
  </si>
  <si>
    <t>10.1016/j.cca.2024.119904</t>
  </si>
  <si>
    <t>http://dx.doi.org/10.1016/j.cca.2024.119904</t>
  </si>
  <si>
    <t>D2A1E</t>
  </si>
  <si>
    <t>39117035</t>
  </si>
  <si>
    <t>WOS:001294252800001</t>
  </si>
  <si>
    <t>Deng, ZG; Zhao, FF; Zhang, YC; Zhang, T; Zhang, XB; Luo, Y</t>
  </si>
  <si>
    <t>Background Surgical site infection (SSI) remains a major complication after operative treatment of closed pilon fractures. Prediction tools may help identify patients who warrant closer perioperative wound surveillance, but externally validated and clinically interpretable models remain limited. We aimed to develop and externally validate explainable machine-learning models for perioperative SSI risk enrichment after operative treatment of closed pilon fractures.Methods This retrospective multicenter study included 1,876 patients treated at the internal center between January 2020 and December 2024 and 359 patients from an independent external center treated between August 2024 and September 2025. The internal dataset was stratified into a training set and an internal test set at a 7:3 ratio. Candidate predictors included demographic, injury-related, perioperative, laboratory, and inflammatory-metabolic variables. LASSO regression was used for feature selection, followed by logistic regression, decision tree, random forest (RF), XGBoost, and na &amp; iuml;ve Bayes models. Thresholds were optimized using out-of-fold cross-validation predictions. Model performance was evaluated by ROC-AUC, PR-AUC, sensitivity, specificity, precision, F1 score, balanced accuracy, calibration indices, Brier score, bootstrap 95% confidence intervals, and decision-curve analysis. A preoperative-only RF sensitivity model was also constructed.Results The internal cohort included 74 SSI events (3.9%), and the external cohort included 11 SSI events (3.1%). LASSO retained 16 predictors. The RF model showed the highest overall discrimination, with ROC-AUCs of 0.899 (95% CI, 0.831-0.953) in the internal test set and 0.902 (95% CI, 0.707-0.991) in the external cohort. Sensitivity was 0.294 (95% CI, 0.077-0.533) internally and 0.636 (95% CI, 0.333-0.909) externally. RF specificity was high, at 0.987 (95% CI, 0.976-0.996) and 0.974 (95% CI, 0.957-0.989), respectively. RF Brier scores were 0.026 and 0.022, calibration slopes were 1.915 and 1.668, and observed-to-expected ratios were 0.736 and 0.762 in the internal and external cohorts. The preoperative-only RF model achieved ROC-AUCs of 0.884 and 0.905 in the internal and external cohorts, respectively. Decision-curve analysis showed positive RF net benefit across threshold probabilities of 0.01-0.38 internally and 0.01-0.49 externally.Conclusion The present machine-learning framework showed favorable discrimination for perioperative SSI risk enrichment after closed pilon fracture surgery, with RF serving as the main high-specificity model. However, limited RF sensitivity and calibration uncertainty suggest that it should be viewed as a preliminary targeted-surveillance tool rather than a rule-out or implementation-ready system. Further recalibration and prospective multicenter validation are needed before routine clinical use.</t>
  </si>
  <si>
    <t>Deng, Zhigang; Zhao, Feifei; Zhang, Yanci; Zhang, Tao; Zhang, Xuebin; Luo, Yang</t>
  </si>
  <si>
    <t>Luo, Y (corresponding author), Hebei Med Univ, Dept Orthopaed Surg, Hosp 3, Shijiazhuang, Peoples R China.</t>
  </si>
  <si>
    <t>luoyangdoc@163.com</t>
  </si>
  <si>
    <t>[Deng, Zhigang] Third Hosp Shijiazhuang, Trauma Orthopaed Ward 2, Shijiazhuang, Peoples R China; [Zhao, Feifei; Zhang, Tao; Zhang, Xuebin; Luo, Yang] Hebei Med Univ, Dept Orthopaed Surg, Hosp 3, Shijiazhuang, Peoples R China; [Zhang, Yanci] Hebei Med Univ, Hosp 1, Trauma Ctr, Shijiazhuang, Peoples R China</t>
  </si>
  <si>
    <t>Explainable machine learning for perioperative surgical site infection risk enrichment after operative treatment of closed pilon fractures: a multicenter retrospective study with external validation</t>
  </si>
  <si>
    <t>FRONTIERS IN SURGERY</t>
  </si>
  <si>
    <t>calibration; closed pilon fractures; external validation; machine learning; risk stratification; surgical site infection; targeted surveillance</t>
  </si>
  <si>
    <t>DEEP INFECTION; HYPERGLYCEMIA; DIAGNOSIS</t>
  </si>
  <si>
    <t>2296-875X</t>
  </si>
  <si>
    <t>FRONT SURG</t>
  </si>
  <si>
    <t>Front. Surg.</t>
  </si>
  <si>
    <t>JUL 6 2026</t>
  </si>
  <si>
    <t>1850385</t>
  </si>
  <si>
    <t>10.3389/fsurg.2026.1850385</t>
  </si>
  <si>
    <t>http://dx.doi.org/10.3389/fsurg.2026.1850385</t>
  </si>
  <si>
    <t>LF9XE</t>
  </si>
  <si>
    <t>42473478</t>
  </si>
  <si>
    <t>WOS:001823687700001</t>
  </si>
  <si>
    <t>Xu, MJ; Zhang, LX; Yuan, L; Ji, CH; Zhang, YQ; Kong, DY; Zhang, YY; Lv, L; Hua, M; Zhang, WM</t>
  </si>
  <si>
    <t>Ion exchange or chelate resins are extensively employed in the sustainable treatment of industrial wastewater containing heavy metal ions (HMIs), and predicting their adsorption capacity plays a crucial role in designing novel resins and selecting adsorbents for specific scenarios. However, numerous influencing factors and complex structure-activity relationships have severely impeded advancements in this field. Herein, a comprehensive database containing 1300 adsorption data points was established for the first time, and five machine learning (ML) models were trained and compared to accurately predict the HMIs adsorption capacity of ion exchange or chelate resins under diverse scenarios and to rank the importance of influencing factors. Notably, the integration of resin chemical properties derived from molecular simulations and the application of distance correlation for feature selection significantly enhanced the model's accuracy. The LightGBM model demonstrated excellent performance on the test set with R2 = 0.981 and RMSE = 0.0935, and exhibited high predictive accuracy when validated with multi-factor external experiments (R2 = 0.952). Post-hoc interpretation further identified the importance ranking of key factors influencing the adsorption capacity of ion exchange or chelate resins for HMIs, as well as clarified the influence manner of each input feature. Moreover, reducing the total unsaturation degree of resins was unexpectedly identified as a potential strategy to improve the adsorption capacity. These results provide new insights into the adsorption mechanism and behaviors of ion exchange or chelate resins for HMIs, offering valuable guidance for resin modification and enhancing application efficiency.</t>
  </si>
  <si>
    <t>Xu, Mujian; Zhang, Lingxing; Yuan, Ling; Ji, Chenghan; Zhang, Yueqing; Kong, Deyang; Zhang, Yanyang; Lv, Lu; Hua, Ming; Zhang, Weiming</t>
  </si>
  <si>
    <t>Zhang, WM (corresponding author), Nanjing Univ, Sch Environm, State Key Lab Pollut Control &amp; Resource Reuse, Nanjing 210023, Peoples R China.; Kong, DY (corresponding author), Minist Environm &amp; Ecol China, Nanjing Inst Environm Sci, Key Lab Pesticide Environm Assessment &amp; Pollut Con, Nanjing 210042, Peoples R China.</t>
  </si>
  <si>
    <t>kdy@nies.org; wmzhang@nju.edu.cn</t>
  </si>
  <si>
    <t>National Natural Science Foundation of China [U22A20403]; Natural Science Foundation of Jiangsu Province [BK20220070]; Fundamental Research Funds for the Central Universities [021114380230]</t>
  </si>
  <si>
    <t>National Natural Science Foundation of China (National Natural Science Foundation of China (NSFC)); Natural Science Foundation of Jiangsu Province (Natural Science Foundation of Jiangsu Province); Fundamental Research Funds for the Central Universities (Fundamental Research Funds for the Central Universities)</t>
  </si>
  <si>
    <t>This work was financially supported by the National Natural Science Foundation of China (U22A20403) , Natural Science Foundation of Jiangsu Province (BK20220070) , and The Fundamental Research Funds for the Central Universities (021114380230) .</t>
  </si>
  <si>
    <t>[Xu, Mujian; Zhang, Lingxing; Yuan, Ling; Zhang, Yanyang; Lv, Lu; Hua, Ming; Zhang, Weiming] Nanjing Univ, Sch Environm, State Key Lab Pollut Control &amp; Resource Reuse, Nanjing 210023, Peoples R China; [Xu, Mujian; Zhang, Yueqing; Kong, Deyang] Minist Environm &amp; Ecol China, Nanjing Inst Environm Sci, Key Lab Pesticide Environm Assessment &amp; Pollut Con, Nanjing 210042, Peoples R China; [Ji, Chenghan] Nanjing Forestry Univ, Coll Civil Engn, Nanjing 210037, Peoples R China</t>
  </si>
  <si>
    <t>Nanjing University; Nanjing Institute of Environmental Sciences, Ministry of Ecology &amp; Environment; Nanjing Forestry University</t>
  </si>
  <si>
    <t>Machine learning-assisted adsorption capacity prediction of ion exchange or chelate resin for heavy metals in aqueous solutions: External validation via multi-factor experiments</t>
  </si>
  <si>
    <t>SEPARATION AND PURIFICATION TECHNOLOGY</t>
  </si>
  <si>
    <t>Adsorption; Heavy metal; Ion exchange or chelate resin; Machine learning; External validation</t>
  </si>
  <si>
    <t>EFFICIENT REMOVAL; ALGINATE; CU(II)</t>
  </si>
  <si>
    <t>Zhang, Yueqing/JMC-2296-2023; Chenghan, Ji/LIG-2815-2024; Kong, Deyang/OSI-0408-2025</t>
  </si>
  <si>
    <t>1383-5866</t>
  </si>
  <si>
    <t>1873-3794</t>
  </si>
  <si>
    <t>SEP PURIF TECHNOL</t>
  </si>
  <si>
    <t>Sep. Purif. Technol.</t>
  </si>
  <si>
    <t>SEP 17 2025</t>
  </si>
  <si>
    <t>133019</t>
  </si>
  <si>
    <t>10.1016/j.seppur.2025.133019</t>
  </si>
  <si>
    <t>http://dx.doi.org/10.1016/j.seppur.2025.133019</t>
  </si>
  <si>
    <t>Engineering, Chemical</t>
  </si>
  <si>
    <t>1XX5F</t>
  </si>
  <si>
    <t>WOS:001476270900001</t>
  </si>
  <si>
    <t>Li, EG; Guo, BT; Ai, FZ; Wen, K; Tong, YY; Tang, P; Wen, HJ</t>
  </si>
  <si>
    <t>Introduction Depressive symptoms commonly co-occur with obstructive sleep apnea (OSA), increase disease burden, and may precede major depressive disorder (MDD). In routine sleep-clinic practice, mood symptoms can be overlooked during the work-up for suspected OSA and at the time of polysomnography (PSG)-confirmed diagnosis, because consultations focus primarily on sleep-breathing and cardiometabolic complaints. Guided by the biopsychosocial model, this multicenter study aimed to develop and validate an interpretable machine-learning (ML) model to predict the risk of depressive symptoms in patients with OSA.Methods This study included 634 adults with OSA from two sleep centers. Participants from the first center (n = 400) were randomly allocated to a training cohort and an internal validation cohort in a 7:3 ratio. An external validation cohort (n = 234) was recruited from the second center. Depressive symptoms were defined as a Patient Health Questionnaire-9 (PHQ-9) score &gt;= 10. Candidate predictors covered biological, psychological, and social factors. Least absolute shrinkage and selection operator (LASSO) regression was used for feature selection. Eight ML algorithms were trained and tuned by 10-fold cross-validation. The best-performing model was interpreted using SHapley Additive exPlanations (SHAP), and a web-based prediction tool was constructed.Results In the external validation cohort, the random forest (RF) model showed the best overall performance, with an area under the receiver operating characteristic curve (AUC) of 0.815, accuracy of 0.833, and Brier score of 0.154. Decision-curve analysis supported its clinical utility. SHAP analysis identified perceived stress level, apnea-hypopnea index (AHI), and hypertension as the most influential predictors, followed by OSA severity, sleep quality, total sleep time, mean oxygen saturation (MSaO2), body mass index (BMI), and sex.Conclusion This study developed and externally validated an interpretable random forest-based model to predict the risk of depressive symptoms in patients with OSA. The model integrates key biopsychosocial features, shows good discrimination and calibration, and offers a favorable net benefit. The accompanying web-based tool supports practical risk assessment and may facilitate early identification, risk stratification, and personalized intervention to help prevent progression to MDD.</t>
  </si>
  <si>
    <t>Li, Enguang; Guo, Botang; Ai, Fangzhu; Wen, Kuo; Tong, Yangyang; Tang, Ping; Wen, Hongjuan</t>
  </si>
  <si>
    <t>Wen, HJ (corresponding author), Changchun Univ Chinese Med, Coll Hlth Management, Changchun, Jilin, Peoples R China.; Tang, P (corresponding author), Shenzhen Univ, Affiliated Luohu Hosp, Dept Gen Practice, Med Sch, Shenzhen, Guangdong, Peoples R China.</t>
  </si>
  <si>
    <t>wenhongjuan2004@163.com; lhyytp@163.com</t>
  </si>
  <si>
    <t>2025 Thematic Case Project of the Development Center for Degree and Graduate Education, Ministry of Education [ZT-2510199001]; Changchun University of Traditional Chinese Medicine Theme Case Project [2024YJ03]; Shenzhen Key Medical Discipline Construction Fund [SZXK062]; Shenzhen Philosophy and Social Science Planning Project [SZ2024C018]; Science and Technology Project of the Jilin Provincial Administration of Traditional Chinese Medicine [2024260]</t>
  </si>
  <si>
    <t>2025 Thematic Case Project of the Development Center for Degree and Graduate Education, Ministry of Education; Changchun University of Traditional Chinese Medicine Theme Case Project; Shenzhen Key Medical Discipline Construction Fund; Shenzhen Philosophy and Social Science Planning Project; Science and Technology Project of the Jilin Provincial Administration of Traditional Chinese Medicine</t>
  </si>
  <si>
    <t>This work was supported by the Science and Technology Project of the Jilin Provincial Administration of Traditional Chinese Medicine (No. 2024260), the Changchun University of Traditional Chinese Medicine Theme Case Project (No. 2024YJ03), the Shenzhen Key Medical Discipline Construction Fund (No. SZXK062), the Shenzhen Philosophy and Social Science Planning Project (No. SZ2024C018) and 2025 Thematic Case Project of the Development Center for Degree and Graduate Education, Ministry of Education.</t>
  </si>
  <si>
    <t>[Li, Enguang; Wen, Hongjuan] Changchun Univ Chinese Med, Coll Hlth Management, Changchun, Jilin, Peoples R China; [Guo, Botang; Tang, Ping] Shenzhen Univ, Affiliated Luohu Hosp, Dept Gen Practice, Med Sch, Shenzhen, Guangdong, Peoples R China; [Ai, Fangzhu] Jinzhou Med Univ, Sch Nursing, Jinzhou, Liaoning, Peoples R China; [Wen, Kuo] Changchun Univ Chinese Med, Coll Tradit Chinese Med, Changchun, Jilin, Peoples R China; [Tong, Yangyang] Changchun Univ Chinese Med, Affiliated Hosp, Dept Pulm Oncol, Changchun, Jilin, Peoples R China</t>
  </si>
  <si>
    <t>Changchun University of Chinese Medicine; Shenzhen University; Jinzhou Medical University; Changchun University of Chinese Medicine; Changchun University of Chinese Medicine</t>
  </si>
  <si>
    <t>Development and External Validation of an Interpretable Machine Learning-Based Prediction Model for Depressive Symptoms in Patients With Obstructive Sleep Apnea: A Multicenter Study</t>
  </si>
  <si>
    <t>BRAIN AND BEHAVIOR</t>
  </si>
  <si>
    <t>depressive symptoms; machine learning; obstructive sleep apnea; prediction model</t>
  </si>
  <si>
    <t>DISORDER; OBESITY; RISK</t>
  </si>
  <si>
    <t>Tang, Ping/PAU-6348-2025; 李, 恩光/GSN-6493-2022</t>
  </si>
  <si>
    <t>Li, Enguang/0009-0004-0427-9843</t>
  </si>
  <si>
    <t>111 RIVER ST, HOBOKEN, NJ 07030 USA</t>
  </si>
  <si>
    <t>2162-3279</t>
  </si>
  <si>
    <t>BRAIN BEHAV</t>
  </si>
  <si>
    <t>Brain Behav.</t>
  </si>
  <si>
    <t>APR 23 2026</t>
  </si>
  <si>
    <t>e71399</t>
  </si>
  <si>
    <t>10.1002/brb3.71399</t>
  </si>
  <si>
    <t>http://dx.doi.org/10.1002/brb3.71399</t>
  </si>
  <si>
    <t>GW4UO</t>
  </si>
  <si>
    <t>42021585</t>
  </si>
  <si>
    <t>WOS:001746695700001</t>
  </si>
  <si>
    <t>Nielsen, SD; Dobrosavljevic, M; Andell, P; Chang, Z; Clemmensen, LKH; Larsson, H; Benros, ME</t>
  </si>
  <si>
    <t>Background Currently available cardiovascular disease (CVD) risk prediction tools may underestimate the risk in individuals with schizophrenia.Objective To develop and externally validate 5-year CVD risk prediction models for people with schizophrenia using large-scale register data in Sweden and Denmark with a machine learning (ML) approach.Methods Individuals with a diagnosis of schizophrenia, aged 30 and older and without prior CVD, were followed for up to 5 years. We investigated whether adding additional health-related and socio-demographic predictors to the established CVD risk factors improved predictions and compared ML models with logistic regression. External validation was performed across countries.Findings A lasso penalised logistic regression including additional predictors achieved the highest predictive performance, both on Swedish and Danish data, while complex ML models with interaction terms did not provide additional improvements. The area under the receiver operating characteristic curve (AUC) on the internal validation data was 0.745 (95% CI (0.742 to 0.749)) in the Swedish model, and 0.722, 95% CI (0.719 to 0.726) in the Danish model. External validation showed similar performance, yielding an AUC of 0.746, 95% CI (0.741 to 0.751) using the Danish model on the Swedish data, and an AUC of 0.720, 95% CI (0.712 to 0.726) using the Swedish model on the Danish validation data.Conclusions Incorporating additional health-related information, such as psychiatric comorbidities and medication use, improved 5-year CVD risk prediction for people with schizophrenia in both countries.Clinical implications The models can be deployed between Denmark and Sweden without loss of performance compared with training a model on each country.</t>
  </si>
  <si>
    <t>Nielsen, Sara Dorthea; Dobrosavljevic, Maja; Andell, Pontus; Chang, Zheng; Clemmensen, Line Katrine Harder; Larsson, Henrik; Benros, Michael Eriksen</t>
  </si>
  <si>
    <t>Dobrosavljevic, M (corresponding author), Orebro Univ, Fac Med &amp; Hlth, Sch Med Sci, Orebro, Sweden.</t>
  </si>
  <si>
    <t>lkhc@math.ku.dk; maja.dobrosavljevic@oru.se; Michael.Eriksen.Benros@regionh.dk; Henrik.Larsson@oru.se; sdoni@dtu.dk; Zheng.Chang@ki.se; pontus.andell@ki.se</t>
  </si>
  <si>
    <t>Vetenskapsrdet [2025-03176]; Lundbeck Foundation [R278-2018-1411]; VINNOVA [2022-00541]; Vinnova [2022-00541] Funding Source: Vinnova</t>
  </si>
  <si>
    <t>Vetenskapsrdet (Swedish Research Council); Lundbeck Foundation (Lundbeckfonden); VINNOVA (Vinnova); Vinnova (Vinnova)</t>
  </si>
  <si>
    <t>This work was supported by unrestricted grants from the Lundbeck Foundation (Grant Number: R278-2018-1411). The project has also received funding from the Swedish Research Council (2025-03176). MD acknowledges funding from VINNOVA (Sweden's Innovation Agency; grant number: 2022-00541) under the framework of ERA PerMed, ERAP-ERMED2022-087-BIPCOM. The funding agencies had no role in the acquisition of the data, interpretation of the results or the decision to publish the findings.</t>
  </si>
  <si>
    <t>[Nielsen, Sara Dorthea; Clemmensen, Line Katrine Harder] Tech Univ Denmark, Dept Appl Math &amp; Comp Sci, Lyngby, Denmark; [Nielsen, Sara Dorthea; Benros, Michael Eriksen] Copenhagen Univ Hosp, Copenhagen Res Ctr Biol &amp; Precis Psychiat, Rigshosp, Mental Hlth Ctr Copenhagen, Copenhagen, Denmark; [Dobrosavljevic, Maja; Larsson, Henrik] Orebro Univ, Fac Med &amp; Hlth, Sch Med Sci, Orebro, Sweden; [Andell, Pontus] Karolinska Inst, Dept Physiol &amp; Pharmacol, Stockholm, Sweden; [Andell, Pontus] Karolinska Univ Hosp, ME Cardiol Heart &amp; Vasc Theme, Stockholm, Sweden; [Chang, Zheng; Larsson, Henrik] Karolinska Inst, Dept Med Epidemiol &amp; Biostat, Stockholm, Sweden; [Clemmensen, Line Katrine Harder] Univ Copenhagen, Dept Math Sci, Copenhagen, Denmark; [Benros, Michael Eriksen] Univ Copenhagen, Fac Hlth &amp; Med Sci, Dept Clin Med, Copenhagen, Denmark</t>
  </si>
  <si>
    <t>Technical University of Denmark; Rigshospitalet; University of Copenhagen; Copenhagen University Hospital; Orebro University; Karolinska Institutet; Karolinska Institutet; Karolinska University Hospital; Karolinska Institutet; University of Copenhagen; University of Copenhagen</t>
  </si>
  <si>
    <t>Development and external validation of machine learning approaches for risk prediction of cardiovascular disease in individuals with schizophrenia: a nationwide Swedish and Danish study</t>
  </si>
  <si>
    <t>BMJ MENTAL HEALTH</t>
  </si>
  <si>
    <t>Schizophrenia; Schizophrenia Spectrum and Other Psychotic Disorders; Psychiatry</t>
  </si>
  <si>
    <t>SEVERE MENTAL-ILLNESS; HEART-DISEASE; MORTALITY; MODELS; METAANALYSIS; PEOPLE; SCORE</t>
  </si>
  <si>
    <t>Andell, Pontus/ITU-4503-2023; Larsson, Henrik/GYD-5161-2022; Benros, Michael/N-5868-2016; Clemmensen, Line/E-9703-2011</t>
  </si>
  <si>
    <t>2755-9734</t>
  </si>
  <si>
    <t>BMJ Mental Health</t>
  </si>
  <si>
    <t>JAN 16 2026</t>
  </si>
  <si>
    <t>e301964</t>
  </si>
  <si>
    <t>10.1136/bmjment-2025-301964</t>
  </si>
  <si>
    <t>http://dx.doi.org/10.1136/bmjment-2025-301964</t>
  </si>
  <si>
    <t>CE8KV</t>
  </si>
  <si>
    <t>41545227</t>
  </si>
  <si>
    <t>WOS:001664095700001</t>
  </si>
  <si>
    <t>Çorumlu, V; Altintas, V; Abuska, M</t>
  </si>
  <si>
    <t>The capability of ML models in thermal systems is generally determined by internal validation, while this study investigates the prediction performance of ML models with external validation. ANN, XGBoost, and RF models were created with the training-test data set obtained from the results of flat, conical, and cross-cut pin fin heat sinks. Data of 33, 66, and 99 W for the training-test data set were used for training and internal validation, while data of 49.5 W for conic Model-I and 82.5 W for conic Model-II were used for external validation. The RF showed the highest performance on the test data-internal validation and the ANN on the external validation. According to the test data not used in training, the lowest MSE is 0.0270-(RF), 1.7437-(ANN), and 14.7140-(XGBoost). In RF and XGBoost, the external validation performance decreased significantly compared to the internal validation. The MSE of the models are 8.0683-ANN, 214.4047-XGBoost, and 300.6012-RF for external validation. The thermal resistance provides more realistic results than the Nusselt number for the thermal performance evaluation of heat sinks with ML methods. The ANN based on external validation may be used to predict heat sinks' thermal performance and save money, labor, and time compared to CFD simulations.</t>
  </si>
  <si>
    <t>Corumlu, Vahit; Altintas, Volkan; Abuska, Mesut</t>
  </si>
  <si>
    <t>Çorumlu, V (corresponding author), Manisa Celal Bayar Univ, Akhisar Vocat High Sch, Dept Elect &amp; Energy, TR-45200 Manisa, Turkiye.</t>
  </si>
  <si>
    <t>vahit.corumlu@cbu.edu.tr; volkan.altintas@cbu.edu.tr; mesut.abuska@cbu.edu.tr</t>
  </si>
  <si>
    <t>[Corumlu, Vahit] Manisa Celal Bayar Univ, Akhisar Vocat High Sch, Dept Elect &amp; Energy, TR-45200 Manisa, Turkiye; [Altintas, Volkan] Manisa Celal Bayar Univ, Dept Comp Engn, TR-45140 Manisa, Turkiye; [Abuska, Mesut] Manisa Celal Bayar Univ, Akhisar Vocat Sch, Dept Machine, TR- 45200 Manisa, Turkiye</t>
  </si>
  <si>
    <t>Celal Bayar University; Celal Bayar University; Celal Bayar University; Ministry of National Education - Turkey</t>
  </si>
  <si>
    <t>Evaluation of prediction and modeling performance using machine learning methods for thermal parameters of heat sinks under forced convection: The case of external validation</t>
  </si>
  <si>
    <t>INTERNATIONAL COMMUNICATIONS IN HEAT AND MASS TRANSFER</t>
  </si>
  <si>
    <t>Heat sink; Machine learning; External validation; Experimental forced convection; Thermal performance parameters</t>
  </si>
  <si>
    <t>Abuşka, Mesut/H-1765-2018; Altıntaş, Volkan/AAK-3225-2021; ÇORUMLU, Vahit/HSG-2760-2023</t>
  </si>
  <si>
    <t>Abuşka, Mesut/0000-0003-2686-9786; ÇORUMLU, Vahit/0000-0003-2838-6497</t>
  </si>
  <si>
    <t>0735-1933</t>
  </si>
  <si>
    <t>1879-0178</t>
  </si>
  <si>
    <t>INT COMMUN HEAT MASS</t>
  </si>
  <si>
    <t>Int. Commun. Heat Mass Transf.</t>
  </si>
  <si>
    <t>107228</t>
  </si>
  <si>
    <t>10.1016/j.icheatmasstransfer.2023.107228</t>
  </si>
  <si>
    <t>http://dx.doi.org/10.1016/j.icheatmasstransfer.2023.107228</t>
  </si>
  <si>
    <t>Thermodynamics; Mechanics</t>
  </si>
  <si>
    <t>GD7V7</t>
  </si>
  <si>
    <t>WOS:001150802700001</t>
  </si>
  <si>
    <t>House, PM; Kopelyan, M; Braniewska, N; Silski, B; Chudzinska, A; Holst, B; Sauvigny, T; Martens, T; Stodieck, S; Pelzl, S</t>
  </si>
  <si>
    <t>Purpose: Focal cortical dysplasias (FCDs) represent one of the most frequent causes of pharmaco-resistant focal epilepsies. Despite improved clinical imaging methods over the past years, FCD detection remains challenging, as FCDs vary in location, size, and shape and commonly blend into surrounding tissues without clear definable boundaries. We developed a novel convolutional neural network for FCD detection and segmentation and validated it prospectively on daily-routine MRIs.Material and methods: The neural network was trained on 201 T1 and FLAIR 3 T MRI volume sequences of 158 patients with mainly FCDs, regardless of type, and 7 focal PMG. Non-FCD/PMG MRIs, drawn from 100 normal MRIs and 50 MRIs with non-FCD/PMG pathologies, were added to the training. We applied the algorithm prospectively on 100 consecutive MRIs of patients with focal epilepsy from daily clinical practice. The results were compared with corresponding neuroradiological reports and morphometric MRI analyses evaluated by an experienced epileptologist.Results: Best training results reached a sensitivity (recall) of 70.1 % and a precision of 54.3 % for detecting FCDs. Applied on the daily-routine MRIs, 7 out of 9 FCDs were detected and segmented correctly with a sensitivity of 77.8 % and a specificity of 5.5 %. The results of conventional visual analyses were 33.3 % and 94.5 %, respectively (3/9 FCDs detected); the results of morphometric analyses with overall epileptologic evaluation were both 100 % (9/9 FCDs detected) and thus served as reference.Conclusion: We developed a 3D convolutional neural network with autoencoder regularization for FCD detection and segmentation. Our algorithm employs the largest FCD training dataset to date with various types of FCDs and some focal PMG. It provided a higher sensitivity in detecting FCDs than conventional visual analyses. Despite its low specificity, the number of false positively predicted lesions per MRI was lower than with morphometric analysis. We consider our algorithm already useful for FCD pre-screening in everyday clinical practice.</t>
  </si>
  <si>
    <t>House, Patrick M.; Kopelyan, Mikhail; Braniewska, Natalia; Silski, Bartosz; Chudzinska, Agata; Holst, Brigitte; Sauvigny, Thomas; Martens, Tobias; Stodieck, Stefan; Pelzl, Sirko</t>
  </si>
  <si>
    <t>House, PM (corresponding author), Protestant Hosp Alsterdorf, Hamburg Epilepsy Ctr, Dept Neurol &amp; Epileptol, Hamburg, Germany.</t>
  </si>
  <si>
    <t>p.house@eka.alsterdorf.de</t>
  </si>
  <si>
    <t>[House, Patrick M.; Stodieck, Stefan] Protestant Hosp Alsterdorf, Hamburg Epilepsy Ctr, Dept Neurol &amp; Epileptol, Hamburg, Germany; [Kopelyan, Mikhail] Elbe Klinikum Stade, Dept Neurol, Stade, Germany; [Braniewska, Natalia; Silski, Bartosz; Chudzinska, Agata; Pelzl, Sirko] Blueai GmbH, Hamburg, Germany; [Holst, Brigitte] Univ Hosp Hamburg Eppendorf, Dept Neuroradiol, Hamburg, Germany; [Sauvigny, Thomas; Martens, Tobias] Univ Hosp Hamburg Eppendorf, Dept Neurosurg, Hamburg, Germany; [Martens, Tobias] Asklepios Klinikum St Georg, Dept Neurosurg, Hamburg, Germany</t>
  </si>
  <si>
    <t>University of Hamburg; University Medical Center Hamburg-Eppendorf; University of Hamburg; University Medical Center Hamburg-Eppendorf; Asklepios Klinik St. Georg</t>
  </si>
  <si>
    <t>Automated detection and segmentation of focal cortical dysplasias (FCDs) with artificial intelligence: Presentation of a novel convolutional neural network and its prospective clinical validation</t>
  </si>
  <si>
    <t>EPILEPSY RESEARCH</t>
  </si>
  <si>
    <t>AI; Algorithm; Deep learning; MRI; 3D</t>
  </si>
  <si>
    <t>WHITE-MATTER SUPPRESSION; RETROSPECTIVE EVALUATION; TRANSMANTLE SIGN; MRI; VISUALIZATION; FEATURES; IMPROVES; MALFORMATIONS; FLUID</t>
  </si>
  <si>
    <t>Chudzińska, Agata/0000-0001-6317-4137; Kopelyan, Mikhail/0000-0001-6754-4828; House, Patrick/0000-0003-3305-1106</t>
  </si>
  <si>
    <t>0920-1211</t>
  </si>
  <si>
    <t>1872-6844</t>
  </si>
  <si>
    <t>EPILEPSY RES</t>
  </si>
  <si>
    <t>Epilepsy Res.</t>
  </si>
  <si>
    <t>106594</t>
  </si>
  <si>
    <t>10.1016/j.eplepsyres.2021.106594</t>
  </si>
  <si>
    <t>http://dx.doi.org/10.1016/j.eplepsyres.2021.106594</t>
  </si>
  <si>
    <t>RN6JQ</t>
  </si>
  <si>
    <t>33677163</t>
  </si>
  <si>
    <t>WOS:000640457900005</t>
  </si>
  <si>
    <t>Tran, DNT; Ducher, M; Fouque, D; Fauvel, JP</t>
  </si>
  <si>
    <t>Background Chronic kidney disease (CKD) is associated with increased mortality. Individual mortality prediction could be of interest to improve individual clinical outcomes. Using an independent regional dataset, the aim of the present study was to externally validate the recently published 2-year all-cause mortality prediction tool developed using machine learning. Methods A validation dataset of stage 4 or 5 CKD outpatients was used. External validation performance of the prediction tool at the optimal cutoff-point was assessed by the area under the receiver operating characteristic curve (AUC-ROC), accuracy, sensitivity, and specificity. A survival analysis was then performed using the Kaplan-Meier method. Results Data of 527 outpatients with stage 4 or 5 CKD were analyzed. During the 2 years of follow-up, 91 patients died and 436 survived. Compared to the learning dataset, patients in the validation dataset were significantly younger, and the ratio of deceased patients in the validation dataset was significantly lower. The performance of the prediction tool at the optimal cutoff-point was: AUC-ROC = 0.72, accuracy = 63.6%, sensitivity = 72.5%, and specificity = 61.7%. The survival curves of the predicted survived and the predicted deceased groups were significantly different (p &lt; 0.001). Conclusion The 2-year all-cause mortality prediction tool for patients with stage 4 or 5 CKD showed satisfactory discriminatory capacity with emphasis on sensitivity. The proposed prediction tool appears to be of clinical interest for further development.</t>
  </si>
  <si>
    <t>Tran, Dung N. T.; Ducher, Michel; Fouque, Denis; Fauvel, Jean-Pierre</t>
  </si>
  <si>
    <t>Fauvel, JP (corresponding author), Univ Claude Bernard Lyon 1, CNRS Lyon, Lab Biometrie &amp; Biol Evolut, UMR 5558, 43 Blvd 11 Novembre 1918, F-69100 Lyon, France.; Fauvel, JP (corresponding author), Hop Edouard Herriot, Serv Nephrol, Hosp Civils Lyon, F-69003 Lyon, France.</t>
  </si>
  <si>
    <t>jean-pierre.fauvel@chu-lyon.fr; nu-thuy-dung.tran@chu-lyon.fr</t>
  </si>
  <si>
    <t>GlaxoSmithKline, AstraZeneca, Astellas; INSERM</t>
  </si>
  <si>
    <t>GlaxoSmithKline, AstraZeneca, Astellas; INSERM (Institut National de la Sante et de la Recherche Medicale (Inserm))</t>
  </si>
  <si>
    <t>Partial financial support was received from research grants of GlaxoSmithKline, AstraZeneca, Astellas and INSERM. The sponsors had no influence on the data collection, statistical analysis and writing of the paper. The first author, Dr. Tran has received a scholarship from the Societe Francophone de Dialyse et de Transplantation (SFNDT) for her doctoral thesis. The sponsors had no influence on the data collection, statistical analysis and writing of the paper.</t>
  </si>
  <si>
    <t>[Tran, Dung N. T.; Ducher, Michel; Fauvel, Jean-Pierre] Univ Claude Bernard Lyon 1, CNRS Lyon, Lab Biometrie &amp; Biol Evolut, UMR 5558, 43 Blvd 11 Novembre 1918, F-69100 Lyon, France; [Tran, Dung N. T.; Fauvel, Jean-Pierre] Hop Edouard Herriot, Serv Nephrol, Hosp Civils Lyon, F-69003 Lyon, France; [Ducher, Michel] Univ Claude Bernard Lyon 1, Ciblage Therapeut Oncol, EMR3738, 43 Blvd 11 Novembre 1918, F-69100 Villeurbanne, France; [Fouque, Denis] Univ Claude Bernard Lyon 1, Fac Med Lyon Sud, Dept Nephrol Nutr &amp; Dialysis, BP 12165 Chemin Grand Revoyet, F-69921 Lyon, France; [Fouque, Denis] Hosp Civils Lyon, Hop Lyon Sud, F-69495 Lyon, Pierre Benite, France</t>
  </si>
  <si>
    <t>Universite Lyon 1; VetAgro Sup; Centre National de la Recherche Scientifique (CNRS); CNRS - Institute of Ecology &amp; Environment (INEE); CHU Lyon; Universite Lyon 1; Universite Lyon 1; CHU Lyon</t>
  </si>
  <si>
    <t>External validation of a 2-year all-cause mortality prediction tool developed using machine learning in patients with stage 4-5 chronic kidney disease</t>
  </si>
  <si>
    <t>Chronic kidney disease; Validation prediction model; Machine learning; Mortality</t>
  </si>
  <si>
    <t>OUTCOMES; MODELS; RISK</t>
  </si>
  <si>
    <t>Fouque, Denis/C-5338-2014</t>
  </si>
  <si>
    <t>2267</t>
  </si>
  <si>
    <t>2274</t>
  </si>
  <si>
    <t>10.1007/s40620-024-02011-9</t>
  </si>
  <si>
    <t>http://dx.doi.org/10.1007/s40620-024-02011-9</t>
  </si>
  <si>
    <t>P6D4O</t>
  </si>
  <si>
    <t>38965199</t>
  </si>
  <si>
    <t>WOS:001263066700001</t>
  </si>
  <si>
    <t>Wang, ZD; Song, JH; Gao, Y; Zheng, JK; Qi, YX; Li, J</t>
  </si>
  <si>
    <t>Background Acute kidney injury (AKI) is a common complication after coronary artery bypass grafting (CABG). Preoperative nutritional status may influence AKI risk, but its predictive value remains unclear.Methods We retrospectively analyzed 811 CABG patients from two centers. Nutritional status was assessed using the Controlling Nutritional Status (CONUT) score, Prognostic Nutritional Index (PNI), and Geriatric Nutritional Risk Index (GNRI). Logistic regression and restricted cubic splines evaluated associations with AKI. The most predictive index, combined with key clinical variables selected via LASSO and Boruta, was used to build six machine-learning models. Model interpretability was assessed using SHAP, and a web-based calculator was deployed.Results All three indices were independently associated with AKI, with PNI performing best (AUC = 0.617). The GBM model showed highest predictive performance with AUCs of 1.000, 0.978, and 0.905 in training, internal, and external validation sets, respectively. SHAP identified PNI, LVEF, and CPB as top contributors.Conclusion Preoperative nutritional status, particularly PNI, is an independent predictor of AKI. An interpretable GBM model incorporating nutritional and clinical variables enables accurate individualized risk assessment.</t>
  </si>
  <si>
    <t>Wang, Zhaodi; Song, Jinghao; Gao, Yang; Zheng, Jiankang; Qi, Yuxia; Li, Jie</t>
  </si>
  <si>
    <t>Qi, YX (corresponding author), Qingdao Publ Hlth Clin Ctr, Dept Internal Med, Qingdao, Shandong, Peoples R China.; Li, J (corresponding author), Shandong Univ, Ctr Hlth Management, Qilu Hosp, Jinan 250012, Shandong, Peoples R China.</t>
  </si>
  <si>
    <t>lijie19992023@163.com; 17669680091@163.com</t>
  </si>
  <si>
    <t>Peak Discipline-Qingdao Key Medical and Health Discipline Development Project [20240306]</t>
  </si>
  <si>
    <t>Peak Discipline-Qingdao Key Medical and Health Discipline Development Project</t>
  </si>
  <si>
    <t>The author(s) declared that financial support was received for this work and/or its publication. This study was supported by the grant from the Peak Discipline-Qingdao Key Medical and Health Discipline Development Project (No: 20240306).</t>
  </si>
  <si>
    <t>[Wang, Zhaodi; Qi, Yuxia] Qingdao Publ Hlth Clin Ctr, Dept Internal Med, Qingdao, Shandong, Peoples R China; [Song, Jinghao] Shandong First Med Univ Hosp, Dept Cardiovasc Surg, Affiliated Hosp 1, Jinan, Shandong, Peoples R China; [Song, Jinghao; Gao, Yang] Shandong Prov Qianfoshan Hosp, Jinan, Shandong, Peoples R China; [Song, Jinghao; Zheng, Jiankang] North Sichuan Med Coll, Affiliated Hosp, Dept Cardiol, Nanchong 637000, Sichuan, Peoples R China; [Gao, Yang] Jining Med Univ, Dept Anesthesiol, Affiliated Hosp, Jining, Shandong, Peoples R China; [Gao, Yang] Shandong First Med Univ, Affiliated Hosp 1, Dept Anesthesiol, Jinan, Shandong, Peoples R China; [Li, Jie] Shandong Univ, Ctr Hlth Management, Qilu Hosp, Jinan 250012, Shandong, Peoples R China</t>
  </si>
  <si>
    <t>Shandong First Medical University &amp; Shandong Academy of Medical Sciences; North Sichuan Medical University; Jining Medical University; Shandong First Medical University &amp; Shandong Academy of Medical Sciences; Shandong University</t>
  </si>
  <si>
    <t>Development and external validation of a machine learning model based on preoperative nutritional status for predicting acute kidney injury after coronary artery bypass grafting</t>
  </si>
  <si>
    <t>acute kidney injury; coronary artery bypass grafting; nutritional status; machine learning; risk prediction model</t>
  </si>
  <si>
    <t>OFF-PUMP; RISK; MALNUTRITION; MORTALITY; SURGERY</t>
  </si>
  <si>
    <t>MAR 13 2026</t>
  </si>
  <si>
    <t>1750814</t>
  </si>
  <si>
    <t>10.3389/fnut.2026.1750814</t>
  </si>
  <si>
    <t>http://dx.doi.org/10.3389/fnut.2026.1750814</t>
  </si>
  <si>
    <t>FS4GL</t>
  </si>
  <si>
    <t>41909034</t>
  </si>
  <si>
    <t>WOS:001726289400001</t>
  </si>
  <si>
    <t>Kim, H; Kim, S; Choi, S; Park, C; Park, S; Pereira, S; Ma, MN; Yoo, D; Paeng, K; Jung, WKY; Park, S; Ock, CY; Lee, SH; Choi, YL; Chung, JH</t>
  </si>
  <si>
    <t>PURPOSE Evaluation of PD-L1 tumor proportion score (TPS) by pathologists has been very impactful but is limited by factors such as intraobserver/interobserver bias and intratumor heterogeneity. We developed an artificial intelligence (AI)-powered analyzer to assess TPS for the prediction of immune checkpoint inhibitor (ICI) response in advanced non-small cell lung cancer (NSCLC). MATERIALS AND METHODS The AI analyzer was trained with 393,565 tumor cells annotated by board-certified pathologists for PD-L1 expression in 802 whole-slide images (WSIs) stained by 22C3 pharmDx immunohistochemistry. The clinical performance of the analyzer was validated in an external cohort of 430 WSIs from patients with NSCLC. Three pathologists performed annotations of this external cohort, and their consensus TPS was compared with AI-based TPS. RESULTS In comparing PD-L1 TPS assessed by AI analyzer and by pathologists, a significant positive correlation was observed (Spearman coefficient = 0.925; P &lt; .001). The concordance of TPS between AI analyzer and pathologists according to TPS &gt;= 50%, 1%-49%, and &lt;1% was 85.7%, 89.3%, and 52.4%, respectively. In median progression-free survival (PFS), AI-based TPS predicted prognosis in the TPS 1%-49% or TPS &lt;1% group better than the pathologist's reading, with the TPS &gt;= 50% group as a reference (hazard ratio [HR], 1.49 [95% CI, 1.19 to 1.86] v HR, 1.36 [95% CI, 1.08 to 1.71] for TPS 1%-49% group, and HR, 2.38 [95% CI, 1.69 to 3.35] v HR, 1.62 [95% CI, 1.23 to 2.13] for TPS &lt;1% group). CONCLUSION PD-L1 TPS assessed by AI analyzer correlates with that of pathologists, with clinical performance also being comparable when referenced to PFS. The AI model can accurately predict tumor response and PFS of ICI in advanced NSCLC via assessment of PD-L1 TPS.</t>
  </si>
  <si>
    <t>Kim, Hyojin; Kim, Seokhwi; Choi, Sangjoon; Park, Changhee; Park, Seonwook; Pereira, Sergio; Ma, Minuk; Yoo, Donggeun; Paeng, Kyunghyun; Jung, Wonkyung; Park, Sehhoon; Ock, Chan-Young; Lee, Se-Hoon; Choi, Yoon-La; Chung, Jin-Haeng</t>
  </si>
  <si>
    <t>Chung, JH (corresponding author), Seoul Natl Univ, Bundang Hosp, Dept Pathol, Seongnam, South Korea.</t>
  </si>
  <si>
    <t>chungjh@snu.ac.kr</t>
  </si>
  <si>
    <t>Lunit Inc.</t>
  </si>
  <si>
    <t>We appreciate Seulki Kim, Soo Ick Cho, and Siraj Ali for the language editing and proofreading.</t>
  </si>
  <si>
    <t>[Kim, Hyojin; Chung, Jin-Haeng] Seoul Natl Univ, Bundang Hosp, Dept Pathol, Seongnam, South Korea; [Kim, Seokhwi] Ajou Univ, Sch Med, Dept Pathol, Suwon, South Korea; [Choi, Sangjoon; Choi, Yoon-La] Sungkyunkwan Univ, Samsung Med Ctr, Sch Med, Dept Pathol &amp; Translat Genom, Seoul, South Korea; [Park, Changhee] Seoul Natl Univ Hosp, Dept Internal Med, Seoul, South Korea; [Park, Seonwook; Pereira, Sergio; Ma, Minuk; Yoo, Donggeun; Paeng, Kyunghyun; Jung, Wonkyung; Ock, Chan-Young] Lunit Inc, Seoul, South Korea; [Park, Sehhoon; Lee, Se-Hoon] Sungkyunkwan Univ, Samsung Med Ctr, Sch Med, Dept Med,Div Hematol Oncol, Seoul, South Korea</t>
  </si>
  <si>
    <t>Seoul National University (SNU); Seoul National University Hospital; Ajou University; Sungkyunkwan University (SKKU); Samsung Medical Center; Seoul National University (SNU); Seoul National University Hospital; Sungkyunkwan University (SKKU); Samsung Medical Center</t>
  </si>
  <si>
    <t>Clinical Validation of Artificial Intelligence-Powered PD-L1 Tumor Proportion Score Interpretation for Immune Checkpoint Inhibitor Response Prediction in Non-Small Cell Lung Cancer</t>
  </si>
  <si>
    <t>JCO PRECISION ONCOLOGY</t>
  </si>
  <si>
    <t>INFILTRATING LYMPHOCYTES; PEMBROLIZUMAB; IMMUNOHISTOCHEMISTRY; REPRODUCIBILITY; BIOMARKER</t>
  </si>
  <si>
    <t>Pereira, Sérgio/K-5591-2019; Park, Seonwook/AAV-3100-2020</t>
  </si>
  <si>
    <t>Park, Changhee/0000-0002-7125-9795; Kim, Seokhwi/0000-0001-7646-5064; Chung, Jin-Haeng/0000-0002-6527-3814; Park, Seonwook/0000-0001-7992-3876</t>
  </si>
  <si>
    <t>2473-4284</t>
  </si>
  <si>
    <t>JCO PRECIS ONCOL</t>
  </si>
  <si>
    <t>JCO Precis. Oncol.</t>
  </si>
  <si>
    <t>e2300556</t>
  </si>
  <si>
    <t>10.1200/PO.23.00556</t>
  </si>
  <si>
    <t>http://dx.doi.org/10.1200/PO.23.00556</t>
  </si>
  <si>
    <t>A6P6A</t>
  </si>
  <si>
    <t>38723233</t>
  </si>
  <si>
    <t>WOS:001283738000003</t>
  </si>
  <si>
    <t>Axford, D; Sohel, F; Abedi, V; Zhu, Y; Zand, R; Barkoudah, E; Krupica, T; Iheasirim, K; Sharma, UM; Dugani, SB; Takahashi, PY; Bhagra, S; Murad, MH; Saposnik, G; Yousufuddin, M</t>
  </si>
  <si>
    <t>Aims We developed new machine learning (ML) models and externally validated existing statistical models [ischaemic stroke predictive risk score (iScore) and totalled health risks in vascular events (THRIVE) scores] for predicting the composite of recurrent stroke or all-cause mortality at 90 days and at 3 years after hospitalization for first acute ischaemic stroke (AIS).Methods and results In adults hospitalized with AIS from January 2005 to November 2016, with follow-up until November 2019, we developed three ML models [random forest (RF), support vector machine (SVM), and extreme gradient boosting (XGBOOST)] and externally validated the iScore and THRIVE scores for predicting the composite outcomes after AIS hospitalization, using data from 721 patients and 90 potential predictor variables. At 90 days and 3 years, 11 and 34% of patients, respectively, reached the composite outcome. For the 90-day prediction, the area under the receiver operating characteristic curve (AUC) was 0.779 for RF, 0.771 for SVM, 0.772 for XGBOOST, 0.720 for iScore, and 0.664 for THRIVE. For 3-year prediction, the AUC was 0.743 for RF, 0.777 for SVM, 0.773 for XGBOOST, 0.710 for iScore, and 0.675 for THRIVE.Conclusion The study provided three ML-based predictive models that achieved good discrimination and clinical usefulness in outcome prediction after AIS and broadened the application of the iScore and THRIVE scoring system for long-term outcome prediction. Our findings warrant comparative analyses of ML and existing statistical method-based risk prediction tools for outcome prediction after AIS in new data sets.Graphical Abstract</t>
  </si>
  <si>
    <t>Axford, Daniel; Sohel, Ferdous; Abedi, Vida; Zhu, Ye; Zand, Ramin; Barkoudah, Ebrahim; Krupica, Troy; Iheasirim, Kingsley; Sharma, Umesh M.; Dugani, Sagar B.; Takahashi, Paul Y.; Bhagra, Sumit; Murad, Mohammad H.; Saposnik, Gustavo; Yousufuddin, Mohammed</t>
  </si>
  <si>
    <t>Yousufuddin, M (corresponding author), Mayo Clin Hlth Syst, Hosp Internal Med, 1000 1st Dr NW, Austin, MN 55912 USA.</t>
  </si>
  <si>
    <t>Yousufuddin.mohammed@mayo.edu</t>
  </si>
  <si>
    <t>NIMHD NIH HHS [K23 MD016230] Funding Source: Medline</t>
  </si>
  <si>
    <t>NIMHD NIH HHS (United States Department of Health &amp; Human Services, National Institutes of Health (NIH) - USA, NIH National Institute on Minority Health &amp; Health Disparities (NIMHD))</t>
  </si>
  <si>
    <t>[Axford, Daniel; Sohel, Ferdous] Murdoch Univ, Coll Sci Hlth Engn &amp; Educ, Dept Informat Technol Math &amp; Stat, Murdoch, Australia; [Abedi, Vida] Penn State Coll Med, Dept Publ Hlth Sci, Hershey, PA USA; [Zhu, Ye] Mayo Clin, Robert D &amp; Patricia E Kern Ctr Sci Healthcare Deli, Rochester, MN USA; [Zand, Ramin] Geisinger Hlth Syst, Neurosci Inst, 100 North Acad Ave, Danville, PA 17822 USA; [Zand, Ramin] Penn State Univ, Neurosci Inst, Hershey, PA 17033 USA; [Barkoudah, Ebrahim] Harvard Univ, Brigham &amp; Womens Hosp, Internal Med Hosp Med, Boston, MA USA; [Krupica, Troy] West Virginial Univ, Internal Med Hosp Med, Morgantown, WV USA; [Iheasirim, Kingsley] Mayo Clin Hlth Syst, Internal Med Hosp Internal Med, Mankato, MN USA; [Sharma, Umesh M.] Mayo Clin, Hosp Internal Med, Phoenix, AZ USA; [Dugani, Sagar B.] Mayo Clin, Hosp Internal Med, Rochester, MN USA; [Takahashi, Paul Y.] Mayo Clin, Community Internal Med, Rochester, MN USA; [Bhagra, Sumit] Mayo Clin Hlth Syst, Endocrinol Diabet &amp; Metab, Austin, MN USA; [Murad, Mohammad H.] Mayo Clin, Div Publ Hlth Infect Dis &amp; Occupat Med, Rochester, MN USA; [Saposnik, Gustavo] Univ Toronto, St Michaels Hosp, Stroke Outcomes &amp; Decis Neurosci Res Unit, Div Neurol,Dept Med, Toronto, ON, Canada; [Saposnik, Gustavo] Univ Toronto, St Michaels Hosp, Li Ka Shing Knowledge Inst, Toronto, ON, Canada; [Yousufuddin, Mohammed] Mayo Clin Hlth Syst, Hosp Internal Med, 1000 1st Dr NW, Austin, MN 55912 USA</t>
  </si>
  <si>
    <t>Murdoch University; Pennsylvania Commonwealth System of Higher Education (PCSHE); Pennsylvania State University; Penn State Health; Mayo Clinic; Geisinger Health System; Pennsylvania Commonwealth System of Higher Education (PCSHE); Pennsylvania State University; Penn State Health; Harvard University; Harvard University Medical Affiliates; Brigham &amp; Women's Hospital; Mayo Clinic; Mayo Clinic Phoenix; Mayo Clinic; Mayo Clinic; Mayo Clinic; University of Toronto; Saint Michaels Hospital Toronto; University of Toronto; Li Ka Shing Knowledge Institute; Saint Michaels Hospital Toronto</t>
  </si>
  <si>
    <t>Development and internal validation of machine learning-based models and external validation of existing risk scores for outcome prediction in patients with ischaemic stroke</t>
  </si>
  <si>
    <t>Stroke; Mortality; Prediction models; Machine-based learning; Statistical</t>
  </si>
  <si>
    <t>TOTALED HEALTH-RISKS; RECURRENT STROKE; PROGNOSTIC VALUE; ASTRAL SCORE; END-POINTS; MORTALITY; PERFORMANCE; COMPOSITE; DIAGNOSIS; ISCORE</t>
  </si>
  <si>
    <t>Yousufuddin, Mohammed/ABA-7606-2020; Sohel, Ferdous/C-2428-2013; Abedi, Vida/AAU-3828-2021; Saposnik, Gustavo/M-3937-2017; Barkoudah, Ebrahim/GQP-1197-2022; Murad, M./AAW-4367-2020</t>
  </si>
  <si>
    <t>Sohel, Ferdous/0000-0003-1557-4907; Saposnik, Gustavo/0000-0002-5950-9886; Barkoudah, Ebrahim/0000-0001-8224-5121; Zand, Ramin/0000-0002-9477-0094</t>
  </si>
  <si>
    <t>10.1093/ehjdh/ztad073</t>
  </si>
  <si>
    <t>http://dx.doi.org/10.1093/ehjdh/ztad073</t>
  </si>
  <si>
    <t>38505491</t>
  </si>
  <si>
    <t>WOS:001186120700003</t>
  </si>
  <si>
    <t>Chew, B; Wong, VKF; Halawani, A; Lee, S; Baek, S; Kang, H; Koo, KC</t>
  </si>
  <si>
    <t>The correct diagnosis of uric acid (UA) stones has important clinical implications since patients with a high risk of perioperative morbidity may be spared surgical intervention and be offered alkalization therapy. We developed and validated a machine learning (ML)-based model to identify stones on computed tomography (CT) images and simultaneously classify UA stones from non-UA stones. An international, multicenter study was performed on 202 patients who received percutaneous nephrolithotomy for kidney stones with HU &lt; 800. Data from 156 (77.2%) patients were used for model development, while data from 46 (22.8%) patients from a multinational institution were used for external validation. A total of 21,074 kidney and stone contour-annotated CT images were trained with the ResNet-18 Mask R-convolutional neural network algorithm. Finally, this model was concatenated with demographic and clinical data as a fully connected layer for stone classification. Our model was 100% sensitive in detecting kidney stones in each patient, and the delineation of kidney and stone contours was precise within clinically acceptable ranges. The development model provided an accuracy of 99.9%, with 100.0% sensitivity and 98.9% specificity, in distinguishing UA from non-UA stones. On external validation, the model performed with an accuracy of 97.1%, with 89.4% sensitivity and 98.6% specificity. SHAP plots revealed stone density, diabetes mellitus, and urinary pH as the most important features for classification. Our ML-based model accurately identified and delineated kidney stones and classified UA stones from non-UA stones with the highest predictive accuracy reported to date. Our model can be reliably used to select candidates for an earlier-directed alkalization therapy.</t>
  </si>
  <si>
    <t>Chew, Ben H.; Wong, Victor K. F.; Halawani, Abdulghafour; Lee, Sujin; Baek, Sangyeop; Kang, Hoyong; Koo, Kyo Chul</t>
  </si>
  <si>
    <t>Koo, KC (corresponding author), Yonsei Univ, Coll Med, Dept Urol, 211 Eonju Ro, Seoul 06273, South Korea.</t>
  </si>
  <si>
    <t>gckoo@yuhs.ac; leesjin1219@gmail.com; victor.kf.wong@ubc.ca; tkdduq631@gmail.com; hykanginfinyx@gmail.com; ahhalawani@hotmail.com; ben.chew@ubc.ca</t>
  </si>
  <si>
    <t>This study was supported by a faculty research grant of Yonsei University College of Medicine (6-2022-0173). [6-2022-0173]; Yonsei University College of Medicine</t>
  </si>
  <si>
    <t>This study was supported by a faculty research grant of Yonsei University College of Medicine (6-2022-0173).; Yonsei University College of Medicine</t>
  </si>
  <si>
    <t>This study was supported by a faculty research grant of Yonsei University College of Medicine (6-2022-0173).</t>
  </si>
  <si>
    <t>[Chew, Ben H.; Wong, Victor K. F.] Univ British Columbia, Stone Ctr Vancouver Gen Hosp, Dept Urol Sci, Stone Ctr, Vancouver, BC, Canada; [Halawani, Abdulghafour] King Abdulaziz Univ, Dept Urol, Jeddah, Saudi Arabia; [Lee, Sujin; Baek, Sangyeop; Kang, Hoyong] Infinyx, AI Res team, Daegu, South Korea; [Koo, Kyo Chul] Yonsei Univ, Coll Med, Dept Urol, 211 Eonju Ro, Seoul 06273, South Korea</t>
  </si>
  <si>
    <t>University of British Columbia; King Abdulaziz University; Yonsei University; Yonsei University Health System</t>
  </si>
  <si>
    <t>Development and external validation of a machine learning-based model to classify uric acid stones in patients with kidney stones of Hounsfield units &lt; 800</t>
  </si>
  <si>
    <t>UROLITHIASIS</t>
  </si>
  <si>
    <t>Decision support techniques; Machine learning; Urolithiasis; Validation</t>
  </si>
  <si>
    <t>PREDICTION; GUIDELINES</t>
  </si>
  <si>
    <t>Chew, Ben/LZE-8313-2025; Halawani, Abdulghafour/JQV-4267-2023</t>
  </si>
  <si>
    <t>Halawani, Abdulghafour/0000-0002-2112-9562; Koo, Kyo Chul/0000-0001-7303-6256</t>
  </si>
  <si>
    <t>2194-7228</t>
  </si>
  <si>
    <t>2194-7236</t>
  </si>
  <si>
    <t>Urolithiasis</t>
  </si>
  <si>
    <t>SEP 30 2023</t>
  </si>
  <si>
    <t>10.1007/s00240-023-01490-y</t>
  </si>
  <si>
    <t>http://dx.doi.org/10.1007/s00240-023-01490-y</t>
  </si>
  <si>
    <t>T1GH1</t>
  </si>
  <si>
    <t>37776331</t>
  </si>
  <si>
    <t>WOS:001075534900001</t>
  </si>
  <si>
    <t>Umaru, A; Manan, HA; Kumar, RKA; Hamsan, SK; Tan, D; Yahya, N</t>
  </si>
  <si>
    <t>Background: Predicting recurrence after gamma knife radiosurgery (GKRS) is clinically important, as it informs salvage treatment and patient management. MRI-based radiomics combined with machine learning (ML) offers promise for predicting tumour recurrence in brain metastasis, yet most studies lack external validation, limiting clinical translation. This study developed and externally validated radiomics-based models for predicting recurrence in brain metastases treated with GKRS. Methods: The primary dataset comprised 103 metastases from our institution (23 recurrent) and 125 lesions from the Cancer Imaging Archive (TCIA; 20 recurrent) for external validation. IBSI-compliant radiomics features were extracted from contrast-enhanced T1-weighted MRI using 64-bin grey-level discretisation and mean relative ROI +/- 3 SD intensity rescaling, with and without LOG filtering. Feature selection combined correlation analysis and LASSO regression. Logistic regression classifiers were trained on 80% of the data and tested on 20%, followed by external validation. Five models were developed: MRI-only, LOG-filtered MRI, MRI + clinical, LOG-filtered MRI + clinical, and clinical + dosimetric. SHAP analysis was used for feature attribution, and methodological rigour was assessed using the Radiomics Quality Score (RQS). Results: The best-performing model (LOG-filtered MRI + clinical features) achieved 81 % accuracy and an AUC of 0.93 in internal testing, and 79 % accuracy with an AUC of 0.78 on external validation, demonstrating strong robustness and generalisability. Adding clinical features significantly improved performance compared with MRI-only models. SHAP analysis revealed that tumour shape complexity (Compactness2 [IBSI: BQWJ]) and voxel intensity heterogeneity (IntensityRange[IBSI: 2OJQ]) were strong predictors, while maximum dose, gender, and primary tumour site also contributed among the clinical factors. Conclusion: The MRI-based radiomics model integrating LOG-filtered MRI features with clinical variables achieved high external validation performance. Unlike many black-box models that prioritise accuracy with limited interpretability, this approach combines predictive strength with transparent feature attribution, enhancing biology interpretability and supporting clinical translation. Prospective multi-centre studies are warranted to confirm its clinical utility.</t>
  </si>
  <si>
    <t>Umaru, Abdulrahman; Manan, Hanani Abdul; Kumar, Ramesh Kumar Athi; Hamsan, Siti Khadijah; Tan, Daryl; Yahya, Noorazrul</t>
  </si>
  <si>
    <t>Yahya, N (corresponding author), Natl Univ Malaysia, Fac Hlth Sci, Diagnost Imaging &amp; Radiotherapy, CODTIS, Jalan Raja Muda Aziz, Kuala Lumpur 50300, Malaysia.</t>
  </si>
  <si>
    <t>azrulyahya@ukm.edu.my</t>
  </si>
  <si>
    <t>[Umaru, Abdulrahman; Tan, Daryl; Yahya, Noorazrul] Natl Univ Malaysia, Fac Hlth Sci, Diagnost Imaging &amp; Radiotherapy, CODTIS, Jalan Raja Muda Aziz, Kuala Lumpur 50300, Malaysia; [Umaru, Abdulrahman] Ahmadu Bello Univ, Dept Med Radiog, Zaria, Nigeria; [Manan, Hanani Abdul; Kumar, Ramesh Kumar Athi] Univ Kebangsaan Malaysia, Fac Med, Dept Radiol, Jalan Yaacob Latif, Kuala Lumpur, Malaysia; [Hamsan, Siti Khadijah] Univ Kebangsaan Malaysia, Gamma Knife Ctr, Fac Med, Kuala Lumpur, Malaysia; [Tan, Daryl] Univ Malaya, Photon Res Ctr, Kuala Lumpur 50603, Malaysia</t>
  </si>
  <si>
    <t>Universiti Kebangsaan Malaysia; Ahmadu Bello University; Universiti Kebangsaan Malaysia; Universiti Kebangsaan Malaysia; Universiti Malaya</t>
  </si>
  <si>
    <t>Development and external validation of an MRI radiomics-based machine learning model to predict tumour recurrence in brain metastases treated with Gamma Knife radiosurgery</t>
  </si>
  <si>
    <t>Brain metastases; Radiomics; Recurrence; Magnetic resonance imaging; External validation</t>
  </si>
  <si>
    <t>STEREOTACTIC RADIOTHERAPY; RESECTION</t>
  </si>
  <si>
    <t>Umaru, Abdulrahman/KXS-0649-2024; Yahya, Noorazrul/N-9436-2016</t>
  </si>
  <si>
    <t>Umaru, Abdulrahman/0000-0001-8730-5242; Yahya, Noorazrul/0000-0002-2736-6489</t>
  </si>
  <si>
    <t>111362</t>
  </si>
  <si>
    <t>10.1016/j.radonc.2025.111362</t>
  </si>
  <si>
    <t>http://dx.doi.org/10.1016/j.radonc.2025.111362</t>
  </si>
  <si>
    <t>AY5FX</t>
  </si>
  <si>
    <t>41455497</t>
  </si>
  <si>
    <t>WOS:001659795600001</t>
  </si>
  <si>
    <t>de Reus, DC; Kuijten, RH; Saha, P; Lastoria, DAA; Warr-Esser, A; Taylor, CFC; Groot, OQ; Lui, D; Verlaan, JJ; Tobert, DG</t>
  </si>
  <si>
    <t>BACKGROUND CONTEXT: A machine learning (ML) model was recently developed to predict massive intraoperative blood loss (&gt;2,500 mL) during posterior decompressive surgery for spinal metastasis that performed well on external validation within the same region in China. PURPOSE: We sought to externally validate this model across new geographic regions (North America and Europe) and patient cohorts. STUDY DESIGN: Multiinstitutional retrospective cohort study. PATIENT SAMPLE: We retrospectively included patients 18 years or older who underwent decompressive surgery for spinal metastasis across three institutions in the United States, the United Kingdom and the Netherlands between 2016 and 2022. Inclusion and exclusion criteria were consistent with the development study with additional inclusion of (1) patients undergoing palliative decompression without stabilization, (2) patients with multiple myeloma and lymphoma, and (3) patients who continued anticoagulants perioperatively. OUTCOME MEASURES: Model performance was assessed by comparing the incidence of massive intraoperative blood loss (&gt;2,500 mL) in our cohort to the predicted risk generated by the ML model. Blood loss was quantified in 7 ways (including the formula from the development study) as no gold standard exists, and the method in the development paper was not clearly defined. We estimated blood loss using the anesthesia report, and calculated it using transfusion data, and preoperative and postoperative hematocrit levels. METHODS: The following five input variables necessary for risk calculation by the ML model were manually collected: tumor type, smoking status, ECOG score, surgical process, and preoperative platelet count. Model performance was assessed on overall fit (Brier score), discriminatory ability (area under the curve (AUC)), calibration (intercept &amp; slope), and clinical utility (decision curve analysis)) for the total validation cohort, and for the North American and European cohorts separately. A subanalysis, excluding the additional included patient groups, assessed the predictive model's performance with the same inclusion and exclusion criteria as the development cohort. RESULTS: A total of 880 patients were included with a massive blood loss incidence ranging from 5.3% to 18% depending on the quantification method used. Using the most favorable quantification method, the predictive model overestimated risk in our total validation cohort and scored poorly on overall fit (Brier score: 0.278), discrimination (AUC: 0.631 [95%CI: 0.583, 0.680]), calibration, (intercept:-2.082, [95%CI:-2.285,-1.879]), slope: 0.283 [95%CI: 0.173, 0.393]), and clinical utility, with net harm observed in decision curve analysis from 20%. Similar poor performance results were observed in the subanalysis excluding the additional included patients (n=676) and when analyzing the North American (n=539) and European (n=341) cohorts separately. CONCLUSIONS: To our knowledge, this is the first published external validation of a predictive ML model within orthopedic surgery to demonstrate poor performance. This poor performance might be attributed to overfitting and sampling bias as the development cohort had an insufficient sample size, and distributional shift as our cohort had key differences in predictive variables used by the model. These findings emphasize the importance of extensive validation in different geographical areas and addressing biases and pitfalls of ML model development before clinical implementation, as untested models may do more harm than good. (c) 2025 The Author(s).Published by Elsevier Inc. This is an open access article under the CC BY license (http://creativecommons.org/licenses/by/4.0/)</t>
  </si>
  <si>
    <t>de Reus, Daniel C.; Kuijten, Rene Harmen; Saha, Priyanshu; Lastoria, Diego A. Abelleyra; Warr-Esser, Alienor; Taylor, Charles F. C.; Groot, Olivier Q.; Lui, Darren; Verlaan, Jorrit-Jan; Tobert, Daniel G.</t>
  </si>
  <si>
    <t>de Reus, DC (corresponding author), Harvard Med Sch, Massachusetts Gen Hosp, Dept Orthoped Surg, 55 Fruit St,Room 3-932,Yawkey Bldg, Boston, MA 02114 USA.; de Reus, DC (corresponding author), UMC Utrecht, Polikliniek Radiotherapie, Internal Postage Q-00-3-11,POB Box 85500, NL-3508 GA Utrecht, Netherlands.</t>
  </si>
  <si>
    <t>danieldereus@outlook.com</t>
  </si>
  <si>
    <t>[de Reus, Daniel C.; Tobert, Daniel G.] Harvard Med Sch, Massachusetts Gen Hosp, Dept Orthoped Surg, 55 Fruit St,Room 3-932,Yawkey Bldg, Boston, MA 02114 USA; [de Reus, Daniel C.; Kuijten, Rene Harmen; Verlaan, Jorrit-Jan] UMC Utrecht, Univ Med Ctr Utrecht, Dept Radiat Oncol, Polikliniek Radiotherapie, POB 85500, NL-3508 GA Utrecht, Netherlands; [Saha, Priyanshu; Lastoria, Diego A. Abelleyra; Warr-Esser, Alienor; Taylor, Charles F. C.; Lui, Darren] St Georges Univ Hosp NHS Fdn Trust, St Georges Hosp, Dept Orthoped Surg, Dept Spinal Surg, Atkinson Morley Wing,Blackshaw Rd, London SW17 0QT, England; [Groot, Olivier Q.] UMC Utrecht, Univ Med Ctr Utrecht, Dept Orthopaed, Polikliniek Orthopedie, Box 85500, NL-3508 GA Utrecht, Netherlands; [de Reus, Daniel C.] UMC Utrecht, Polikliniek Radiotherapie, Internal Postage Q-00-3-11,POB Box 85500, NL-3508 GA Utrecht, Netherlands</t>
  </si>
  <si>
    <t>Massachusetts General Hospital; Harvard University; Harvard Medical School; Harvard University Medical Affiliates; Massachusetts General Hospital; Utrecht University; Utrecht University Medical Center; City St Georges, University of London; Utrecht University; Utrecht University Medical Center; Utrecht University; Utrecht University Medical Center</t>
  </si>
  <si>
    <t>External validation of a machine learning prediction model for massive blood loss during surgery for spinal metastases: a multi-institutional study using 880 patients</t>
  </si>
  <si>
    <t>External validation; Machine learning; Massive intraoperative blood loss; Prediction model; Spinal metastasis; Surgery</t>
  </si>
  <si>
    <t>ARTIFICIAL-INTELLIGENCE; RISK</t>
  </si>
  <si>
    <t>Tobert, Daniel/T-5654-2019; Taylor, Charles/HRD-1425-2023</t>
  </si>
  <si>
    <t>Abelleyra Lastoria, Diego/0000-0002-1901-8214; de Reus, Daniël/0009-0003-7776-0454; Kuijten, Harmen/0000-0003-2037-8986</t>
  </si>
  <si>
    <t>1386</t>
  </si>
  <si>
    <t>1399</t>
  </si>
  <si>
    <t>10.1016/j.spinee.2025.03.018</t>
  </si>
  <si>
    <t>http://dx.doi.org/10.1016/j.spinee.2025.03.018</t>
  </si>
  <si>
    <t>4EM1J</t>
  </si>
  <si>
    <t>40157430</t>
  </si>
  <si>
    <t>WOS:001516090500007</t>
  </si>
  <si>
    <t>Cruz-Parada, E; Vivar-Estudillo, G; Mayoral, LPC; Hernández-Huerta, MT; Pérez-Santiago, AD; Romero-Diaz, C; Mayoral, EPC; Montalvo, IAG; Martínez-Martínez, L; Martínez-Ruiz, H; Matadamas, I; Avendaño-Villegas, ME; Cruz, MM; Cabrera-Fuentes, HA; Pérez-Ramos, AE; Pérez-Campos, EL; Lastre-Domínguez, CM</t>
  </si>
  <si>
    <t>Highlights What are the main findings? Extraction and selection of features from 67 symptoms using binary coding. Model of classification for arboviral diseases using different methods based on machine learning and deep learning. What are the implications of the main findings? Conducts rigorous statistical analysis of data to identify symptoms more prevalent for different arboviral diseases using Odds Ratio and Chi-square. Performance evaluation using metrics such as F1-score, accuracy, precision, sensitivity, specificity, AUC-ROC, and Cohen's kappa.Highlights What are the main findings? Extraction and selection of features from 67 symptoms using binary coding. Model of classification for arboviral diseases using different methods based on machine learning and deep learning. What are the implications of the main findings? Conducts rigorous statistical analysis of data to identify symptoms more prevalent for different arboviral diseases using Odds Ratio and Chi-square. Performance evaluation using metrics such as F1-score, accuracy, precision, sensitivity, specificity, AUC-ROC, and Cohen's kappa.Abstract Background/Objectives: Arboviral diseases share common vectors, geographic distribution, and symptoms. Developing Machine Learning diagnostic tools for co-circulating arboviral diseases faces data-scarcity challenges. This study aimed to demonstrate that proof of concept using synthetic data can establish computational feasibility and guide future real-world validation efforts. Methods: We assembled a synthetic dataset of 28,000 records, with 7000 for each disease-Dengue, Zika, and Chikungunya-plus Influenza as a negative control. These records were obtained from the existing literature. A binary matrix with 67 symptoms was created for detailed statistical analysis using Odds Ratios, Chi-Square, and symptom-specific conditional prevalence to validate the clinical relevance of the simulated data. This dataset was used to train and evaluate various algorithms, including Multi-Layer Perceptron (MLP), Narrow Neural Network (NN), Quadratic Support Vector Machine (QSVM), and Bagged Tree (BT), employing multiple performance metrics: accuracy, precision, sensitivity, specificity, F1-score, AUC-ROC, and Cohen's kappa coefficient. Results: The dataset aligns with the PAHO guidelines. Similar findings are observed in other arboviral databases, confirming the validity of the synthetic dataset. A notable performance across all evaluated metrics was observed. The NN model achieved an overall accuracy of 0.92 and an AUC above 0.98, with precision, sensitivity, and specificity values exceeding 0.85, and an average Uniform Cohen's Kappa of 0.89, highlighting its ability to reliably distinguish between Dengue and Influenza, with a slight decrease between Zika and Chikungunya. Conclusions: These models could accelerate early diagnosis of arboviral diseases by leveraging encoded symptom features for Machine Learning and Deep Learning approaches, serving as a support tool in regions with limited healthcare access without replacing clinical medical expertise.</t>
  </si>
  <si>
    <t>Cruz-Parada, Eli; Vivar-Estudillo, Guillermina; Perez-Campos Mayoral, Laura; Hernandez-Huerta, Maria Teresa; Perez-Santiago, Alma Dolores; Romero-Diaz, Carlos; Perez-Campos Mayoral, Eduardo; Montalvo, Ivan A. Garcia; Martinez-Martinez, Lucia; Martinez-Ruiz, Hector; Matadamas, Idarh; Avendano-Villegas, Miriam Emily; Martinez Cruz, Margarito; Cabrera-Fuentes, Hector Alejandro; Perez-Ramos, Aldo-Eleazar; Perez-Campos, Eduardo Lorenzo; Lastre-Dominguez, Carlos Mauricio</t>
  </si>
  <si>
    <t>Pérez-Campos, EL; Lastre-Domínguez, CM (corresponding author), Tecnol Nacl Mexico, Inst Tecnol Oaxaca, Div Estudios Posgrad &amp; Invest, Oaxaca De Juarez 68030, Mexico.</t>
  </si>
  <si>
    <t>gvivar.cat@uabjo.mx; hmartinez.fmc@uabjo.mx; eli.cruz.parada@gmail.com; mthernandez@secihti.mx; ivan.garcia@itoaxaca.edu.mx; e_mily_3@hotmail.com; carlos.lastre@itoaxaca.edu.mx; idarhmatadamas@gmail.com; hafuentes@iau.edu.sa; carlos.rom.74he@gmail.com; pcampos@itoaxaca.edu.mx; dr.aldo@itoaxaca.edu.mx; eperezcampos.fmc@uabjo.mx; lumartin1969@yahoo.com.mx; martinezcu9@hotmail.com; lperezcampos.fmc@uabjo.mx; aperez_santiago@hotmail.com</t>
  </si>
  <si>
    <t>National Technological Institute of Mexico [23623.25-P]</t>
  </si>
  <si>
    <t>National Technological Institute of Mexico</t>
  </si>
  <si>
    <t>This research received no external funding. The work was supported by internal institutional resources from the National Technological Institute of Mexico (Grant No. 23623.25-P).</t>
  </si>
  <si>
    <t>[Cruz-Parada, Eli; Perez-Santiago, Alma Dolores; Romero-Diaz, Carlos; Montalvo, Ivan A. Garcia; Matadamas, Idarh; Avendano-Villegas, Miriam Emily; Martinez Cruz, Margarito; Perez-Ramos, Aldo-Eleazar; Perez-Campos, Eduardo Lorenzo; Lastre-Dominguez, Carlos Mauricio] Tecnol Nacl Mexico, Inst Tecnol Oaxaca, Div Estudios Posgrad &amp; Invest, Oaxaca De Juarez 68030, Mexico; [Vivar-Estudillo, Guillermina] Univ Autonoma Benito Juarez Oaxaca, Fac Sistemas Biol &amp; Innovac Tecnol, Oaxaca De Juarez 68120, Mexico; [Perez-Campos Mayoral, Laura; Perez-Campos Mayoral, Eduardo; Martinez-Martinez, Lucia; Martinez-Ruiz, Hector; Cabrera-Fuentes, Hector Alejandro] Univ Autonoma Benito Juarez Oaxaca, Fac Med &amp; Cirugia, Ctr Invest, Fac Med,UNAM, Oaxaca De Juarez 68020, Mexico; [Hernandez-Huerta, Maria Teresa] Univ Autonoma Benito Juarez Oaxaca, Fac Med &amp; Cirugia, Secretaria Ciencia Human Tecnol Innovac SECIHTI, Oaxaca De Juarez 68020, Mexico; [Cabrera-Fuentes, Hector Alejandro] Imam Abdulrahman Bin Faisal Univ IAU, R&amp;D Grp, Vice Presidency Sci Res &amp; Innovat, POB 1982, Dammam, Saudi Arabia; [Cabrera-Fuentes, Hector Alejandro] Tecnol Nacl Mexico, Inst Tecnol Tijuana, Div Estudios Posgrad Invest, Tijuana 22414, Mexico</t>
  </si>
  <si>
    <t>Universidad Autonoma Benito Juarez de Oaxaca; Universidad Autonoma Benito Juarez de Oaxaca; Universidad Autonoma Benito Juarez de Oaxaca; Imam Abdulrahman Bin Faisal University</t>
  </si>
  <si>
    <t>Proof-of-Concept Machine Learning Framework for Arboviral Disease Classification Using Literature-Derived Synthetic Data: Methodological Development Preceding Clinical Validation</t>
  </si>
  <si>
    <t>HEALTHCARE</t>
  </si>
  <si>
    <t>arboviral disease; machine learning; classification; statistical analysis; Dengue; Zika; Chikungunya</t>
  </si>
  <si>
    <t>ZIKA VIRUS-INFECTION; DENGUE INFECTION; PUERTO-RICO; HOSPITALIZED-PATIENTS; LABORATORY FEATURES; WEIGHTED KAPPA; TIME-SERIES; CHIKUNGUNYA; OUTBREAK; PROFILE</t>
  </si>
  <si>
    <t>Perez-Campos Mayoral, Laura/G-2014-2018; HERNANDEZ, MARIA/NRY-8504-2025; Cabrera-Fuentes, Hector Alejandro/R-9344-2016; GARCIA MONTALVO, IVAN/O-9856-2019; Perez-Campos, Eduardo/AAH-1263-2019</t>
  </si>
  <si>
    <t>Perez-Campos Mayoral, Laura/0000-0003-4140-4661; Lastre Dominguez, Carlos Mauricio/0000-0003-2737-7644; Vivar Estudillo, Guillermina/0009-0008-4154-3294; Cabrera-Fuentes, Hector Alejandro/0000-0002-8502-7098; GARCIA MONTALVO, IVAN/0000-0003-4993-9249</t>
  </si>
  <si>
    <t>2227-9032</t>
  </si>
  <si>
    <t>HEALTHCARE-BASEL</t>
  </si>
  <si>
    <t>Healthcare</t>
  </si>
  <si>
    <t>JAN 19 2026</t>
  </si>
  <si>
    <t>247</t>
  </si>
  <si>
    <t>10.3390/healthcare14020247</t>
  </si>
  <si>
    <t>http://dx.doi.org/10.3390/healthcare14020247</t>
  </si>
  <si>
    <t>Health Care Sciences &amp; Services; Health Policy &amp; Services</t>
  </si>
  <si>
    <t>CO3FF</t>
  </si>
  <si>
    <t>41595383</t>
  </si>
  <si>
    <t>WOS:001670537300001</t>
  </si>
  <si>
    <t>Chen, LX; Wu, HL; Ren, RY; Zhang, YY; Zhu, ZW; Chen, X; Wang, LC; Gan, X; Kang, H; Pu, HX; Xiong, W</t>
  </si>
  <si>
    <t>Osteosarcoma represents the most prevalent primary malignant bone tumor in adolescents and young adults, with limited improvement in survival outcomes observed over recent decades. The development of personalized therapies remains challenging due to substantial molecular heterogeneity and the absence of robust prognostic models. In this study, we developed a machine learning-based consensus prognostic signature (MLPS) by integrating multi-cohort transcriptomic datasets and applying ten distinct machine learning algorithms. The resulting MLPS, comprising 11 prognostic genes, reliably stratified patients into high- and low-risk groups with significantly different survival outcomes and outperformed existing models (C-index = 0.862). The application of functional enrichment analyses revealed immune activation and inflammatory signaling in the low-risk group, consistent with a "hot tumor" phenotype. In contrast, the high-risk group exhibited upregulation of proliferative oncogenic pathways. Of particular significance is the observation that MLPS was able to suggest differential responses to chemotherapy and immunotherapy, thereby under-scoring its clinical utility. Single-cell analysis revealed that LGR4 expression is largely confined to malignant cell clusters. In vitro LGR4 knockdown significantly reduced osteosarcoma cell proliferation, migration, and PI3K-AKT-mTOR pathway activity, confirming its oncogenic role. These findings demonstrate the value of MLPS as a robust tool for prognostic assessment and individualized therapeutic decision-making in osteosarcoma.</t>
  </si>
  <si>
    <t>Chen, Liangxi; Wu, Hanling; Ren, Ranyue; Zhang, Yayun; Zhu, Ziwei; Chen, Xin; Wang, Lice; Gan, Xin; Kang, Hao; Pu, Hongxu; Xiong, Wei</t>
  </si>
  <si>
    <t>Pu, HX; Xiong, W (corresponding author), Huazhong Univ Sci &amp; Technol, Tongji Hosp, Tongji Med Coll, Dept Orthoped Surg, 1095 Jiefang Ave, Wuhan 430030, Hubei, Peoples R China.</t>
  </si>
  <si>
    <t>Hongxu_Pu@hust.edu.cn; xcxgreatwellus@hotmail.com</t>
  </si>
  <si>
    <t>National Natural Science Foundation of China [82072405, 81571816, 82302668]</t>
  </si>
  <si>
    <t>This work was supported by National Natural Science Foundation of China (No. 82072405, No. 81571816 and No. 82302668) .</t>
  </si>
  <si>
    <t>[Chen, Liangxi; Wu, Hanling; Ren, Ranyue; Zhu, Ziwei; Chen, Xin; Wang, Lice; Gan, Xin; Kang, Hao; Pu, Hongxu; Xiong, Wei] Huazhong Univ Sci &amp; Technol, Tongji Hosp, Tongji Med Coll, Dept Orthoped Surg, 1095 Jiefang Ave, Wuhan 430030, Hubei, Peoples R China; [Zhang, Yayun] Huazhong Univ Sci &amp; Technol, Tongji Med Coll, Trauma Ctr, Dept Emergency &amp; Traumat Surg,Tongji Hosp, 1095 Jiefang Ave, Wuhan 430030, Hubei, Peoples R China</t>
  </si>
  <si>
    <t>Huazhong University of Science &amp; Technology; Huazhong University of Science &amp; Technology</t>
  </si>
  <si>
    <t>Construction and clinical validation of a machine-learning-based consensus prognostic signature (MLPS) for osteosarcoma via multi-cohort data integration</t>
  </si>
  <si>
    <t>INTERNATIONAL IMMUNOPHARMACOLOGY</t>
  </si>
  <si>
    <t>Osteosarcoma; Machine learning; Tumor immune microenvironment; Tumor immune microenvironment</t>
  </si>
  <si>
    <t>APOPTOSIS; BIOLOGY</t>
  </si>
  <si>
    <t>GAN, XIN/GQQ-5034-2022</t>
  </si>
  <si>
    <t>1567-5769</t>
  </si>
  <si>
    <t>1878-1705</t>
  </si>
  <si>
    <t>INT IMMUNOPHARMACOL</t>
  </si>
  <si>
    <t>Int. Immunopharmacol.</t>
  </si>
  <si>
    <t>JAN 1 2026</t>
  </si>
  <si>
    <t>115831</t>
  </si>
  <si>
    <t>10.1016/j.intimp.2025.115831</t>
  </si>
  <si>
    <t>http://dx.doi.org/10.1016/j.intimp.2025.115831</t>
  </si>
  <si>
    <t>Immunology; Pharmacology &amp; Pharmacy</t>
  </si>
  <si>
    <t>A0618</t>
  </si>
  <si>
    <t>41223608</t>
  </si>
  <si>
    <t>WOS:001619143300001</t>
  </si>
  <si>
    <t>Shade, JK; Lakshminarayanan, P; Hoban, P; Bowers, M; Gorman, K; Reshid, SM; Lilieholm, T; Velten, C; Kapoor, S; Smith, T; Murray, D; Tomé, WA; Quon, H; Song, DY; McNutt, T</t>
  </si>
  <si>
    <t>Purpose: To develop and validate a protocol-agnostic machine learning platform ("Predictive Planning") for knowledge-based planning (KBP) in external beam radiation therapy. Methods and Materials: Five thousand three hundred thirty-four retrospective photon beam treatment plans (1145 Head and Neck [H&amp;N], 1623 Thoracic, 781 Abdominal, 1785 Pelvis) from 2 institutions were used to develop and internally test general-purpose models for organ at risk (OAR) dose-volume histogram prediction. Models were deployed in a commercial system (Plan AI, Sun Nuclear Corporation), and 72 retrospective clinical plans (18 H&amp;N, 20 Thoracic, 17 Abdominal, 17 Pelvis) were replanned using treatment planning system optimization objectives predicted by the models ("Predictive Plans"; PPs), without objective value changes. Dose metrics were compared for 25, 11, 8, and 7 OARs for H&amp;N, Thoracic, Abdominal, and Pelvis plans, respectively, and for planning target volumes. Results: In the plan comparison study, there were no OAR dose metrics for which PPs were statistically significantly greater than clinical plans. For H&amp;N, PP mean dose (Gy) was significantly lower for Brain (5.8 vs 7.3, P = .0003), Brainstem (9.6 vs 13.8, P &lt; .0001), Glottis (26.9 vs 31.9, P = .0017), OpticChiasm (7.3 vs 12.2, P &lt; .0001), Parotid_L/R (19.0/20.8 vs 22.3/25.7, P &lt; .0001/&lt;.0001) and SpinalCord (10.1 vs 15.7, P &lt; .0001). For Abdominal, PP mean dose was significantly lower for Heart (2.2 vs 3.4, P = .0039), Kidney_R (6.2 vs 8.6, P = .002), SpinalCanal (4.8 vs 6.7, P = .0004), and Stomach (9.1 vs 10.9, P = .002). For Pelvis, PP mean dose was significantly lower for Bladder (30.7 vs 33.7, P &lt; .0001), Femur_Head_L/R (13.8/13.9 vs 17.0/16.5, P = .0026/.0046), PenileBulb (15.8 vs 21.9, P = .0039), and Rectum (28.1 vs 34.2, P = .0002). Mean planning target volume coverage was significantly higher for H&amp;N and Thoracic, and equivalent for Abdominal and Pelvis. Conclusions: Predictive planning represents a shift in KBP from protocol-specific models trained with small, uniform data sets to protocol-agnostic, disease-site-specific models trained with large, heterogeneous data sets. Plans generated using optimization objectives predicted by the models had equivalent or superior dosimetric outcomes. (c) 2026 The Authors. Published by Elsevier Inc. on behalf of American Society for Radiation Oncology. This is an open access article under the CC BY-NC-ND license (http://creativecommons.org/licenses/by-nc-nd/4.0/).</t>
  </si>
  <si>
    <t>Shade, Julie K.; Lakshminarayanan, Pranav; Hoban, Peter; Bowers, Michael; Gorman, Kevin; Reshid, Saida Muktar; Lilieholm, Thomas; Velten, Christian; Kapoor, Siddharth; Smith, Tyler; Murray, David; Tome, Wolfgang A.; Quon, Harry; Song, Daniel Y.; McNutt, Todd</t>
  </si>
  <si>
    <t>Shade, JK (corresponding author), Oncospace Inc, Baltimore, MD 21205 USA.</t>
  </si>
  <si>
    <t>jshade@mirion.com</t>
  </si>
  <si>
    <t>NCI [75N91019C00044]; NSF SBIR phase 1 grant [1913081]; NSF SBIR phase 2 grant [2035750]; NCI SBIR phase 1 contract [75N91023C00026]</t>
  </si>
  <si>
    <t>NCI (United States Department of Health &amp; Human Services, National Institutes of Health (NIH) - USA, NIH National Cancer Institute (NCI)); NSF SBIR phase 1 grant; NSF SBIR phase 2 grant; NCI SBIR phase 1 contract (United States Department of Health &amp; Human Services, National Institutes of Health (NIH) - USA, NIH National Cancer Institute (NCI))</t>
  </si>
  <si>
    <t>This work was partially funded by NCI phase 1 grant No. 75N91019C00044, NSF SBIR phase 1 grant #1913081, NSF SBIR phase 2 grant #2035750, and NCI SBIR phase 1 contract #75N91023C00026.</t>
  </si>
  <si>
    <t>[Shade, Julie K.; Lakshminarayanan, Pranav; Hoban, Peter; Bowers, Michael; Gorman, Kevin; Reshid, Saida Muktar; Lilieholm, Thomas; Kapoor, Siddharth; Smith, Tyler; Murray, David] Oncospace Inc, Baltimore, MD 21205 USA; [Velten, Christian; Tome, Wolfgang A.] Montefiore Einstein Comprehens Canc Ctr, Dept Radiat Oncol, Bronx, NY USA; [Tome, Wolfgang A.] Albert Einstein Coll Med, Dept Radiat Oncol, Bronx, NY USA; [Quon, Harry; Song, Daniel Y.; McNutt, Todd] Johns Hopkins Univ &amp; Med, Dept Radiat Oncol, Baltimore, MD USA</t>
  </si>
  <si>
    <t>Yeshiva University; Montefiore Medical Center; Albert Einstein College of Medicine; Johns Hopkins University</t>
  </si>
  <si>
    <t>Development and Clinical Validation of a Protocol-Agnostic Machine Learning Platform for Automated Treatment Planning in External Beam Radiation Therapy</t>
  </si>
  <si>
    <t>ADVANCES IN RADIATION ONCOLOGY</t>
  </si>
  <si>
    <t>AT-RISK; QUALITY; HEAD</t>
  </si>
  <si>
    <t>Velten, Christian/MXL-8192-2025; Tom, Wolfgang/P-5443-2016</t>
  </si>
  <si>
    <t>ELSEVIER INC</t>
  </si>
  <si>
    <t>SAN DIEGO</t>
  </si>
  <si>
    <t>525 B STREET, STE 1900, SAN DIEGO, CA 92101-4495 USA</t>
  </si>
  <si>
    <t>2452-1094</t>
  </si>
  <si>
    <t>ADV RADIAT ONCOL</t>
  </si>
  <si>
    <t>Adv. Radiat. Oncol.</t>
  </si>
  <si>
    <t>102036</t>
  </si>
  <si>
    <t>10.1016/j.adro.2026.102036</t>
  </si>
  <si>
    <t>http://dx.doi.org/10.1016/j.adro.2026.102036</t>
  </si>
  <si>
    <t>KK6XB</t>
  </si>
  <si>
    <t>42382856</t>
  </si>
  <si>
    <t>WOS:001809238600001</t>
  </si>
  <si>
    <t>Zuromski, LM; Durtschi, J; Aziz, A; Chumley, J; Dewey, M; English, P; Morrison, M; Simmon, K; Whipple, B; O'Fallon, B; Ng, DP</t>
  </si>
  <si>
    <t>Machine-learning (ML) models in flow cytometry have the potential to reduce error rates, increase reproducibility, and boost the efficiency of clinical labs. While numerous ML models for flow cytometry data have been proposed, few studies have described the clinical deployment of such models. Realizing the potential gains of ML models in clinical labs requires not only an accurate model but also infrastructure for automated inference, error detection, analytics and monitoring, and structured data extraction. Here, we describe an ML model for the detection of Acute Myeloid Leukemia (AML), along with the infrastructure supporting clinical implementation. Our infrastructure leverages the resilience and scalability of the cloud for model inference, a Kubernetes-based workflow system that provides model reproducibility and resource management, and a system for extracting structured diagnoses from full-text reports. We also describe our model monitoring and visualization platform, an essential element for ensuring continued model accuracy. Finally, we present a post-deployment analysis of impacts on turn-around time and compare production accuracy to the original validation statistics.</t>
  </si>
  <si>
    <t>Zuromski, Lauren M.; Durtschi, Jacob; Aziz, Aimal; Chumley, Jeffrey; Dewey, Mark; English, Paul; Morrison, Muir; Simmon, Keith; Whipple, Blaine; O'Fallon, Brendan; Ng, David P.</t>
  </si>
  <si>
    <t>Ng, DP (corresponding author), ARUP Labs, Inst Res &amp; Innovat, Dept Appl Artificial Intelligence &amp; Bioinformat, Salt Lake City, UT 84108 USA.</t>
  </si>
  <si>
    <t>david.ng@aruplab.com</t>
  </si>
  <si>
    <t>[Zuromski, Lauren M.; Durtschi, Jacob; Dewey, Mark; English, Paul; Morrison, Muir; O'Fallon, Brendan; Ng, David P.] ARUP Labs, Inst Res &amp; Innovat, Dept Appl Artificial Intelligence &amp; Bioinformat, Salt Lake City, UT 84108 USA; [Aziz, Aimal; Chumley, Jeffrey; Whipple, Blaine; Ng, David P.] ARUP Labs, Hematol Flow Cytometry, Salt Lake City, UT USA; [Simmon, Keith] ARUP Labs, Inst Clin &amp; Expt Pathol, Salt Lake City, UT USA; [Simmon, Keith; O'Fallon, Brendan; Ng, David P.] Univ Utah, Dept Pathol, Salt Lake City, UT USA</t>
  </si>
  <si>
    <t>Utah System of Higher Education; University of Utah; ARUP Laboratories; Utah System of Higher Education; University of Utah; ARUP Laboratories; Utah System of Higher Education; University of Utah; ARUP Laboratories; Utah System of Higher Education; University of Utah</t>
  </si>
  <si>
    <t>Clinical validation of a real-time machine learning-based system for the detection of acute myeloid leukemia by flow cytometry</t>
  </si>
  <si>
    <t>CYTOMETRY PART B-CLINICAL CYTOMETRY</t>
  </si>
  <si>
    <t>AML; efficiency; flow cytometry; laboratory improvement</t>
  </si>
  <si>
    <t>CLASSIFICATION; DIAGNOSIS</t>
  </si>
  <si>
    <t>Ng, David/QDO-1747-2026</t>
  </si>
  <si>
    <t>English, Paul/0000-0002-8728-1225</t>
  </si>
  <si>
    <t>1552-4949</t>
  </si>
  <si>
    <t>1552-4957</t>
  </si>
  <si>
    <t>CYTOM PART B-CLIN CY</t>
  </si>
  <si>
    <t>Cytom. Part B-Clin. Cytom.</t>
  </si>
  <si>
    <t>392</t>
  </si>
  <si>
    <t>403</t>
  </si>
  <si>
    <t>10.1002/cyto.b.22229</t>
  </si>
  <si>
    <t>http://dx.doi.org/10.1002/cyto.b.22229</t>
  </si>
  <si>
    <t>Medical Laboratory Technology; Pathology</t>
  </si>
  <si>
    <t>8FY7Q</t>
  </si>
  <si>
    <t>40016870</t>
  </si>
  <si>
    <t>WOS:001434384700001</t>
  </si>
  <si>
    <t>Li, QJ; Chen, GL; Li, Q</t>
  </si>
  <si>
    <t>BackgroundThis study proposes a multi-task learning (MTL) model to predict the need for blood transfusion in patients with acute upper gastrointestinal bleeding (AUGIB), as well as to estimate the appropriate type and volume of transfusion. The proposed model demonstrates improved predictive performance over existing scoring systems and aims to support clinical decision-making in transfusion management.MethodsClinical data were retrospectively collected from 1256 emergency patients with AUGIB admitted to the First Hospital of Shanxi Medical University from January 1, 2022, to December 31, 2023. An external validation cohort (n = 209) was sourced from Fenyang Hospital, Shanxi Province, using identical inclusion criteria. The MTL model integrates oversampling techniques and distribution correction to address data imbalance. A soft-voting ensemble of CatBoost and XGBoost classifiers was used for the classification task, while a stacked regressor combining random forest and XGBoost was employed for the regression task. Model performance was further optimized through a dynamically weighted loss function.ResultsIn the classification task, the model achieved an area under the curve (AUC) of 0.965, representing a 20.5% improvement over the traditional Glasgow-Blatchford Score (GBS). In the regression task, the two-stage stacked regressor (TSR) outperformed other machine learning models in predicting transfusion type and volume , significantly reducing the prediction error of transfusion volume. Compared to random forest (RF), XGBoost, multilayer perceptron (MLP), and backpropagation neural network (BP), the model reduced the overall loss by 9.9%, 21.0%, 38.3%, and 10.0%, respectively, validating the advantages of hierarchical feature selection and dynamic task-weighting. In the external validation set, the model exhibited favorable generalization performance with an AUC of 0.860, and showed good performance in infusion volume prediction error and weighted lossConclusionsThis study presents a robust and interpretable multi-task learning model for transfusion decision-making in AUGIB. By jointly optimizing classification and regression tasks through hierarchical feature selection and dynamic loss allocation, the model supports precision transfusion strategies and holds strong potential for broader application in emergency and critical care settings.</t>
  </si>
  <si>
    <t>Li, Qiongjie; Chen, Guolin; Li, Qun</t>
  </si>
  <si>
    <t>Li, Q (corresponding author), Zhejiang Univ Finance &amp; Econ, Sch Data Sci, Hangzhou, Peoples R China.</t>
  </si>
  <si>
    <t>361484062@qq.com; liq21@zufe.edu.cn; cgl424@zufe.edu.cn</t>
  </si>
  <si>
    <t>Zhejiang Provincial Natural Science Foundation of China [ZCLQN25A0102]; First Class Discipline of Zhejiang-A (Zhejiang University of Finance and Economics-Statistics), Zhejiang University of Finance and Economics graduate research project [24XJKT075]; Fund Project of Shanxi Medical University First Hospital [YQ2213]</t>
  </si>
  <si>
    <t>Zhejiang Provincial Natural Science Foundation of China (Natural Science Foundation of Zhejiang Province); First Class Discipline of Zhejiang-A (Zhejiang University of Finance and Economics-Statistics), Zhejiang University of Finance and Economics graduate research project; Fund Project of Shanxi Medical University First Hospital</t>
  </si>
  <si>
    <t>This work was supported by Zhejiang Provincial Natural Science Foundation of China (No. ZCLQN25A0102), the First Class Discipline of Zhejiang-A (Zhejiang University of Finance and Economics-Statistics), Zhejiang University of Finance and Economics graduate research project (No. 24XJKT075), and Fund Project of Shanxi Medical University First Hospital (No. YQ2213).</t>
  </si>
  <si>
    <t>[Li, Qiongjie] Shanxi Med Univ, Hosp 1, Dept Infect Dis, Taiyuan, Peoples R China; [Chen, Guolin; Li, Qun] Zhejiang Univ Finance &amp; Econ, Sch Data Sci, Hangzhou, Peoples R China</t>
  </si>
  <si>
    <t>Shanxi Medical University; Zhejiang University of Finance &amp; Economics</t>
  </si>
  <si>
    <t>Multi-task machine learning for transfusion decision support in acute upper gastrointestinal bleeding: a novel ensemble approach with clinical validation</t>
  </si>
  <si>
    <t>Gastrointestinal bleeding; Multi-task machine learning; Transfusion decision; Ensemble learning</t>
  </si>
  <si>
    <t>PATIENT BLOOD MANAGEMENT; HEMORRHAGE; GUIDELINE</t>
  </si>
  <si>
    <t>Chen, Long/H-4268-2019</t>
  </si>
  <si>
    <t>SEP 2 2025</t>
  </si>
  <si>
    <t>979</t>
  </si>
  <si>
    <t>10.1186/s12967-025-06995-1</t>
  </si>
  <si>
    <t>http://dx.doi.org/10.1186/s12967-025-06995-1</t>
  </si>
  <si>
    <t>6US5T</t>
  </si>
  <si>
    <t>40898295</t>
  </si>
  <si>
    <t>WOS:001562479200013</t>
  </si>
  <si>
    <t>Zhang, HP; Ren, JP; Li, XM; Ma, YX; Li, LJ; Shao, C; Fang, KC; Lu, J; Yan, HP; Liu, YM; Wang, J</t>
  </si>
  <si>
    <t>Accurate staging of liver fibrosis in autoimmune hepatitis (AIH) remains challenging due to the invasive nature and sampling limitations of liver biopsy. This study aimed to identify readily available predictors of severe fibrosis and to develop an AIH-specific noninvasive machine-learning model. This two-stage study retrospectively enrolled 208 patients with biopsy-confirmed AIH, with prospective validation in 26 additional patients. Transient elastography (TE) was performed in 110 retrospective and 12 prospective patients. Severe fibrosis was defined as Scheuer stages S3 to S4. Candidate variables underwent univariable and multivariable logistic regression with collinearity control. A random forest (RF) model was trained on the independent predictors and evaluated by the area under the receiver operating characteristic curve (AUROC), calibration, and decision curve analysis. Shapley Additive exPlanations were used for interpretability. Inflammatory activity was graded by Scheuer and prespecified for subgroup analyses (G0-G2 vs G3-G4). A TE-inclusive RF model was also developed in the TE subgroup. The globulin-to-platelet index, international normalized ratio, and blood urea nitrogen were identified as independent predictors of severe fibrosis in AIH. The RF model based on these variables yielded AUROCs of 0.863 (95% confidence interval [CI], 0.802-0.917) in the training set, 0.747 (95% CI, 0.602-0.863) in the test set, and 0.784 (95% CI, 0.556-0.959) in the prospective cohort. Stratified by inflammatory grade, AUROCs were 0.842 (95% CI, 0.757-0.914) in G0-G2 and 0.814 (95% CI, 0.726-0.886) in G3-G4. In contrast, the aspartate aminotransferase-to-platelet ratio index and fibrosis-4 index performed poorly overall and deteriorated further under moderate-to-severe inflammation. In the TE subgroup, the RF model outperformed TE alone (AUROC, 0.786 vs 0.682), and performance improved further when TE was integrated (AUROC, 0.898 [95% CI, 0.841-0.949]). Globulin-to-platelet index, international normalized ratio, and blood urea nitrogen were independent predictors of severe fibrosis in AIH. An RF model constructed from these markers provided a robust, noninvasive tool whose performance was preserved across inflammatory grades and was further enhanced by incorporating TE.</t>
  </si>
  <si>
    <t>Zhang, Haiping; Ren, Jianping; Li, Xinming; Ma, Yinxue; Li, Lijuan; Shao, Chen; Fang, Kechi; Lu, Jie; Yan, Huiping; Liu, Yanmin; Wang, Jing</t>
  </si>
  <si>
    <t>Yan, HP (corresponding author), Capital Med Univ, Clin Lab Ctr, Beijing 100069, Peoples R China.; Yan, HP (corresponding author), Capital Med Univ, Beijing Youan Hosp, Clin Res Ctr Autoimmune Liver Dis, Beijing 100069, Peoples R China.</t>
  </si>
  <si>
    <t>clover-379@163.com; 13691246715@163.com; may_mdm@sina.com; wangjing@psych.ac.cn; shaochen83@126.com; yhp503@126.com; yanmin130@ccmu.edu.cn; renjianping282@163.com; fangkc@psych.ac.cn; yayyzhanghp@ccmu.edu.cn</t>
  </si>
  <si>
    <t>[Ren, Jianping; Li, Lijuan; Shao, Chen; Yan, Huiping; Liu, Yanmin] Capital Med Univ, Clin Lab Ctr, Beijing 100069, Peoples R China; [Ren, Jianping; Li, Lijuan; Shao, Chen; Yan, Huiping; Liu, Yanmin] Capital Med Univ, Beijing Youan Hosp, Clin Res Ctr Autoimmune Liver Dis, Beijing 100069, Peoples R China; [Li, Xinming; Liu, Yanmin] EUROIMMUN Acad, Beijing, Peoples R China; [Ma, Yinxue; Lu, Jie; Wang, Jing] Chinese Acad Sci, Inst Psychol, State Key Lab Cognit Sci &amp; Mental Hlth, Beijing, Peoples R China; [Ma, Yinxue; Lu, Jie; Wang, Jing] Univ Chinese Acad Sci, Dept Psychol, Beijing, Peoples R China; [Fang, Kechi] Capital Med Univ, Beijing Youan Hosp, Dept Pathol, Beijing, Peoples R China; [Wang, Jing] Capital Med Univ, Beijing YouAn Hosp, Dept Liver Dis Ctr 2, Beijing, Peoples R China</t>
  </si>
  <si>
    <t>Capital Medical University; Capital Medical University; Chinese Academy of Sciences; Institute of Psychology, CAS; Chinese Academy of Sciences; University of Chinese Academy of Sciences, CAS; Capital Medical University; Capital Medical University</t>
  </si>
  <si>
    <t>A machine learning model incorporating the globulin-to-platelet index for predicting severe fibrosis in autoimmune hepatitis: A retrospective and prospective validation study</t>
  </si>
  <si>
    <t>autoimmune hepatitis; globulin-to-platelet index; liver fibrosis; machine learning; noninvasive prediction; random forest</t>
  </si>
  <si>
    <t>LIVER FIBROSIS; TRANSIENT ELASTOGRAPHY; NONINVASIVE INDEX; CRITERIA</t>
  </si>
  <si>
    <t>Yan, Huiping/C-6847-2015; Fang, Kechi/D-9994-2011</t>
  </si>
  <si>
    <t>e48408</t>
  </si>
  <si>
    <t>10.1097/MD.0000000000048408</t>
  </si>
  <si>
    <t>http://dx.doi.org/10.1097/MD.0000000000048408</t>
  </si>
  <si>
    <t>HR3CN</t>
  </si>
  <si>
    <t>42116299</t>
  </si>
  <si>
    <t>WOS:001760826500036</t>
  </si>
  <si>
    <t>Yan, AP; Guo, LL; Patel, P; Schechter, T; Arciniegas, SE; Inoue, J; Vettese, E; Jessa, K; Cardiff, B; Tomlinson, GA; Dupuis, LL; Sung, LL</t>
  </si>
  <si>
    <t>PurposeObjectives were to develop a machine learning (ML) model based on electronic health record (EHR) data to predict the risk of vomiting within a 96-hour window after admission to the pediatric oncology and hematopoietic cell transplant (HCT) services using retrospective data and to evaluate the model prospectively in a silent trial.Patients and methodsAdmissions between 2018-06-02 to 2024-02-17 (retrospective) and 2024-05-09 to 2024-08-05 (prospective) to the oncology or HCT services were included. Data source was SEDAR, a curated and validated approach to deliver EHR data for ML. Prediction time was 08:30 the morning following admission. The outcome was any vomiting within 96 h following prediction time. We trained models using L2-regularized logistic regression, LightGBM and XGBoost. Training cohorts include the target cohort and all inpatient admissions.ResultsThere were 7,408 admissions in the retrospective phase and 340 admissions in the prospective silent trial phase. The best-performing model in the retrospective phase was the LightGBM model trained on all inpatients. The number of features in the final model was 2,859. The area-under-the-receiver-operating-characteristic curve (AUROC) was 0.730 (95% confidence interval (CI) 0.694-0.765) for the retrospective phase and 0.716 (95% CI 0.649-0.784) for the prospective silent trial phase.ConclusionsWe found that data in the EHR could be used to develop a retrospective ML model to predict vomiting among pediatric oncology and HCT inpatients. This model retained satisfactory performance in a prospective silent trial. Future plans will include deployment into clinical workflows and determining if the model improves vomiting control.</t>
  </si>
  <si>
    <t>Yan, Adam Paul; Guo, Lin Lawrence; Patel, Priya; Schechter, Tal; Arciniegas, Santiago Eduardo; Inoue, Jiro; Vettese, Emily; Jessa, Karim; Cardiff, Bren; Tomlinson, George A.; Dupuis, L. Lee; Sung, Lillian</t>
  </si>
  <si>
    <t>Sung, LL (corresponding author), Hosp Sick Children, Div Haematol Oncol, 555 Univ Ave, Toronto, ON M5G1X8, Canada.; Sung, LL (corresponding author), Hosp Sick Children, Peter Gilgan Ctr Res &amp; Learning, Program Child Hlth Evaluat Sci, Toronto, ON, Canada.</t>
  </si>
  <si>
    <t>lillian.sung@sickkids.ca</t>
  </si>
  <si>
    <t>Women's Auxiliary Millenium Chair, Cancer Research Society, Leukemia Lymphoma Society of Canada</t>
  </si>
  <si>
    <t>We would like to acknowledge funding from the Women's Auxiliary Millenium Chair, Cancer Research Society's Operating Grants Program and the Leukemia Lymphoma Society of Canada's Blood Cancer and AI Catalyst Grant.</t>
  </si>
  <si>
    <t>[Yan, Adam Paul; Patel, Priya; Schechter, Tal; Sung, Lillian] Hosp Sick Children, Div Haematol Oncol, 555 Univ Ave, Toronto, ON M5G1X8, Canada; [Yan, Adam Paul; Guo, Lin Lawrence; Arciniegas, Santiago Eduardo; Inoue, Jiro; Vettese, Emily; Dupuis, L. Lee; Sung, Lillian] Hosp Sick Children, Peter Gilgan Ctr Res &amp; Learning, Program Child Hlth Evaluat Sci, Toronto, ON, Canada; [Patel, Priya; Dupuis, L. Lee] Hosp Sick Children, Dept Pharm, Toronto, ON, Canada; [Jessa, Karim; Cardiff, Bren] Hosp Sick Children, Informat Management Technol, Toronto, ON, Canada; [Jessa, Karim] Hosp Sick Children, Dept Emergency Med, Toronto, ON, Canada; [Tomlinson, George A.] Toronto Gen Hosp, Dept Med, Toronto, ON, Canada; [Dupuis, L. Lee] Univ Toronto, Leslie Dan Fac Pharm, Toronto, ON, Canada</t>
  </si>
  <si>
    <t>University of Toronto; Hospital for Sick Children (SickKids); University of Toronto; Hospital for Sick Children (SickKids); University of Toronto; Hospital for Sick Children (SickKids); University of Toronto; Hospital for Sick Children (SickKids); University of Toronto; Hospital for Sick Children (SickKids); University of Toronto; University Health Network Toronto; Toronto General Hospital; University of Toronto</t>
  </si>
  <si>
    <t>Development and prospective evaluation of a machine learning model to predict vomiting among pediatric cancer and hematopoietic cell transplant patients</t>
  </si>
  <si>
    <t>Emesis; Machine learning; Oncology; Hematopoietic cell transplant; Prospective evaluation</t>
  </si>
  <si>
    <t>CHEMOTHERAPY-INDUCED NAUSEA; DATASET SHIFT</t>
  </si>
  <si>
    <t>Tomlinson, George/L-5432-2016</t>
  </si>
  <si>
    <t>Guo, Lin Lawrence/0000-0002-2965-8442</t>
  </si>
  <si>
    <t>OCT 31 2025</t>
  </si>
  <si>
    <t>10.1186/s12885-025-15137-1</t>
  </si>
  <si>
    <t>http://dx.doi.org/10.1186/s12885-025-15137-1</t>
  </si>
  <si>
    <t>9ID2K</t>
  </si>
  <si>
    <t>41174551</t>
  </si>
  <si>
    <t>WOS:001606913300004</t>
  </si>
  <si>
    <t>Martin, KR; Haaland, S; Persson, A; Kim, SE; Ryu, B; Nam, JW; Ro, D; Inderhaug, E</t>
  </si>
  <si>
    <t>Background: Deep learning algorithms can aid medical decision-making by performing routine tasks without any human error. Reading of standardized radiographs lends itself well to a computerized approach. The posterior tibial slope is increasingly recognized as a factor in lower leg biomechanics. Slope readings should, therefore, be readily available when considering knee ligament or knee replacement surgery.Purpose/Hypothesis: The purpose was to externally validate a deep learning model developed for posterior tibial slope readings by applying an independent data set, not included in initial development, for testing the reliability of the model, compared with human performance testing. It was hypothesized that a computerized approach would yield a reliability similar to that of human analyses.Study Design: Descriptive laboratory study.Methods: A consecutive series of lateral knee radiographs obtained in patients undergoing anterior cruciate ligament surgery were eligible for inclusion. Two independent experienced clinicians individually assessed the tibial slope measurement to establish the interreader reliability. Furthermore, all images were processed by the newly developed model for the automated readings. Intrarater and interrater reliability were thereafter established between readers and between manual and automated readings, measured by intraclass correlation coefficients (ICCs). Time consumption between methods was noted. Extreme differences between the 2 methods were analyzed for potential errors.Results: A total of 289 radiographs were included in the study and therefore analyzed by both the manual and the automated method. A mean tibial slope of 9.7 degrees (SD, 2.7 degrees; range, 3.0 degrees-19.1 degrees) was found. The interrater and intrarater measurements between the independent measurers for the 2-circle method were 0.86 and 0.92. Furthermore, the intrarater agreement of the model was 1.00, while an ICC between 0.73 and 0.80 was found when comparing automated with manual measurement. The mean time consumption for manual readings was 52.5 seconds, while for automated readings it was 28.2 seconds.Conclusion: In this external validation of a newly developed model for automated readings of tibial slope measures, a perfect intrarater reliability and a good interrater reliability were seen. Although the model needs further refinement in reporting the tibial slope as compared with a gold standard manual measurement, it clearly demonstrates the elimination of human variance with repeat readings and less time consumption than that with human effort.</t>
  </si>
  <si>
    <t>Martin, Kyle R.; Haaland, Sanna; Persson, Andreas; Kim, Sung Eun; Ryu, Byeongyeong; Nam, Jun Woo; Ro, Du Huy; Inderhaug, Eivind</t>
  </si>
  <si>
    <t>Inderhaug, E (corresponding author), Haukeland Hosp, Ulriksdal 19, N-5021 Bergen, Hordaland, Norway.</t>
  </si>
  <si>
    <t>eivind.inderhaug@gmail.com</t>
  </si>
  <si>
    <t>[Martin, Kyle R.] Univ Minnesota, Dept Orthopaed Surg, Minneapolis, MN USA; [Martin, Kyle R.] Centra Care, Dept Orthopead Surg, St Cloud, MN USA; [Martin, Kyle R.; Persson, Andreas] Oslo Sports Trauma Res Ctr, Norwegian Sch Sports Sci, Oslo, Norway; [Haaland, Sanna; Inderhaug, Eivind] Univ Bergen, Fac Med, Sports Traumatol Arthroscopy Res Grp, Bergen, Hordaland, Norway; [Persson, Andreas] Oslo Univ Hosp, Oslo, Norway; [Kim, Sung Eun; Ryu, Byeongyeong; Ro, Du Huy] Seoul Natl Coll Med, Dept Orthopaed Surg, Seoul, South Korea; [Nam, Jun Woo; Ro, Du Huy] Connecteve Co Ltd, Seoul, South Korea; [Ro, Du Huy] Seoul Natl Univ Hosp, Innovat Med Technol Res Inst, Seoul, South Korea; [Inderhaug, Eivind] Haraldsplass Deaconess Hosp, Bergen, Norway</t>
  </si>
  <si>
    <t>University of Minnesota System; University of Minnesota Twin Cities; Norwegian School of Sport Sciences; University of Bergen; University of Oslo; Seoul National University (SNU); Seoul National University (SNU); Seoul National University Hospital</t>
  </si>
  <si>
    <t>External Validation of a Novel Landmark-Based Deep Learning Automated Tibial Slope Measurement Algorithm Applied on Short Radiographs Obtained in Patients With ACL Injuries</t>
  </si>
  <si>
    <t>ORTHOPAEDIC JOURNAL OF SPORTS MEDICINE</t>
  </si>
  <si>
    <t>posterior tibial slope; anterior cruciate ligament; radiographs; automated reading; deep learning; artificial intelligence</t>
  </si>
  <si>
    <t>BIOMECHANICS</t>
  </si>
  <si>
    <t>Martin, R. Kyle/JJE-4531-2023</t>
  </si>
  <si>
    <t>Ro, Du Hyun/0000-0001-6199-908X; Martin, R. Kyle/0000-0001-9918-0264; Kim, Sung Eun/0000-0002-1954-9875</t>
  </si>
  <si>
    <t>2325-9671</t>
  </si>
  <si>
    <t>ORTHOP J SPORTS MED</t>
  </si>
  <si>
    <t>Orthop. J. Sports Med.</t>
  </si>
  <si>
    <t>23259671251333607</t>
  </si>
  <si>
    <t>10.1177/23259671251333607</t>
  </si>
  <si>
    <t>http://dx.doi.org/10.1177/23259671251333607</t>
  </si>
  <si>
    <t>2FK6Z</t>
  </si>
  <si>
    <t>40342354</t>
  </si>
  <si>
    <t>WOS:001481366600001</t>
  </si>
  <si>
    <t>Humbert-Vidan, L; Hansen, CR; Patel, V; Johansen, J; King, AP; Urbano, TG</t>
  </si>
  <si>
    <t>Background and purpose: While the inclusion of spatial dose information in deep learning (DL)-based normaltissue complication probability (NTCP) models has been the focus of recent research studies, external validation is still lacking. This study aimed to externally validate a DL-based NTCP model for mandibular osteoradionecrosis (ORN) trained on 3D radiation dose distribution maps and clinical variables. Methods and materials: A 3D DenseNet-40 convolutional neural network (3D-mDN40) was trained on clinical and radiation dose distribution maps on a retrospective class-balanced matched cohort of 184 subjects. A second model (3D-DN40) was trained on dose maps only and both DL models were compared to a logistic regression (LR) model trained on DVH metrics and clinical variables. All models were externally validated by means of their discriminative ability and calibration on an independent dataset of 82 subjects. Results: No significant difference in performance was observed between models. In internal validation, these exhibited similar Brier scores around 0.2, Log Loss values of 0.6-0.7 and ROC AUC values around 0.7 (internal) and 0.6 (external). Differences in clinical variable distributions and their effect sizes were observed between internal and external cohorts, such as smoking status (0.6 vs. 0.1) and chemotherapy (0.1 vs. -0.5), respectively. Conclusion: To our knowledge, this is the first study to externally validate a multimodality DL-based ORN NTCP model. Utilising mandible dose distribution maps, these models show promise for enhancing spatial risk assessment and guiding dental and oncological decision-making, though further research is essential to address overfitting and domain shift for reliable clinical use.</t>
  </si>
  <si>
    <t>Humbert-Vidan, Laia; Hansen, Christian R.; Patel, Vinod; Johansen, Jurgen; King, Andrew P.; Urbano, Teresa Guerrero</t>
  </si>
  <si>
    <t>Humbert-Vidan, L (corresponding author), Guys Canc Ctr, Great Maze Pond, London SE1 3SS, England.</t>
  </si>
  <si>
    <t>laia.humbert-vidan@kcl.ac.uk</t>
  </si>
  <si>
    <t>NVIDIA Corporation; Radiation Research Unit at the Cancer Research UK City of London Centre Award [C7893/A28990]; Guy's Cancer Charity; Danish Comprehensive Cancer Center Radiotherapy - DCCC RT and Data Science Research Infrastructure In Radiotherapy - DESIRE [NNF22OC0077893]</t>
  </si>
  <si>
    <t>NVIDIA Corporation (Nvidia Corporation); Radiation Research Unit at the Cancer Research UK City of London Centre Award; Guy's Cancer Charity; Danish Comprehensive Cancer Center Radiotherapy - DCCC RT and Data Science Research Infrastructure In Radiotherapy - DESIRE</t>
  </si>
  <si>
    <t>We gratefully acknowledge the support of NVIDIA Corporation with the donation of the Titan Xp GPU used for this research. This work was supported by the Radiation Research Unit at the Cancer Research UK City of London Centre Award [C7893/A28990] and by the Guy's Cancer Charity via a donation from the Wilson-Olegario Foundation and other donations. Support was also provided by the Danish Comprehensive Cancer Center Radiotherapy - DCCC RT and Data Science Research Infrastructure In Radiotherapy - DESIRE (Grant no. NNF22OC0077893) .</t>
  </si>
  <si>
    <t>[Humbert-Vidan, Laia] Guys &amp; St Thomas NHS Fdn Trust, Dept Med Phys, London, England; [Humbert-Vidan, Laia; Urbano, Teresa Guerrero] Kings Coll London, Comprehens Canc Ctr, Sch Canc &amp; Pharmaceut Sci, London, England; [Hansen, Christian R.] Univ Southern Denmark, Dept Clin Res, Odense, Denmark; [Hansen, Christian R.] Odense Univ Hosp, Lab Radiat Phys, Odense, Denmark; [Patel, Vinod] Guys &amp; St Thomas NHS Fdn Trust, Dept Oral Surg, London, England; [Johansen, Jurgen] Odense Univ Hosp, Dept Oncol, Odense, Denmark; [King, Andrew P.] Kings Coll London, Sch Biomed Engn &amp; Imaging Sci, London, England; [Urbano, Teresa Guerrero] Guys &amp; St Thomas NHS Fdn Trust, Dept Clin Oncol, London, England</t>
  </si>
  <si>
    <t>Guy's &amp; St Thomas' NHS Foundation Trust; University of London; King's College London; University of Southern Denmark; University of Southern Denmark; Odense University Hospital; Guy's &amp; St Thomas' NHS Foundation Trust; University of Southern Denmark; Odense University Hospital; University of London; King's College London; Guy's &amp; St Thomas' NHS Foundation Trust</t>
  </si>
  <si>
    <t>External validation of a multimodality deep-learning normal tissue complication probability model for mandibular osteoradionecrosis trained on 3D radiation distribution maps and clinical variables</t>
  </si>
  <si>
    <t>Osteoradionecrosis; Deep learning; Radiotherapy; Toxicity; Head and neck; NTCP; Multimodality</t>
  </si>
  <si>
    <t>NECK-CANCER; HEAD</t>
  </si>
  <si>
    <t>Johansen, Jørgen/I-6816-2013; King, Andrew/A-6552-2009; Hansen, Christian Rønn/AAE-3228-2019; Humbert-Vidan, Laia/LQJ-2613-2024</t>
  </si>
  <si>
    <t>Johansen, Jørgen/0000-0003-3911-3929; King, Andrew/0000-0002-9965-7015; Hansen, Christian Rønn/0000-0001-5716-6069; Humbert-Vidan, Laia/0000-0002-8005-6770; Guerrero Urbano, Teresa/0000-0003-3090-541X</t>
  </si>
  <si>
    <t>100668</t>
  </si>
  <si>
    <t>10.1016/j.phro.2024.100668</t>
  </si>
  <si>
    <t>http://dx.doi.org/10.1016/j.phro.2024.100668</t>
  </si>
  <si>
    <t>M0W0T</t>
  </si>
  <si>
    <t>39563783</t>
  </si>
  <si>
    <t>WOS:001354823200001</t>
  </si>
  <si>
    <t>McSweeney, TP; Tiulpin, A; Saarakkala, S; Niinimäki, J; Windsor, R; Jamaludin, A; Kadir, T; Karppinen, J; Määttä, J</t>
  </si>
  <si>
    <t>Study Design.This is a retrospective observational study to externally validate a deep learning image classification model. Objective.Deep learning models such as SpineNet offer the possibility of automating the process of disk degeneration (DD) classification from magnetic resonance imaging (MRI). External validation is an essential step to their development. The aim of this study was to externally validate SpineNet predictions for DD using Pfirrmann classification and Modic changes (MCs) on data from the Northern Finland Birth Cohort 1966 (NFBC1966). Summary of Data.We validated SpineNet using data from 1331 NFBC1966 participants for whom both lumbar spine MRI data and consensus DD gradings were available. Materials and Methods.SpineNet returned Pfirrmann grade and MC presence from T2-weighted sagittal lumbar MRI sequences from NFBC1966, a data set geographically and temporally separated from its training data set. A range of agreement and reliability metrics were used to compare predictions with expert radiologists. Subsets of data that match SpineNet training data more closely were also tested. Results.Balanced accuracy for DD was 78% (77%-79%) and for MC 86% (85%-86%). Interrater reliability for Pfirrmann grading was Lin concordance correlation coefficient=0.86 (0.85-0.87) and Cohen kappa=0.68 (0.67-0.69). In a low back pain subset, these reliability metrics remained largely unchanged. In total, 20.83% of disks were rated differently by SpineNet compared with the human raters, but only 0.85% of disks had a grade difference &gt;1. Interrater reliability for MC detection was kappa=0.74 (0.72-0.75). In the low back pain subset, this metric was almost unchanged at kappa=0.76 (0.73-0.79). Conclusions.In this study, SpineNet has been benchmarked against expert human raters in the research setting. It has matched human reliability and demonstrates robust performance despite the multiple challenges facing model generalizability.</t>
  </si>
  <si>
    <t>McSweeney, Terence P.; Tiulpin, Aleksei; Saarakkala, Simo; Niinimaki, Jaakko; Windsor, Rhydian; Jamaludin, Amir; Kadir, Timor; Karppinen, Jaro; Maatta, Juhani</t>
  </si>
  <si>
    <t>McSweeney, TP (corresponding author), Univ Oulu, Res Unit Hlth Sci &amp; Technol, Aapistie 5A, Oulu 90220, Finland.</t>
  </si>
  <si>
    <t>jaro.karppinen@oulu.fi; terence.mcsweeney@oulu.fi; rhydian@robots.ox.ac.uk; aleksei.tiulpin@oulu.fi; simo.saarakkala@oulu.fi; juhani.maatta@oulu.fi; jaakko.niinimaki@oulu.fi; amirj@robots.ox.ac.uk; timork@fastmail.com</t>
  </si>
  <si>
    <t>European Union [955735]; National Institute of Arthritis and Musculoskeletal and Skin Diseases of the National Institutes of Health [U19AR076737]; Marie Curie Actions (MSCA) [955735] Funding Source: Marie Curie Actions (MSCA)</t>
  </si>
  <si>
    <t>European Union (European Union (EU)); National Institute of Arthritis and Musculoskeletal and Skin Diseases of the National Institutes of Health (United States Department of Health &amp; Human Services, National Institutes of Health (NIH) - USA, NIH National Institute of Arthritis &amp; Musculoskeletal &amp; Skin Diseases (NIAMS)); Marie Curie Actions (MSCA) (Marie Curie Actions)</t>
  </si>
  <si>
    <t>This research is part of a project that has received funding from the European Union's Horizon 2020 research and innovation program under the Marie Sklodowska-Curie grant agreement No 955735. This research was also supported by the National Institute of Arthritis and Musculoskeletal and Skin Diseases of the National Institutes of Health under Award Number U19AR076737.</t>
  </si>
  <si>
    <t>[McSweeney, Terence P.; Tiulpin, Aleksei; Saarakkala, Simo; Niinimaki, Jaakko; Karppinen, Jaro] Univ Oulu, Res Unit Hlth Sci &amp; Technol, Oulu, Finland; [McSweeney, Terence P.; Tiulpin, Aleksei; Saarakkala, Simo; Niinimaki, Jaakko; Karppinen, Jaro] Finnish Inst Occupat Hlth, Helsinki, Finland; [Saarakkala, Simo; Niinimaki, Jaakko] Oulu Univ Hosp, Dept Diagnost Radiol, Oulu, Finland; [Windsor, Rhydian; Jamaludin, Amir; Kadir, Timor] Univ Oxford, Dept Engn Sci, Oxford, England; [Kadir, Timor] Plexalis Ltd, Oxford, England; [Karppinen, Jaro] Rehabil Serv South Karel Social &amp; Hlth Care Dist, Lappeenranta, Finland; [Maatta, Juhani] Oulu Univ Hosp, Med Res Ctr Oulu, Oulu, Finland; [Maatta, Juhani] Univ Oulu, Oulu, Finland</t>
  </si>
  <si>
    <t>University of Oulu; Finnish Institute of Occupational Health; University of Oulu; University of Oxford; University of Oulu; University of Oulu</t>
  </si>
  <si>
    <t>External Validation of SpineNet, an Open-Source Deep Learning Model for Grading Lumbar Disk Degeneration MRI Features, Using the Northern Finland Birth Cohort 1966</t>
  </si>
  <si>
    <t>deep learning; disk degeneration; Modic changes; SpineNet; low back pain</t>
  </si>
  <si>
    <t>LOW-BACK-PAIN; MODIC CHANGES; MIDDLE-AGE; ASSOCIATION; RELIABILITY; PERFORMANCE; ERA</t>
  </si>
  <si>
    <t>Tiulpin, Aleksei/AAV-9947-2020; Saarakkala, Simo/F-5839-2013; Määttä, Juhani/AAF-7102-2020; Niinimäki, Jaakko/O-2186-2014</t>
  </si>
  <si>
    <t>McSweeney, Terence/0000-0003-0966-210X; Tiulpin, Aleksei/0000-0002-7852-4141; Karppinen, Jaro/0000-0002-2158-6042; Määttä, Juhani/0000-0002-2400-9195; Niinimäki, Jaakko/0000-0002-5591-3726</t>
  </si>
  <si>
    <t>APR 1 2023</t>
  </si>
  <si>
    <t>484</t>
  </si>
  <si>
    <t>491</t>
  </si>
  <si>
    <t>10.1097/BRS.0000000000004572</t>
  </si>
  <si>
    <t>http://dx.doi.org/10.1097/BRS.0000000000004572</t>
  </si>
  <si>
    <t>9W0BS</t>
  </si>
  <si>
    <t>36728678</t>
  </si>
  <si>
    <t>WOS:000948748300008</t>
  </si>
  <si>
    <t>Wang, JY; Hsu, SY; Sun, JT; Ko, CH; Huang, CH; Tsai, CL; Fu, LC</t>
  </si>
  <si>
    <t>The early detection of cardiac arrest (CA) in emergency departments (EDs) is crucial for patient safety. However, existing deep-learning research often neglects irregular time intervals between measurements and the challenge of performance degradation in short sequences. The limited accessibility of medical data further complicates the external validation of models. To address these issues, we developed a deep learning-based early warning system accommodating variable-length and irregularly measured time series data. Our system includes three models: A Time Mask Temporal Convolutional Network (TM-TCN) incorporates a missing value mask to address the problem of missing values in multivariate time series, and univariate time series with time intervals are used to ensure that the model can detect the rapid deterioration of patients. Finally, we use a designed fusion method to enable the system to make better predictions for short sequence samples. Our system achieved an area under the receiver operating characteristic curve (AUROC) of 0.9831 and an area under the precision-recall curve (AUPRC) of 0.2150 in the experiment of 8 h before CA on the National Taiwan University Hospital dataset. In the external validation, the proposed system achieved an AUROC of 0.9734 and an AUPRC of 0.1336 8 h before CA on the Far Eastern Memorial Hospital dataset and obtained an AUROC of 0.8428 and an AUPRC of 0.0533 0 to 8 h before CA on the MIMIC-IV-ED dataset. These results demonstrate the system's reliability and adaptability across datasets, highlighting its potential to advance healthcare informatics research by addressing critical challenges in time series data modeling.</t>
  </si>
  <si>
    <t>Wang, Jyun-Yi; Hsu, Su-Yin; Sun, Jen-Tang; Ko, Chia-Hsin; Huang, Chien-Hua; Tsai, Chu-Lin; Fu, Li-Chen</t>
  </si>
  <si>
    <t>Fu, LC (corresponding author), Natl Taiwan Univ, Dept Comp Sci &amp; Informat Engn, CSIE Der Tian Hall 1,Sec 4,Roosevelt Rd, Taipei 106319, Taiwan.; Tsai, CL (corresponding author), Natl Taiwan Univ, Coll Med, Natl Taiwan Univ Hosp, Dept Emergency Med, 7 Zhongshan S Rd, Taipei 100, Taiwan.</t>
  </si>
  <si>
    <t>r11922159@csie.ntu.edu.tw; lichen@ntu.edu.tw; cathy520111223@gmail.com; chhuang5940@ntu.edu.tw; r12944049@csie.ntu.edu.tw; Tangtang05231980@gmail.com; chulintsai@ntu.edu.tw</t>
  </si>
  <si>
    <t>National Science and Technology Council</t>
  </si>
  <si>
    <t>We thank the staff of the National Taiwan University Hospital-Integrative Medical Data Center (NTUH-iMDC) for providing clinical data for the current study.</t>
  </si>
  <si>
    <t>[Wang, Jyun-Yi; Hsu, Su-Yin; Fu, Li-Chen] Natl Taiwan Univ, Dept Comp Sci &amp; Informat Engn, CSIE Der Tian Hall 1,Sec 4,Roosevelt Rd, Taipei 106319, Taiwan; [Ko, Chia-Hsin; Huang, Chien-Hua; Tsai, Chu-Lin] Natl Taiwan Univ, Coll Med, Natl Taiwan Univ Hosp, Dept Emergency Med, 7 Zhongshan S Rd, Taipei 100, Taiwan; [Sun, Jen-Tang] Far Eastern Mem Hosp, Dept Emergency Med, New Taipei 220, Taiwan</t>
  </si>
  <si>
    <t>National Taiwan University; National Taiwan University; National Taiwan University Hospital; National Taiwan University Hospital; Far Eastern Memorial Hospital</t>
  </si>
  <si>
    <t>Internal and External Validation of a Deep Learning-Based Early Warning System of Cardiac Arrest with Variable-Length and Irregularly Measured Time Series Data</t>
  </si>
  <si>
    <t>JOURNAL OF HEALTHCARE INFORMATICS RESEARCH</t>
  </si>
  <si>
    <t>Time series data; Early warning system; Emergency department; In-hospital cardiac arrest; External validation</t>
  </si>
  <si>
    <t>SCORE</t>
  </si>
  <si>
    <t>TSAI, CHU-LIN/0000-0003-4639-1513; HUANG, CHIEN-HUA/0000-0003-2981-4537</t>
  </si>
  <si>
    <t>2509-4971</t>
  </si>
  <si>
    <t>2509-498X</t>
  </si>
  <si>
    <t>J HEALTHC INFORM RES</t>
  </si>
  <si>
    <t>J. Healthc. Inform. Res.</t>
  </si>
  <si>
    <t>10.1007/s41666-025-00188-7</t>
  </si>
  <si>
    <t>http://dx.doi.org/10.1007/s41666-025-00188-7</t>
  </si>
  <si>
    <t>U3A5I</t>
  </si>
  <si>
    <t>WOS:001410563100001</t>
  </si>
  <si>
    <t>Hu, P; Zhou, HZ; Yan, TF; Miu, HP; Xiao, F; Zhu, XY; Shu, L; Yang, S; Jin, RY; Dou, WL; Ren, BY; Zhu, LZ; Liu, WR; Zhang, YH; Zeng, KS; Ye, MH; Lv, SG; Wu, MJ; Deng, G; Hu, R; Zhan, RY; Chen, QX; Zhang, D; Zhu, XE</t>
  </si>
  <si>
    <t>Accurate stroke assessment and consequent favorable clinical outcomes rely on the early identification and quantification of aneurysmal subarachnoid hemorrhage (aSAH) in non-contrast computed tomography (NCCT) images. However, hemorrhagic lesions can be complex and difficult to distinguish manually. To solve these problems, here we propose a novel Hybrid 2D/3D UNet deep-learning framework for automatic aSAH identification and quantification in NCCT images. We evaluated 1824 consecutive patients admitted with aSAH to four hospitals in China between June 2018 and May 2022. Accuracy and precision, Dice scores and intersection over union (IoU), and interclass correlation coefficients (ICC) were calculated to assess model performance, segmentation performance, and correlations between automatic and manual segmentation, respectively. A total of 1355 patients with aSAH were enrolled: 931, 101, 179, and 144 in four datasets, of whom 326 were scanned with Siemens, 640 with Philips, and 389 with GE Medical Systems scanners. Our proposed deep-learning method accurately identified (accuracies 0.993-0.999) and segmented (Dice scores 0.550-0.897) hemorrhage in both the internal and external datasets, even combinations of hemorrhage subtypes. We further developed a convenient AI-assisted platform based on our algorithm to assist clinical workflows, whose performance was comparable to manual measurements by experienced neurosurgeons (ICCs 0.815-0.957) but with greater efficiency and reduced cost. While this tool has not yet been prospectively tested in clinical practice, our innovative hybrid network algorithm and platform can accurately identify and quantify aSAH, paving the way for fast and cheap NCCT interpretation and a reliable AI-based approach to expedite clinical decision-making for aSAH patients.</t>
  </si>
  <si>
    <t>Hu, Ping; Zhou, Haizhu; Yan, Tengfeng; Miu, Hongping; Xiao, Feng; Zhu, Xinyi; Shu, Lei; Yang, Shuang; Jin, Ruiyun; Dou, Wenlei; Ren, Baoyu; Zhu, Lizhen; Liu, Wanrong; Zhang, Yihan; Zeng, Kaisheng; Ye, Minhua; Lv, Shigang; Wu, Miaojing; Deng, Gang; Hu, Rong; Zhan, Renya; Chen, Qianxue; Zhang, Dong; Zhu, Xingen</t>
  </si>
  <si>
    <t>Zhu, XE (corresponding author), Nanchang Univ, Dept Neurosurg, Affiliated Hosp 2, Nanchang 330006, Jiangxi, Peoples R China.; Zhu, XE (corresponding author), Jiangxi Key Lab Neurol Tumors &amp; Cerebrovasc Dis, Nanchang 330006, Jiangxi, Peoples R China.; Zhu, XE (corresponding author), Jiangxi Hlth Commiss Key Lab Neurol Med, Nanchang 330006, Jiangxi, Peoples R China.; Zhu, XE (corresponding author), Nanchang Univ, Inst Neurosci, Nanchang 330006, Jiangxi, Peoples R China.; Zhang, D (corresponding author), Wuhan Univ, Sch Phys &amp; Technol, Wuhan 430060, Hubei, Peoples R China.; Hu, R (corresponding author), Army Med Univ, Third Mil Med Univ, Southwest Hosp, Dept Neurosurg, Chongqing 400038, Peoples R China.; Zhan, RY (corresponding author), Zhejiang Univ, Affiliated Hosp 1, Sch Med, Dept Neurosurg, Hangzhou 310003, Zhejiang, Peoples R China.; Chen, QX (corresponding author), Wuhan Univ, Dept Neurosurg, Renmin Hosp, Wuhan 430060, Hubei, Peoples R China.</t>
  </si>
  <si>
    <t>zxg2008vip@163.com</t>
  </si>
  <si>
    <t>National Natural Science Foundation of China [81960456, 82172989]; Cross-innovation Talent Project of Renmin Hospital of Wuhan University [JCRCWL-2022-005]; Postdoctoral Research Foundation of China [2022M721452]; Natural Science Foundation of Jiangxi Province Project [20202BAB206053, 20224BAB216074]; Training Program for academic and technical leaders in major disciplines in Jiangxi Province - Young Talents Project [20225BCJ23024]; Key Research and Development projects in Jiangxi [20212BBG71012]; Graduate Student Innovation Special Fund Project of Jiangxi Province [YC2023-B081]; Jiangxi Branch of National Clinical Research Center for Geriatric Diseases [2021ZDG02001]</t>
  </si>
  <si>
    <t>National Natural Science Foundation of China (National Natural Science Foundation of China (NSFC)); Cross-innovation Talent Project of Renmin Hospital of Wuhan University; Postdoctoral Research Foundation of China (China Postdoctoral Science Foundation); Natural Science Foundation of Jiangxi Province Project; Training Program for academic and technical leaders in major disciplines in Jiangxi Province - Young Talents Project; Key Research and Development projects in Jiangxi; Graduate Student Innovation Special Fund Project of Jiangxi Province; Jiangxi Branch of National Clinical Research Center for Geriatric Diseases</t>
  </si>
  <si>
    <t>This research was supported by the National Natural Science Foundation of China (No. 81960456 and No. 82172989), the Cross-innovation Talent Project of Renmin Hospital of Wuhan University (JCRCWL-2022-005), the Postdoctoral Research Foundation of China (No. 2022M721452), the Natural Science Foundation of Jiangxi Province Project (Nos.20202BAB206053 and 20224BAB216074), Training Program for academic and technical leaders in major disciplines in Jiangxi Province - Young Talents Project (No. 20225BCJ23024), the Key Research and Development projects in Jiangxi (number 20212BBG71012), Graduate Student Innovation Special Fund Project of Jiangxi Province (YC2023-B081), and the Jiangxi Branch of National Clinical Research Center for Geriatric Diseases (2021ZDG02001).</t>
  </si>
  <si>
    <t>[Hu, Ping; Yan, Tengfeng; Shu, Lei; Jin, Ruiyun; Dou, Wenlei; Ren, Baoyu; Zhu, Lizhen; Liu, Wanrong; Zhang, Yihan; Zeng, Kaisheng; Ye, Minhua; Lv, Shigang; Wu, Miaojing; Zhu, Xingen] Nanchang Univ, Dept Neurosurg, Affiliated Hosp 2, Nanchang 330006, Jiangxi, Peoples R China; [Hu, Ping; Yan, Tengfeng; Shu, Lei; Zhu, Xingen] Jiangxi Key Lab Neurol Tumors &amp; Cerebrovasc Dis, Nanchang 330006, Jiangxi, Peoples R China; [Hu, Ping; Yan, Tengfeng; Shu, Lei; Zhu, Xingen] Jiangxi Hlth Commiss Key Lab Neurol Med, Nanchang 330006, Jiangxi, Peoples R China; [Hu, Ping; Yan, Tengfeng; Shu, Lei; Zhu, Xingen] Nanchang Univ, Inst Neurosci, Nanchang 330006, Jiangxi, Peoples R China; [Zhou, Haizhu; Yang, Shuang; Zhang, Dong] Wuhan Univ, Sch Phys &amp; Technol, Wuhan 430060, Hubei, Peoples R China; [Miu, Hongping; Hu, Rong] Army Med Univ, Third Mil Med Univ, Southwest Hosp, Dept Neurosurg, Chongqing 400038, Peoples R China; [Xiao, Feng; Zhan, Renya] Zhejiang Univ, Affiliated Hosp 1, Sch Med, Dept Neurosurg, Hangzhou 310003, Zhejiang, Peoples R China; [Zhu, Xinyi; Chen, Qianxue] Wuhan Univ, Dept Neurosurg, Renmin Hosp, Wuhan 430060, Hubei, Peoples R China</t>
  </si>
  <si>
    <t>Nanchang University; Nanchang University; Wuhan University; Army Medical University; Zhejiang University; Wuhan University</t>
  </si>
  <si>
    <t>Deep learning-assisted identification and quantification of aneurysmal subarachnoid hemorrhage in non-contrast CT scans: Development and external validation of Hybrid 2D/3D UNet</t>
  </si>
  <si>
    <t>NEUROIMAGE</t>
  </si>
  <si>
    <t>Aneurysmal subarachnoid hemorrhage; Deep learning; Computed tomography; Identification; Quantification</t>
  </si>
  <si>
    <t>DELAYED CEREBRAL-ISCHEMIA; DIAGNOSIS; BLOOD; RISK</t>
  </si>
  <si>
    <t>Hu, Rong/AFI-6969-2022; ren, baoyu/PFZ-2957-2026</t>
  </si>
  <si>
    <t>Hu, Ping/0009-0008-4626-0162; Hu, Ping/0000-0003-2055-9744; Hu, Rong/0000-0002-6093-9744</t>
  </si>
  <si>
    <t>ACADEMIC PRESS INC ELSEVIER SCIENCE</t>
  </si>
  <si>
    <t>525 B ST, STE 1900, SAN DIEGO, CA 92101-4495 USA</t>
  </si>
  <si>
    <t>1053-8119</t>
  </si>
  <si>
    <t>1095-9572</t>
  </si>
  <si>
    <t>Neuroimage</t>
  </si>
  <si>
    <t>OCT 1 2023</t>
  </si>
  <si>
    <t>279</t>
  </si>
  <si>
    <t>120321</t>
  </si>
  <si>
    <t>10.1016/j.neuroimage.2023.120321</t>
  </si>
  <si>
    <t>http://dx.doi.org/10.1016/j.neuroimage.2023.120321</t>
  </si>
  <si>
    <t>R6CU7</t>
  </si>
  <si>
    <t>37574119</t>
  </si>
  <si>
    <t>WOS:001065220200001</t>
  </si>
  <si>
    <t>Wang, FF; Chen, L; Liu, LH; Jia, YT; Li, W; Wang, LJ; Zhi, J; Liu, W; Li, WJ; Li, ZX</t>
  </si>
  <si>
    <t>Purpose Due to the rarity of primary gastrointestinal lymphoma (PGIL), the prognostic factors and optimal management of PGIL have not been clearly defined. We aimed to establish prognostic models using a deep learning algorithm for survival prediction.Methods We collected 11,168 PGIL patients from the Surveillance, Epidemiology, and End Results (SEER) database to form the training and test cohorts. At the same time, we collected 82 PGIL patients from three medical centres to form the external validation cohort. We constructed a Cox proportional hazards (CoxPH) model, random survival forest (RSF) model, and neural multitask logistic regression (DeepSurv) model to predict PGIL patients' overall survival (OS).Results The 1-, 3-, 5-, and 10-year OS rates of PGIL patients in the SEER database were 77.1%, 69.4%, 63.7%, and 50.3%, respectively. The RSF model based on all variables showed that the top three most important variables for predicting OS were age, histological type, and chemotherapy. The independent risk factors for PGIL patient prognosis included sex, age, race, primary site, Ann Arbor stage, histological type, symptom, radiotherapy, and chemotherapy, according to the Lasso regression analysis. Using these factors, we built the CoxPH and DeepSurv models. The DeepSurv model's C-index values were 0.760 in the training cohort, 0.742 in the test cohort, and 0.707 in the external validation cohort, which demonstrated that the DeepSurv model performed better compared to the RSF model (0.728) and the CoxPH model (0.724). The DeepSurv model accurately predicted 1-, 3-, 5- and 10-year OS. Both calibration curves and decision curve analysis curves demonstrated the superior performance of the DeepSurv model. We developed the DeepSurv model as an online web calculator for survival prediction, which can be accessed at .Conclusions This DeepSurv model with external validation is superior to previous studies in predicting short-term and long-term survival and can help us make better-individualized decisions for PGIL patients.</t>
  </si>
  <si>
    <t>Wang, Feifan; Chen, Lu; Liu, Lihong; Jia, Yitao; Li, Wei; Wang, Lianjing; Zhi, Jie; Liu, Wei; Li, Weijing; Li, Zhongxin</t>
  </si>
  <si>
    <t>Li, ZX (corresponding author), Hebei Med Univ, Hosp 1, Gastrointestinal Dis Diag &amp; Treatment Ctr, 89 Donggang Rd, Shijiazhuang 050000, Peoples R China.</t>
  </si>
  <si>
    <t>lizhongxin99@163.com</t>
  </si>
  <si>
    <t>[Wang, Feifan; Li, Wei; Li, Zhongxin] Hebei Med Univ, Hosp 1, Gastrointestinal Dis Diag &amp; Treatment Ctr, 89 Donggang Rd, Shijiazhuang 050000, Peoples R China; [Chen, Lu] Peking Univ Third Hosp, Dept Med Oncol &amp; Radiat Sickness, Beijing 100191, Peoples R China; [Liu, Lihong; Wang, Lianjing; Liu, Wei; Li, Weijing] Hebei Med Univ, Hosp 4, Dept Hematol, Shijiazhuang 050000, Peoples R China; [Jia, Yitao; Zhi, Jie] Hebei Gen Hosp, Dept Oncol, Shijiazhuang 050051, Peoples R China</t>
  </si>
  <si>
    <t>Hebei Medical University; Hebei Medical University</t>
  </si>
  <si>
    <t>Deep learning model for predicting the survival of patients with primary gastrointestinal lymphoma based on the SEER database and a multicentre external validation cohort</t>
  </si>
  <si>
    <t>JOURNAL OF CANCER RESEARCH AND CLINICAL ONCOLOGY</t>
  </si>
  <si>
    <t>primary gastrointestinal lymphoma; Survival analysis; Machine learning; DeepSurv; Deep learning</t>
  </si>
  <si>
    <t>ELDERLY-PATIENTS; CELL LYMPHOMA</t>
  </si>
  <si>
    <t>/AFK-9510-2022; Wang, Feifan/JAN-9793-2023</t>
  </si>
  <si>
    <t>Wang, Feifan/0009-0005-1872-516X</t>
  </si>
  <si>
    <t>0171-5216</t>
  </si>
  <si>
    <t>1432-1335</t>
  </si>
  <si>
    <t>J CANCER RES CLIN</t>
  </si>
  <si>
    <t>J. Cancer Res. Clin. Oncol.</t>
  </si>
  <si>
    <t>12177</t>
  </si>
  <si>
    <t>12189</t>
  </si>
  <si>
    <t>10.1007/s00432-023-05123-0</t>
  </si>
  <si>
    <t>http://dx.doi.org/10.1007/s00432-023-05123-0</t>
  </si>
  <si>
    <t>Q5UQ9</t>
  </si>
  <si>
    <t>37428248</t>
  </si>
  <si>
    <t>WOS:001026615600005</t>
  </si>
  <si>
    <t>Wu, ZC; Wang, JH; Zhang, XH; Sun, BF; Qi, M; Liu, Y</t>
  </si>
  <si>
    <t>Background: Thoracic ossification of the ligamentum flavum (TOLF) is frequently underrecognized in its early stage because radiographic abnormalities on routine chest radiographs are often subtle. We aimed to develop and externally validate a deep learning model for opportunistic screening of TOLF using routine chest radiographs. Methods: This retrospective multicenter diagnostic study included an internal development cohort from Changzheng Hospital and an independent external validation cohort from South China Hospital. The internal cohort comprised 250 patients with TOLF and 250 control subjects collected between January 2017 and January 2023. The external cohort comprised 150 patients with TOLF and 150 control subjects. TOLF status was established on CT using predefined radiological criteria, whereas frontal and lateral chest radiographs were used only as model inputs. We evaluated multiple backbone architectures, including ResNet101, DenseNet169, Vision Transformer, and Swin Transformer, and additionally explored three dual-view fusion strategies. Model development was performed using 10-fold cross-validation in the internal cohort, and performance was summarized using bootstrap-derived 95% confidence intervals. Human-reader comparison was conducted in the internal cohort. Results: In backbone screening within the internal cohort, ResNet101 emerged as the best-performing architecture. After subsequent input-resolution optimization, the final lateral-view ResNet101 model achieved an accuracy of 97.0%, sensitivity of 94.0%, specificity of 100.0%, and an AUC of 0.970. None of the evaluated dual-view fusion strategies outperformed the best single lateral-view model, and the poorer performance of posterior-fusion models was mainly attributable to reduced sensitivity. Compared with experienced spine surgeons and imaging physicians, the internal ResNet101 model showed significantly higher sensitivity and overall accuracy (both p &lt; 0.001). In the external validation cohort, the locked model maintained robust discrimination, with an AUC of 0.954 for frontal radiographs and 0.995 for lateral radiographs. The corresponding accuracy/sensitivity/specificity values were 90.0%/84.7%/95.3% for frontal radiographs and 93.7%/89.3%/98.0% for lateral radiographs. Conclusion: A deep learning model based on routine chest radiographs may provide accurate and generalizable screening for TOLF across institutions. The lateral-view model showed the most consistent diagnostic performance, supporting its potential role as an opportunistic screening tool to prompt confirmatory CT evaluation.</t>
  </si>
  <si>
    <t>Wu, Zichuan; Wang, Juehan; Zhang, Xuhong; Sun, Baifeng; Qi, Min; Liu, Yang</t>
  </si>
  <si>
    <t>Qi, M; Liu, Y (corresponding author), Naval Med Univ, Changzheng Hosp, Dept Spine Surg, Shanghai, Peoples R China.</t>
  </si>
  <si>
    <t>lyspinesurgery@163.com; qiminspine@163.com</t>
  </si>
  <si>
    <t>Shanghai Municipal Education Commission Foundation [2023]; Ningbo Clinical Research Center for Orthopedics, Sports Medicine Rehabilitation [2024L004]</t>
  </si>
  <si>
    <t>Shanghai Municipal Education Commission Foundation; Ningbo Clinical Research Center for Orthopedics, Sports Medicine Rehabilitation</t>
  </si>
  <si>
    <t>The author(s) declared that financial support was received for this work and/or its publication. This work is funded by the Shanghai Municipal Education Commission Foundation (Grant No. 2023 Science and Technology 05-60) and Ningbo Clinical Research Center for Orthopedics, Sports Medicine &amp; Rehabilitation (2024L004).</t>
  </si>
  <si>
    <t>[Wu, Zichuan] Ningbo 6 Hosp, Dept Orthoped, Ningbo, Zhejiang, Peoples R China; [Wu, Zichuan] Ningbo Clin Res Ctr Orthoped Sports Med &amp; Rehabil, Ningbo, Zhejiang, Peoples R China; [Wang, Juehan] Shenzhen Univ, South China Hosp, Dept Orthopaed &amp; Reconstruct Surg Pediat Orthopaed, Shenzhen, Peoples R China; [Zhang, Xuhong; Sun, Baifeng; Qi, Min; Liu, Yang] Naval Med Univ, Changzheng Hosp, Dept Spine Surg, Shanghai, Peoples R China</t>
  </si>
  <si>
    <t>Shenzhen University; Naval Medical University</t>
  </si>
  <si>
    <t>Development and multicenter external validation of a deep learning model for early screening of thoracic ossification of the ligamentum flavum on routine chest radiographs</t>
  </si>
  <si>
    <t>FRONTIERS IN RADIOLOGY</t>
  </si>
  <si>
    <t>chest radiograph; deep learning; external validation; multicenter study; ResNet101; thoracic ossification of the ligamentum flavum</t>
  </si>
  <si>
    <t>POSTERIOR LONGITUDINAL LIGAMENT</t>
  </si>
  <si>
    <t>2673-8740</t>
  </si>
  <si>
    <t>FRONT RADIOL</t>
  </si>
  <si>
    <t>Front. Radiol.</t>
  </si>
  <si>
    <t>JUL 29 2026</t>
  </si>
  <si>
    <t>1867740</t>
  </si>
  <si>
    <t>10.3389/fradi.2026.1867740</t>
  </si>
  <si>
    <t>http://dx.doi.org/10.3389/fradi.2026.1867740</t>
  </si>
  <si>
    <t>MP1DS</t>
  </si>
  <si>
    <t>WOS:001847525100001</t>
  </si>
  <si>
    <t>Kieslich, A; Singh, Y; Palkowitsch, M; Starke, S; Hennings, F; Troost, EGC; Krause, M; Bensberg, J; Lühr, A; Heinzelmann, F; Bäumer, C; Timmermann, B; Depauw, N; Shih, HA; Löck, S</t>
  </si>
  <si>
    <t>Background and Purpose: Accounting for the linear energy transfer (LET) in proton radiotherapy may reduce treatment-related side effects. When Monte Carlo (MC) simulations are unavailable, deep-learning (DL) surrogate models can be applied. We develop DL LET models for brain tumour patients and assess their uncertainty for an external dataset lacking LET reference. Material and Methods: A multi-institutional dataset of 570 patients with 605 treatment plans was used for model development and evaluation. DL models predicting dose-averaged LET (LETd) were trained separately for pencil-beam scanning (PBS) and double scattering (DS) treatments, as well as a combined PBS+DS model. Deviations from MC reference were evaluated by median and 98th percentile voxelwise absolute errors (VAE) in organs at risk and the treatment target. Uncertainty was evaluated via deep ensemble variance and latent space distance, correlated with the median VAE, and applied to an external DS cohort without LETd reference. Results: The PBS+DS model achieved average median VAEs below 0.42 keV/mu m. Ensemble variance and latent space distance showed positive correlations with error, with the strongest association observed for ensemble variance (up to = 0.88). Both uncertainty metrics indicated an estimated average median VAE below 0.54 keV/mu m for the DS model on the external DS data.</t>
  </si>
  <si>
    <t>Kieslich, Aaron; Singh, Yerik; Palkowitsch, Martina; Starke, Sebastian; Hennings, Fabian; Troost, Esther G. C.; Krause, Mechthild; Bensberg, Jona; Luhr, Armin; Heinzelmann, Feline; Baumer, Christian; Timmermann, Beate; Depauw, Nicolas; Shih, Helen A.; Lock, Steffen</t>
  </si>
  <si>
    <t>Kieslich, A; Löck, S (corresponding author), TUD Dresden Univ Technol, Fac Med, OncoRay Natl Ctr Radiat Res Oncol, Helmholtz Zentrum Dresden Rossendorf, Dresden, Germany.; Kieslich, A; Löck, S (corresponding author), TUD Dresden Univ Technol, Univ Hosp Carl Gustav Carus, Helmholtz Zentrum Dresden Rossendorf, Dresden, Germany.</t>
  </si>
  <si>
    <t>aaron.kieslich@oncoray.de; steffen.loeck@oncoray.de</t>
  </si>
  <si>
    <t>Medipan GmbH, Attomol GmbH, GA Generic Assays GmbH, Gesellschaft fr medizinische und wissenschaftliche genetische Analysen, Lipotype GmbH [2019-2022]</t>
  </si>
  <si>
    <t>Medipan GmbH, Attomol GmbH, GA Generic Assays GmbH, Gesellschaft fr medizinische und wissenschaftliche genetische Analysen, Lipotype GmbH</t>
  </si>
  <si>
    <t>and Research) with industry participation, including Medipan GmbH, Attomol GmbH, GA Generic Assays GmbH, Gesellschaft fur medizinische und wissenschaftliche genetische Analysen, Lipotype GmbH, and PolyAn GmbH (2019-2022) . Dr. Krause confirms that, to the best of her knowledge, none of the above-mentioned funding sources were involved in the preparation of this paper. Dr. Esther G. C. Troost serves as a member of the Scientific Advisory Board of IBA. She confirms that, to the best of her knowledge, the findings of this work are not related to this conflict of interest. Dr. Steffen Lock is a Guest Editor of the virtual special issue "Analysis, expression and reporting of uncertainties in dosimetry and statistical outcome modelling in Radiation Oncology" in the journal Physics and Imaging in Radiation Oncology (PhiRO) . He had no involvement in the peer-review of this article and no access to information regarding its peer-review. Full responsibility for the editorial handling and decision-making process for this manuscript was delegated to another independent journal editor. All other authors declare no conflicts of interest.</t>
  </si>
  <si>
    <t>[Kieslich, Aaron; Singh, Yerik; Palkowitsch, Martina; Starke, Sebastian; Hennings, Fabian; Troost, Esther G. C.; Krause, Mechthild; Lock, Steffen] TUD Dresden Univ Technol, Fac Med, OncoRay Natl Ctr Radiat Res Oncol, Helmholtz Zentrum Dresden Rossendorf, Dresden, Germany; [Kieslich, Aaron; Singh, Yerik; Palkowitsch, Martina; Starke, Sebastian; Hennings, Fabian; Troost, Esther G. C.; Krause, Mechthild; Lock, Steffen] TUD Dresden Univ Technol, Univ Hosp Carl Gustav Carus, Helmholtz Zentrum Dresden Rossendorf, Dresden, Germany; [Kieslich, Aaron; Palkowitsch, Martina; Hennings, Fabian; Troost, Esther G. C.; Krause, Mechthild; Lock, Steffen] Helmholtz Zentrum Dresden Rossendorf, Inst Radiooncol OncoRay, Dresden, Germany; [Singh, Yerik] Ludwig Maximilians Univ Munchen, Inst Med Informat Proc Biometry &amp; Epidemiol, Munich, Germany; [Starke, Sebastian] Helmholtz Zentrum Dresden Rossendorf, Dept Informat Serv &amp; Comp, Dresden, Germany; [Troost, Esther G. C.; Krause, Mechthild; Lock, Steffen] German Canc Res Ctr, Partner Site Dresden, Heidelberg, Germany; [Troost, Esther G. C.; Krause, Mechthild; Lock, Steffen] German Canc Res Ctr, Heidelberg, Germany; [Troost, Esther G. C.; Krause, Mechthild; Lock, Steffen] DKFZ, Fac Med, Natl Ctr Tumor Dis NCT, NCT UCC Dresden, Dresden, Germany; [Troost, Esther G. C.; Krause, Mechthild; Lock, Steffen] TUD Dresden Univ Technol, Univ Hosp Carl Gustav Carus, Natl Ctr Tumor Dis NCT, NCT UCC Dresden, Dresden, Germany; [Troost, Esther G. C.; Krause, Mechthild; Lock, Steffen] Helmholtz Zentrum Dresden Rossendorf, Natl Ctr Tumor Dis NCT, NCT UCC Dresden, Dresden, Germany; [Troost, Esther G. C.; Krause, Mechthild; Lock, Steffen] TUD Dresden Univ Technol, Fac Med, Dept Radiotherapy &amp; Radiat Oncol, Dresden, Germany; [Troost, Esther G. C.; Krause, Mechthild; Lock, Steffen] TUD Dresden Univ Technol, Univ Hosp Carl Gustav Carus, Dresden, Germany; [Bensberg, Jona; Luhr, Armin; Baumer, Christian] TU Dortmund Univ, Dept Phys, Dortmund, Germany; [Heinzelmann, Feline; Baumer, Christian; Timmermann, Beate] Univ Hosp Essen, West German Proton Therapy Ctr Essen WPE, Essen, Germany; [Heinzelmann, Feline; Baumer, Christian; Timmermann, Beate] German Canc Consortium DKTK, Partner Site Essen, Heidelberg, Germany; [Heinzelmann, Feline; Baumer, Christian; Timmermann, Beate] German Canc Res Ctr, Heidelberg, Germany; [Timmermann, Beate] Univ Hosp Essen, Clin Particle Therapy, Essen, Germany; [Depauw, Nicolas; Shih, Helen A.] Massachusetts Gen Hosp, Dept Radiat Oncol, Mass Gen Brigham, Boston, MA USA; [Depauw, Nicolas; Shih, Helen A.] Harvard Med Sch, Boston, MA USA; [Bensberg, Jona] Univ Med Ctr Gottingen, Dept Radiotherapy &amp; Radiat Oncol, Gottingen, Germany</t>
  </si>
  <si>
    <t>Technische Universitat Dresden; Helmholtz Association; Helmholtz-Zentrum Dresden-Rossendorf (HZDR); Helmholtz Association; Technische Universitat Dresden; Helmholtz-Zentrum Dresden-Rossendorf (HZDR); Carl Gustav Carus University Hospital; Helmholtz Association; Helmholtz-Zentrum Dresden-Rossendorf (HZDR); University of Munich; Helmholtz Association; Helmholtz-Zentrum Dresden-Rossendorf (HZDR); Helmholtz Association; German Cancer Research Center (DKFZ); Helmholtz Association; German Cancer Research Center (DKFZ); Technische Universitat Dresden; Ruprecht Karls University Heidelberg; Helmholtz Association; Carl Gustav Carus University Hospital; National Center for Tumor Diseases; German Cancer Research Center (DKFZ); Ruprecht Karls University Heidelberg; Helmholtz Association; Technische Universitat Dresden; National Center for Tumor Diseases; German Cancer Research Center (DKFZ); Carl Gustav Carus University Hospital; Ruprecht Karls University Heidelberg; Helmholtz Association; National Center for Tumor Diseases; Helmholtz-Zentrum Dresden-Rossendorf (HZDR); German Cancer Research Center (DKFZ); Technische Universitat Dresden; Technische Universitat Dresden; Carl Gustav Carus University Hospital; Dortmund University of Technology; University of Duisburg Essen; Helmholtz Association; German Cancer Research Center (DKFZ); Helmholtz Association; German Cancer Research Center (DKFZ); University of Duisburg Essen; Harvard University; Mass General Brigham; Harvard University Medical Affiliates; Massachusetts General Hospital; Harvard University; Harvard Medical School; University of Gottingen; University of Gottingen Hospital</t>
  </si>
  <si>
    <t>Deep learning for dose-averaged linear energy transfer estimation in pencil-beam scanning and double scattering proton radiotherapy plans with uncertainty-aware external validation☆</t>
  </si>
  <si>
    <t>Proton radiotherapy; Linear energy transfer; Deep learning; Pencil beam scanning; Double scattering; Uncertainty quantification</t>
  </si>
  <si>
    <t>RELATIVE BIOLOGICAL EFFECTIVENESS; EFFECTIVENESS RBE VALUES; CLINICAL-EVIDENCE; THERAPY; BRAIN</t>
  </si>
  <si>
    <t>Palkowitsch, Martina/LIH-5343-2024; Depauw, Nicolas/GOP-1547-2022; Bäumer, Christian/AAE-3994-2022; Krause, Mechthild/KJL-8552-2024; Shih, Helen/O-7653-2017</t>
  </si>
  <si>
    <t>100998</t>
  </si>
  <si>
    <t>10.1016/j.phro.2026.100998</t>
  </si>
  <si>
    <t>http://dx.doi.org/10.1016/j.phro.2026.100998</t>
  </si>
  <si>
    <t>IS9RU</t>
  </si>
  <si>
    <t>42212206</t>
  </si>
  <si>
    <t>WOS:001779584400001</t>
  </si>
  <si>
    <t>Liu, XY; Li, SL; Zou, XF; Chen, X; Xu, HJ; Yu, Y; Gu, Z; Liu, D; Li, RC; Wu, YJ; Wang, GZ; Liao, HE; Qian, WW; Zhang, YL</t>
  </si>
  <si>
    <t>Background: This study aimed to develop a novel deep convolutional neural network called Dual-path Double Attention Transformer (DDA-Transformer) designed to achieve precise and fast knee joint CT image segmentation and to validate it in robotic-assisted total knee arthroplasty (TKA). Methods: The femoral, tibial, patellar, and fibular segmentation performance and speed were evaluated and the accuracy of component sizing, bone resection and alignment of the robotic-assisted TKA system constructed using this deep learning network was clinically validated. Results: Overall, DDA-Transformer outperformed six other networks in terms of the Dice coefficient, intersection over union, average surface distance, and Hausdorff distance. DDA-Transformer exhibited significantly faster segmentation speeds than nnUnet, TransUnet and 3D-Unet (p &lt; 0.01). Furthermore, the robotic-assisted TKA system outperforms the manual group in surgical accuracy. Conclusions: DDA-Transformer exhibited significantly improved accuracy and robustness in knee joint segmentation, and this convenient and stable knee joint CT image segmentation network significantly improved the accuracy of the TKA procedure.</t>
  </si>
  <si>
    <t>Liu, Xingyu; Li, Songlin; Zou, Xiongfei; Chen, Xi; Xu, Hongjun; Yu, Yang; Gu, Zhao; Liu, Dong; Li, Runchao; Wu, Yaojiong; Wang, Guangzhi; Liao, Hongen; Qian, Wenwei; Zhang, Yiling</t>
  </si>
  <si>
    <t>Zhang, YL (corresponding author), Tsinghua Univ, Sch Biomed Engn, Beijing, Peoples R China.; Qian, WW (corresponding author), Chinese Acad Med Sci &amp; Peking Union Med Coll, Peking Union Med Coll Hosp, Dept Orthoped Surg, 1 Shuaifuyuan Wangfujing, Beijing, Peoples R China.</t>
  </si>
  <si>
    <t>ylzhang@changmugu.com; qianww007@163.com</t>
  </si>
  <si>
    <t>Key Project of Regional Innovation Joint Fund of National Natural Science Foundation [U22A20355]; Beijing Science and Technology Commission AI Health Collaborative Innovation Cultivation [Z221100003522003, Z231100003522008]; CAMS Innovation Fund for Medical Sciences [CIFMS, 2022-I2M-CT-B-034]; National High Level Hospital Clinical Research Funding [2022-PUMCH-B-001]</t>
  </si>
  <si>
    <t>Key Project of Regional Innovation Joint Fund of National Natural Science Foundation (National Natural Science Foundation of China (NSFC)); Beijing Science and Technology Commission AI Health Collaborative Innovation Cultivation; CAMS Innovation Fund for Medical Sciences; National High Level Hospital Clinical Research Funding</t>
  </si>
  <si>
    <t>Key Project of Regional Innovation Joint Fund of National Natural Science Foundation, Grant Number: U22A20355; Beijing Science and Technology Commission AI Health Collaborative Innovation Cultivation, Grant Numbers: Z221100003522003, Z231100003522008; CAMS Innovation Fund for Medical Sciences, Grant Number: CIFMS, 2022-I2M-C &amp; T-B-034; National High Level Hospital Clinical Research Funding, Grant Number: 2022-PUMCH-B-001</t>
  </si>
  <si>
    <t>[Liu, Xingyu] Tsinghua Univ, Sch Life Sci, Beijing, Peoples R China; [Liu, Xingyu; Wu, Yaojiong] Inst Biomed &amp; Hlth Engn IBHE, Tsinghua Shenzhen Int Grad Sch, Shenzhen, Peoples R China; [Liu, Xingyu; Wang, Guangzhi; Liao, Hongen; Zhang, Yiling] Tsinghua Univ, Sch Biomed Engn, Beijing, Peoples R China; [Li, Songlin] Shandong Univ, Qilu Hosp, Cheeloo Coll Med, Dept Orthoped, Jinan, Shandong, Peoples R China; [Li, Songlin; Zou, Xiongfei; Xu, Hongjun; Yu, Yang; Qian, Wenwei] Chinese Acad Med Sci &amp; Peking Union Med Coll, Peking Union Med Coll Hosp, Dept Orthoped Surg, 1 Shuaifuyuan Wangfujing, Beijing, Peoples R China; [Chen, Xi] Sichuan Univ, West China Hosp, West China Sch Med, Dept Orthoped, Chengdu, Peoples R China; [Gu, Zhao; Liu, Dong; Li, Runchao] Longwood Valley Med Technol Co Ltd, Beijing, Peoples R China</t>
  </si>
  <si>
    <t>Tsinghua University; Tsinghua Shenzhen International Graduate School; Tsinghua University; Shandong University; Chinese Academy of Medical Sciences - Peking Union Medical College; Peking Union Medical College; Peking Union Medical College Hospital; Sichuan University</t>
  </si>
  <si>
    <t>Development and clinical validation of a deep learning-based knee CT image segmentation method for robotic-assisted total knee arthroplasty</t>
  </si>
  <si>
    <t>INTERNATIONAL JOURNAL OF MEDICAL ROBOTICS AND COMPUTER ASSISTED SURGERY</t>
  </si>
  <si>
    <t>computed tomography; deep convolutional neural network; image segmentation; knee; Unet</t>
  </si>
  <si>
    <t>AUTOMATIC SEGMENTATION; CARTILAGE; JOINT</t>
  </si>
  <si>
    <t>Liao, Hongen/C-3097-2009; Li, Songlin/ABB-5868-2021</t>
  </si>
  <si>
    <t>1478-5951</t>
  </si>
  <si>
    <t>1478-596X</t>
  </si>
  <si>
    <t>INT J MED ROBOT COMP</t>
  </si>
  <si>
    <t>Int. J. Med. Robot. Comput. Assist. Surg.</t>
  </si>
  <si>
    <t>JUL 12 2024</t>
  </si>
  <si>
    <t>e2664</t>
  </si>
  <si>
    <t>10.1002/rcs.2664</t>
  </si>
  <si>
    <t>http://dx.doi.org/10.1002/rcs.2664</t>
  </si>
  <si>
    <t>YS4Q7</t>
  </si>
  <si>
    <t>38994900</t>
  </si>
  <si>
    <t>WOS:001270464000001</t>
  </si>
  <si>
    <t>Guo, ZP; Liu, Y; Xu, JX; Huang, CC; Zhang, FD; Miao, CC; Zhang, YG; Li, MS; Shan, HS; Gu, Y</t>
  </si>
  <si>
    <t>Objective To develop a deep learning (DL) model for carotid plaque detection based on CTA images and evaluate the clinical application feasibility and value of the model. Methods We retrospectively collected data from patients with carotid atherosclerotic plaques who underwent continuous CTA examinations of the head and neck at a tertiary hospital from October 2020 to October 2022. The model combined ResUNet with the Pyramid Scene Parsing Network (PSPNet) to enhance plaque segmentation. Patient plaques were divided into training, validation, and testing sets in a ratio of 7:1.5:1.5. We analyzed recall (lesion-level sensitivity), sensitivity (patient-level), and precision to evaluate the model's diagnostic performance for carotid plaques. The two stepwise early-stage clinical validation study (Comparison study and Model-human study) was used to simulate real clinical plaque diagnostic scenarios. Results In total, 647 patients were included in the dataset, including 475 for training, 86 for validation, and 86 for testing. The DL model based on CTA images showed good precision in plaque diagnosis (validation set: precision = 80.49%, sensitivity = 90.70%, recall = 84.62%; test set: precision = 78.37%, sensitivity = 91.86%, recall = 84.58%). In addition, subgroup analysis of the plaque was carried out in the test set. The model had high accuracy in identifying plaques at different locations (Recall: 83.72, 76.32, 89.25, and 83.02%) and with different morphologies (Recall: 86.03, 79.17%). This model also analyzed the results of different types of plaques and showed good to moderate plaque diagnostic accuracy for different plaque types (Recall: 70.00, 86.87, 84.29%). Especially, in the clinical application scenario analysis, the model's diagnostic results for plaques were found to be higher than those of 4 out of 6 radiologists (p &lt; 0.001). Furthermore, in Model-human Real Clinical Scenarios study, we found that the model improved the radiologists' sensitivity in diagnosing plaques. Additionally, the model's diagnostic time for plaques (6 s) was found to be significantly shorter than that all of radiologists (p &lt; 0.001). Conclusion This AI model demonstrated strong clinical potential for carotid plaque detection with improved clinician diagnostic performance, shortening time, and practical implementation in real-world clinical cases.</t>
  </si>
  <si>
    <t>Guo, Zhongping; Liu, Ying; Xu, Jingxu; Huang, Chencui; Zhang, Fandong; Miao, Chongchang; Zhang, Yonggang; Li, Mengshuang; Shan, Hangsheng; Gu, Yan</t>
  </si>
  <si>
    <t>Gu, Y (corresponding author), Nanjing Med Univ, Peoples Hosp Lianyungang 1, Lianyungang Clin Coll, Dept Radiol, Lianyungang, Peoples R China.</t>
  </si>
  <si>
    <t>guyan2020@njmu.edu.cn</t>
  </si>
  <si>
    <t>Lianyungang City health Commission surface of State project foundation [202204]; Clinical Research Fund Project of Lianyungang First People's Hospital [LC06]</t>
  </si>
  <si>
    <t>Lianyungang City health Commission surface of State project foundation; Clinical Research Fund Project of Lianyungang First People's Hospital</t>
  </si>
  <si>
    <t>The author(s) declare that financial support was received for the research, authorship, and/or publication of this article. This work has been supported by the Lianyungang City health Commission surface of State project foundation (grant no. 202204) and Clinical Research Fund Project of Lianyungang First People's Hospital (Grant No: LC06).</t>
  </si>
  <si>
    <t>[Guo, Zhongping; Liu, Ying; Miao, Chongchang; Zhang, Yonggang; Li, Mengshuang; Shan, Hangsheng; Gu, Yan] Nanjing Med Univ, Peoples Hosp Lianyungang 1, Lianyungang Clin Coll, Dept Radiol, Lianyungang, Peoples R China; [Xu, Jingxu; Huang, Chencui] Beijing Deepwise &amp; League Technol Co Ltd, Dept Res Collaborat, R&amp;D Ctr, Beijing, Peoples R China; [Zhang, Fandong] Deepwise Artificial Intelligence AI Lab, Deepwise, Beijing, Peoples R China</t>
  </si>
  <si>
    <t>A deep learning model for carotid plaques detection based on CTA images: a two stepwise early-stage clinical validation study</t>
  </si>
  <si>
    <t>computed tomography angiography; artificial intelligence; head and neck; carotid plaque; deep learning</t>
  </si>
  <si>
    <t>Xu, Jingxu/KFQ-4591-2024</t>
  </si>
  <si>
    <t>JAN 13 2025</t>
  </si>
  <si>
    <t>1480792</t>
  </si>
  <si>
    <t>10.3389/fneur.2024.1480792</t>
  </si>
  <si>
    <t>http://dx.doi.org/10.3389/fneur.2024.1480792</t>
  </si>
  <si>
    <t>T8H2K</t>
  </si>
  <si>
    <t>39871993</t>
  </si>
  <si>
    <t>WOS:001407341800001</t>
  </si>
  <si>
    <t>Taguchi, S; Tambo, M; Watanabe, M; Machida, H; Kariyasu, T; Fukushima, K; Shimizu, Y; Okegawa, T; Yokoyama, K; Fukuhara, H</t>
  </si>
  <si>
    <t>Purpose: The Vesical Imaging Reporting and Data System (VI-RADS) was launched in 2018 to standardize reporting of magnetic resonance imaging for bladder cancer. This study aimed to prospectively validate VI-RADS using a next-generation magnetic resonance imaging scanner and to investigate the usefulness of denoising deep learning reconstruction.Materials and Methods: We prospectively enrolled 98 patients who underwent bladder multiparametric magnetic resonance imaging using a next-generation magnetic resonance imaging scanner before transurethral resection of bladder tumor. Tumors were categorized according to VI-RADS, and we ultimately analyzed 68 patients with pathologically confirmed urothelial bladder cancer. We used receiving operating characteristic curve analyses to assess the predictive accuracy of VI-RADS for muscle invasion. Sensitivity, specificity, positive/negative predictive value, accuracy and area under the curve were calculated for different VI-RADS score cutoffs.Results: Muscle invasion was detected in the transurethral resection of bladder tumor specimens of 18 patients (26%). The optimal cutoff value of the VI-RADS score was determined as &gt;= 4 based on the receiver operating curve analyses. The accuracy of diagnosing muscle invasion using a cutoff of VI-RADS &gt;= 4 was 94% (AUC 0.92). Additionally, we assessed the utility of denoising deep learning reconstruction. Combination with denoising deep learning reconstruction significantly improved the AUC of category by T2-weighted imaging, and of the 4 patients who were misdiagnosed by the final VI-RADS score 3 were correctly diagnosed by T2-weighted imaging+denoising deep learning reconstruction.Conclusions: In this prospective validation study with a next-generation magnetic resonance imaging scanner, VI-RADS showed high predictive accuracy for muscle invasion in patients with bladder cancer before transurethral resection of bladder tumor. Combining T2-weighted imaging with denoising deep learning reconstruction might further improve the diagnostic accuracy of VI-RADS.</t>
  </si>
  <si>
    <t>Taguchi, Satoru; Tambo, Mitsuhiro; Watanabe, Masanaka; Machida, Haruhiko; Kariyasu, Toshiya; Fukushima, Keita; Shimizu, Yuta; Okegawa, Takatsugu; Yokoyama, Kenichi; Fukuhara, Hiroshi</t>
  </si>
  <si>
    <t>Tambo, M (corresponding author), Kyorin Univ, Sch Med, Dept Urol, 6-20-2 Shinkawa, Mitaka, Tokyo 1818611, Japan.; Machida, H (corresponding author), Kyorin Univ, Sch Med, Dept Radiol, Tokyo, Japan.</t>
  </si>
  <si>
    <t>hmachida@ks.kyorin-u.ac.jp; tanbodes@ks.kyorin-u.ac.jp</t>
  </si>
  <si>
    <t>Kyorin University School of Medicine [S129230001]</t>
  </si>
  <si>
    <t>Kyorin University School of Medicine</t>
  </si>
  <si>
    <t>Supported by the Collaborative Project Grant by Kyorin University School of Medicine (Mitsuhiro Tambo, Grant S129230001).</t>
  </si>
  <si>
    <t>[Taguchi, Satoru; Tambo, Mitsuhiro; Okegawa, Takatsugu; Fukuhara, Hiroshi] Kyorin Univ, Sch Med, Dept Urol, 6-20-2 Shinkawa, Mitaka, Tokyo 1818611, Japan; [Watanabe, Masanaka; Machida, Haruhiko; Kariyasu, Toshiya; Fukushima, Keita; Shimizu, Yuta; Yokoyama, Kenichi] Kyorin Univ, Sch Med, Dept Radiol, Tokyo, Japan</t>
  </si>
  <si>
    <t>Kyorin University; Kyorin University</t>
  </si>
  <si>
    <t>Prospective Validation of Vesical Imaging-Reporting and Data System Using a Next-Generation Magnetic Resonance Imaging Scannerd-Is Denoising Deep Learning Reconstruction Useful?</t>
  </si>
  <si>
    <t>JOURNAL OF UROLOGY</t>
  </si>
  <si>
    <t>urinary bladder neoplasms; deep learning; magnetic resonance imaging; prospective studies</t>
  </si>
  <si>
    <t>INVASIVE BLADDER-CANCER; VI-RADS; MULTIPARAMETRIC MRI</t>
  </si>
  <si>
    <t>Taguchi, Satoru/AGK-6495-2022</t>
  </si>
  <si>
    <t>Taguchi, Satoru/0000-0002-1291-4294</t>
  </si>
  <si>
    <t>0022-5347</t>
  </si>
  <si>
    <t>1527-3792</t>
  </si>
  <si>
    <t>J UROLOGY</t>
  </si>
  <si>
    <t>J. Urol.</t>
  </si>
  <si>
    <t>686</t>
  </si>
  <si>
    <t>692</t>
  </si>
  <si>
    <t>QG1AU</t>
  </si>
  <si>
    <t>33021428</t>
  </si>
  <si>
    <t>WOS:000617319700008</t>
  </si>
  <si>
    <t>Tang, HJ; Hao, HR; Han, Y</t>
  </si>
  <si>
    <t>Purpose Sepsis is a leading cause of mortality, especially among immunocompromised patients with lung cancer. We aimed to establish machine learning (ML) based model to accurately forecast ICU mortality in patients with sepsis combined lung cancer.Methods We incorporated patients with sepsis combined lung cancer from Medical Information Mart for Intensive Care IV (MIMIC IV) database. Univariate and multivariate logistic analysis were employed to select variables. Recursive Feature Elimination (RFE) method based on 6 ML algorithms was used for feature selection. We harnessed 13 ML algorithms to construct prediction model, which were assessed by area under the curve (AUC), accuracy, sensitivity, specificity, precision, cross-entropy and Brier scores. The best ML model was constructed to predict ICU mortality, and the predictive results were interpretated by SHapley Additive exPlanations (SHAP) framework.Results A sum of 1096 lung cancer patients combined sepsis from MIMIC IV database and 251 patients from the external validation set were included. We utilized 13 clinical variables to establish prediction model for ICU mortality. CatBoost model was identified as the prime prediction model with the highest AUC in the training (0.931 [0.921, 0.945]), internal validation (0.698 [0.673, 0.724]) and external validation (0.794 [0.725, 0.879]) cohorts. Oxford Acute Severity of Illness Score (OASIS) had the greatest influence on ICU mortality according to SHAP interpretation.Conclusions Our ML models demonstrate excellent accuracy and reliability, facilitating more rigorous personalized prognostic forecast to lung cancer patients combined sepsis.</t>
  </si>
  <si>
    <t>Tang, Hongjie; Hao, Hairong; Han, Yue</t>
  </si>
  <si>
    <t>Han, Y (corresponding author), Xuzhou Cent Hosp, Dept Crit Care Med, Xuzhou, Jiangsu, Peoples R China.; Hao, HR (corresponding author), Huaian Hosp Affiliated Xuzhou Med Univ, Huaian Peoples Hosp 2, Dept Endocrinol &amp; Metab, Huaian, Jiangsu, Peoples R China.</t>
  </si>
  <si>
    <t>ahfyhy@sina.cn</t>
  </si>
  <si>
    <t>[Tang, Hongjie; Han, Yue] Xuzhou Cent Hosp, Dept Crit Care Med, Xuzhou, Jiangsu, Peoples R China; [Hao, Hairong] Huaian Hosp Affiliated Xuzhou Med Univ, Huaian Peoples Hosp 2, Dept Endocrinol &amp; Metab, Huaian, Jiangsu, Peoples R China</t>
  </si>
  <si>
    <t>Southeast University - China</t>
  </si>
  <si>
    <t>Personalized ICU mortality assessment by interpretable machine learning algorithms in patients with sepsis combined lung cancer: a population-based study and an external validation cohort</t>
  </si>
  <si>
    <t>machine learning; sepsis; lung cancer; ICU mortality; MIMIV-IV</t>
  </si>
  <si>
    <t>INTERNATIONAL CONSENSUS DEFINITIONS; SERUM ANION GAP; SEPTIC SHOCK; RISK; OUTCOMES; SCORE</t>
  </si>
  <si>
    <t>Tang, 汤宏杰/0009-0009-1808-4090</t>
  </si>
  <si>
    <t>OCT 1 2025</t>
  </si>
  <si>
    <t>1661212</t>
  </si>
  <si>
    <t>10.3389/fonc.2025.1661212</t>
  </si>
  <si>
    <t>http://dx.doi.org/10.3389/fonc.2025.1661212</t>
  </si>
  <si>
    <t>8OK7V</t>
  </si>
  <si>
    <t>41103941</t>
  </si>
  <si>
    <t>WOS:001593503300001</t>
  </si>
  <si>
    <t>Kirpalani, A; Viel, T; Hu, ZX; Lin, HM; Hermans, S; Gomez, D; Moreland, R; Mathur, S; Jhaveri, A; Wu, MT; Vlachou, PA; Tafur, M; Sejdic, E; Colak, E</t>
  </si>
  <si>
    <t>PurposeThis study aims to validate the performance of an award-winning machine learning (ML) model from the Radiological Society of North America (RSNA) 2023 Abdominal Trauma AI Challenge in detecting splenic injuries on CT scans using a large, geographically and temporally distinct external dataset.MethodA single-center retrospective study was conducted using an external dataset comprising 1216 CT scans (608 positive and 608 negative for splenic injuries). The ML model, trained on the RSNA Abdominal Traumatic Injury CT (RATIC) dataset, employs a multi-component pipeline including 2D MaxVit, 2.5D CoatNet with LSTM for study-level predictions. Model performance was evaluated using sensitivity, specificity, PPV, NPV, accuracy, F1 score, and AUC.ResultsThe ML model achieved an AUC of 0.931 (95% CI: 0.917, 0.945) for binary classification of splenic injuries, with an accuracy of 0.849 (95% CI: 0.827, 0.868), sensitivity of 0.747 (95% CI: 0.711, 0.780), and specificity of 0.951 (95% CI: 0.930, 0.965). For high-grade splenic injuries, the model achieved an AUC of 0.950 (95% CI: 0.932, 0.968), accuracy of 0.928 (95% CI: 0.912, 0.941), sensitivity of 0.719 (95% CI: 0.643, 0.784), and specificity of 0.958 (95% CI: 0.944, 0.968).ConclusionThe ML model shows strong, reliable performance and generalizability in detecting and grading splenic injuries on CT scans. This supports its potential clinical application, particularly for quick and accurate diagnosis in splenic trauma patients, and highlights the value of RSNA AI challenges in advancing clinical research and applications in medical imaging.</t>
  </si>
  <si>
    <t>Kirpalani, Anish; Viel, Theo; Hu, Zixuan; Lin, Hui Ming; Hermans, Sebastiaan; Gomez, David; Moreland, Robert; Mathur, Shobhit; Jhaveri, Aaditeya; Wu, Matthew; Vlachou, Paraskevi A.; Tafur, Monica; Sejdic, Ervin; Colak, Errol</t>
  </si>
  <si>
    <t>Colak, E (corresponding author), Unity Hlth Toronto, St Michaels Hosp, Dept Med Imaging, Toronto, ON, Canada.; Colak, E (corresponding author), Unity Hlth Toronto, Li Ka Shing Knowledge Inst, Toronto, ON M5B 1T8, Canada.</t>
  </si>
  <si>
    <t>Matthew.Wu@unityhealth.to; Hui-Ming.Lin@unityhealth.to; paraskevi.vlachou@gmail.com; sebastiaan.l.hermans@gmail.com; Anish.Kirpalani@unityhealth.to; zixuanh.hu@mail.utoronto.ca; Robert.Moreland@unityhealth.to; David.Gomez@unityhealth.to; Shobhit.Mathur@unityhealth.to; ervin.sejdic@utoronto.ca; Errol.Colak@unityhealth.to; Monica.Tafur@unityhealth.to; ajhaveri.11.22@gmail.com; theo.viel.enpc@gmail.com</t>
  </si>
  <si>
    <t>[Kirpalani, Anish; Lin, Hui Ming; Hermans, Sebastiaan; Moreland, Robert; Mathur, Shobhit; Jhaveri, Aaditeya; Wu, Matthew; Vlachou, Paraskevi A.; Tafur, Monica; Colak, Errol] Unity Hlth Toronto, St Michaels Hosp, Dept Med Imaging, Toronto, ON, Canada; [Kirpalani, Anish; Hermans, Sebastiaan; Moreland, Robert; Mathur, Shobhit; Jhaveri, Aaditeya; Wu, Matthew; Vlachou, Paraskevi A.; Tafur, Monica; Colak, Errol] Univ Toronto, Temetry Fac Med, Dept Med Imaging, Toronto, ON, Canada; [Kirpalani, Anish; Gomez, David; Mathur, Shobhit; Colak, Errol] Unity Hlth Toronto, Li Ka Shing Knowledge Inst, Toronto, ON M5B 1T8, Canada; [Viel, Theo] NVIDIA, Paris, France; [Hu, Zixuan; Sejdic, Ervin] Univ Toronto, Edward S Rogers Dept Elect &amp; Comp Engn, Toronto, ON, Canada; [Gomez, David] Unity Hlth Toronto, St Michaels Hosp, Div Gen Surg, Toronto, ON, Canada; [Gomez, David] Univ Toronto, Temetry Fac Med, Dept Surg, Toronto, ON, Canada; [Gomez, David] Univ Toronto, Inst Med Sci, Toronto, ON, Canada; [Gomez, David] Univ Toronto, Inst Hlth Policy Management &amp; Evaluat, Toronto, ON, Canada; [Sejdic, Ervin] North York Gen Hosp, Toronto, ON, Canada</t>
  </si>
  <si>
    <t>University of Toronto; University of Toronto; University of Toronto; University of Toronto; North York General Hospital</t>
  </si>
  <si>
    <t>External validation of an RSNA 2023 Abdominal Trauma AI Challenge high performing machine learning model in the detection and grading of splenic injuries on CT</t>
  </si>
  <si>
    <t>Splenic injury; Trauma; AAST; Artificial intelligence; Machine learning; Computed tomography (CT); External validation</t>
  </si>
  <si>
    <t>Mathur, Shobhit/AAR-4859-2020</t>
  </si>
  <si>
    <t>Mathur, Shobhit/0000-0002-7334-3341; Hermans, Sebastiaan/0000-0002-7967-5224; Hu, Zixuan/0009-0000-7968-8757; Lin, Hui Ming/0000-0002-9598-3921; moreland, robert/0000-0001-5456-1637; Jhaveri, Aaditeya/0000-0003-1215-072X; Gomez, David/0000-0002-0926-2547</t>
  </si>
  <si>
    <t>5581</t>
  </si>
  <si>
    <t>5590</t>
  </si>
  <si>
    <t>10.1007/s00261-025-04910-2</t>
  </si>
  <si>
    <t>http://dx.doi.org/10.1007/s00261-025-04910-2</t>
  </si>
  <si>
    <t>9CX8A</t>
  </si>
  <si>
    <t>40312490</t>
  </si>
  <si>
    <t>WOS:001479644300001</t>
  </si>
  <si>
    <t>Sun, YF; Wang, ZJ; Zhou, JY; Cui, LL; Wang, HD</t>
  </si>
  <si>
    <t>Background: Ovarian endometriomas damage the ovarian structure, alter ovarian inflammation, and impair ovarian reserve. Given the conflicting results, determining an optimal reproductive strategy for women with endometriomas &amp; horbar;whether expectant management, medication, surgery, or assisted reproductive technology (ART)&amp; horbar;remains challenging. Objective: This study aims to preliminarily develop and validate clinically applicable decision-support tools by training, testing, and validating an automated machine learning (ML) model to predict the likelihood of live birth following ART in women with endometriomas. Methods: The derivation and testing cohort included 1705 women, and the external validation cohort included 1475 women with ovarian endometriomas following ART retrospectively. Two ML models were developed and validated to predict the probability of live birth. Model performance was evaluated using the area under the curve (AUC), accuracy, sensitivity, specificity, F1 score, and Brier score. The SHapley Additive exPlanations (SHAP) method was employed to interpret feature importance. Results: Comparing seven ML algorithms, the Extreme Gradient Boosting (XGBoost) demonstrated superior predictive performance both in model-1 and model-2, achieving an AUC of 0.90 [95% confidence interval (CI): 0.88-0.92] and 0.88 (95% CI: 0.86-0.89) in test-datasets and 0.80 (95% CI: 0.76-0.83) and 0.69 (95% CI: 0.65-0.73) in external validation cohort. The SHAP analysis revealed that the age and features associated with ovarian reserve had strong predictive power and the ovarian endometriomas had limited predictive power. Conclusion: Model-2, which uses only pre-ART variables, can support reproductive strategy selection prior to ART initiation. Conversely, Model-1 is designed to support embryo transfer strategy option after oocyte retrieval, incorporating post-ART data. Although both models show promise as decision-support tools for personalizing infertility treatment in women with endometriomas, their clinical implementation awaits confirmation from prospective, multicenter validation.</t>
  </si>
  <si>
    <t>Sun, Yifei; Wang, Zijing; Zhou, Jiayi; Cui, Linlin; Wang, Huidan</t>
  </si>
  <si>
    <t>Wang, HD (corresponding author), Shandong Univ, Inst Women Children &amp; Reprod Hlth, Ctr Reprod Med, State Key Lab Reprod Med &amp; Offspring Hlth, Jinan 250012, Shandong, Peoples R China.; Wang, HD (corresponding author), Shandong Univ, Natl Res Ctr Assisted Reprod Technol &amp; Reprod Gene, Jinan 250012, Shandong, Peoples R China.; Wang, HD (corresponding author), Shandong Univ, Key Lab Reprod Endocrinol, Minist Educ, Jinan 250012, Shandong, Peoples R China.; Wang, HD (corresponding author), Shandong Technol Innovat Ctr Reprod Hlth, Jinan 250012, Shandong, Peoples R China.; Wang, HD (corresponding author), Shandong Prov Clin Res Ctr Reprod Hlth, Jinan 250012, Shandong, Peoples R China.; Wang, HD (corresponding author), Shandong Key Lab Reprod Res &amp; Birth Defect Prevent, Jinan 250012, Shandong, Peoples R China.; Wang, HD (corresponding author), Chinese Acad Med Sci 2021RU001, Res Unit Gametogenesis &amp; Hlth ART Offspring, Jinan 250012, Shandong, Peoples R China.</t>
  </si>
  <si>
    <t>wanghd1984@126.com</t>
  </si>
  <si>
    <t>National Key Technology Research and Developmental Program of China [2022YFC2703000, 2024YFC2706902]; National Key R&amp;D Program of China [2024YFC2706700]; Key R&amp;D Program of Shandong Province, China [2025CXGC020308]; National Natural Science Foundation of China (NSFC) Regional Innovation and Development Joint Fund [U24A20664]; CAMS Innovation Fund for Medical Sciences [(2021-I2M-5-001)]; Excellence Research Group Program of NSFC [32588201]; National Special Support Program for High-level Talents</t>
  </si>
  <si>
    <t>National Key Technology Research and Developmental Program of China; National Key R&amp;D Program of China (National Key Research &amp; Development Program of China); Key R&amp;D Program of Shandong Province, China; National Natural Science Foundation of China (NSFC) Regional Innovation and Development Joint Fund; CAMS Innovation Fund for Medical Sciences (CAMS Innovation Fund for Medical Sciences (CIFMS)); Excellence Research Group Program of NSFC; National Special Support Program for High-level Talents</t>
  </si>
  <si>
    <t>This study was partly funded by the National Key Technology Research and Developmental Program of China (2024YFC2706902) , the National Key R&amp;D Program of China (2024YFC2706700) , the National Key Technology Research and Developmental Program of China (2022YFC2703000) , the Key R&amp;D Program of Shandong Province, China (2025CXGC020308) , the National Natural Science Foundation of China (NSFC) Regional Innovation and Development Joint Fund (U24A20664) , CAMS Innovation Fund for Medical Sciences (2021-I2M-5-001) ) , the Excellence Research Group Program of NSFC (32588201) , and National Special Support Program for High-level Talents.</t>
  </si>
  <si>
    <t>[Sun, Yifei; Wang, Zijing; Zhou, Jiayi; Cui, Linlin; Wang, Huidan] Shandong Univ, Inst Women Children &amp; Reprod Hlth, Ctr Reprod Med, State Key Lab Reprod Med &amp; Offspring Hlth, Jinan 250012, Shandong, Peoples R China; [Sun, Yifei; Wang, Zijing; Zhou, Jiayi; Cui, Linlin; Wang, Huidan] Shandong Univ, Natl Res Ctr Assisted Reprod Technol &amp; Reprod Gene, Jinan 250012, Shandong, Peoples R China; [Sun, Yifei; Wang, Zijing; Zhou, Jiayi; Cui, Linlin; Wang, Huidan] Shandong Univ, Key Lab Reprod Endocrinol, Minist Educ, Jinan 250012, Shandong, Peoples R China; [Sun, Yifei; Wang, Zijing; Zhou, Jiayi; Cui, Linlin; Wang, Huidan] Shandong Technol Innovat Ctr Reprod Hlth, Jinan 250012, Shandong, Peoples R China; [Sun, Yifei; Wang, Zijing; Zhou, Jiayi; Cui, Linlin; Wang, Huidan] Shandong Prov Clin Res Ctr Reprod Hlth, Jinan 250012, Shandong, Peoples R China; [Sun, Yifei; Wang, Zijing; Zhou, Jiayi; Cui, Linlin; Wang, Huidan] Shandong Key Lab Reprod Res &amp; Birth Defect Prevent, Jinan 250012, Shandong, Peoples R China; [Sun, Yifei; Wang, Zijing; Zhou, Jiayi; Cui, Linlin; Wang, Huidan] Chinese Acad Med Sci 2021RU001, Res Unit Gametogenesis &amp; Hlth ART Offspring, Jinan 250012, Shandong, Peoples R China; [Cui, Linlin] Shandong Univ, Qilu Hosp 2, Ctr Reprod Med, Jinan 250012, Shandong, Peoples R China</t>
  </si>
  <si>
    <t>Shandong University; Shandong University; Shandong University; Shandong University</t>
  </si>
  <si>
    <t>Development and External Validation of Machine Learning Model to Predict Live Birth Following Assisted Reproductive Technology in Women with Ovarian Endometriomas: A Decision-Support Tool</t>
  </si>
  <si>
    <t>CLINICAL EPIDEMIOLOGY</t>
  </si>
  <si>
    <t>machine learning model; assisted reproductive technology; ovarian endometriomas; live birth; SHAP interpretation</t>
  </si>
  <si>
    <t>RESERVE; INFERTILITY; OUTCOMES; IMPACT; MANAGEMENT; EXCISION; SURGERY</t>
  </si>
  <si>
    <t>1179-1349</t>
  </si>
  <si>
    <t>CLIN EPIDEMIOL</t>
  </si>
  <si>
    <t>Clin. Epidemiol.</t>
  </si>
  <si>
    <t>S588848</t>
  </si>
  <si>
    <t>10.2147/CLEP.S588848</t>
  </si>
  <si>
    <t>http://dx.doi.org/10.2147/CLEP.S588848</t>
  </si>
  <si>
    <t>FT7NL</t>
  </si>
  <si>
    <t>41913787</t>
  </si>
  <si>
    <t>WOS:001727186700001</t>
  </si>
  <si>
    <t>Kang, LD; Luo, D; Xie, WC; Luo, XJ; Mei, J; He, J</t>
  </si>
  <si>
    <t>Background Gestational diabetes mellitus (GDM) and hypertensive disorders of pregnancy (HDP) often coexist and share pathophysiological features such as insulin resistance and endothelial dysfunction, increasing the risk of preterm birth. However, few predictive models have focused specifically on this high-risk group. This study aimed to develop and externally validate a machine learning model for this high-risk population and assess its clinical utility and interpretability.Methods This retrospective dual-center study included electronic medical records from 121 and 136 pregnant women with comorbid GDM and HDP, which served as the development and external validation cohorts, respectively. Multiple machine learning algorithms, including Least Absolute Shrinkage and Selection Operator (LASSO) regression, Random Forest (RF), and Naive Bayes (NB), were applied to construct predictive models. To address class imbalance and enhance model robustness, the Synthetic Minority Over-sampling Technique (SMOTE, which generates synthetic samples for the minority class to balance imbalanced datasets) was employed. Model interpretability was further assessed using Shapley Additive Explanations (SHAP).Results Thirteen variables with univariate significance were entered into Elastic Net regression, yielding five key predictors: alanine transaminase (ALT), aspartate transaminase (AST), Albumin, lactate dehydrogenase (LDH), and systolic blood pressure at 32 - 36 weeks (SBP_32_36). While the LASSO model achieved the highest area under the receiver operating characteristic curve (AUC, 0.802), the NB model demonstrated greater clinical net benefit, higher reclassification performance as measured by the Net Reclassification Improvement (NRI, which evaluates whether patients are more accurately assigned to higher- or lower-risk groups, which reflects the average improvement in distinguishing high-risk from low-risk patients) and Integrated Discrimination Improvement (IDI), and greater robustness in SMOTE-based sensitivity analyses. In the external validation cohort (n = 136), it maintained strong generalization with an AUC of 0.777 (95% confidence interval [CI]: 0.645-0.887), accuracy of 0.801 (95% CI: 0.735-0.860), sensitivity of 0.792, and specificity of 0.804, supporting its selection as the optimal model for this high-risk population.Conclusions The Naive Bayes model exhibited robust predictive ability and interpretability for identifying preterm birth risk in pregnancies with comorbid GDM and HDP, and may serve as a transparent, clinically applicable tool for individualized obstetric risk management.</t>
  </si>
  <si>
    <t>Kang, Landan; Luo, Dan; Xie, Wenchi; Luo, Xiaojing; Mei, Jie; He, Jing</t>
  </si>
  <si>
    <t>Mei, J (corresponding author), Univ Elect Sci &amp; Technol China, Sch Med, Chengdu, Sichuan, Peoples R China.; Mei, J (corresponding author), Univ Elect Sci &amp; Technol China, Sichuan Prov Peoples Hosp, Dept Obstet &amp; Gynaecol, Chengdu, Sichuan, Peoples R China.; He, J (corresponding author), Univ Elect Sci &amp; Technol China, Sichuan Prov Peoples Hosp, Dept Nursing, Chengdu, Sichuan, Peoples R China.</t>
  </si>
  <si>
    <t>jing26@whu.edu.cn; 1379915564@qq.com</t>
  </si>
  <si>
    <t>Key Research Project of Science and Technology of Sichuan Province [2023YFS0039]</t>
  </si>
  <si>
    <t>Key Research Project of Science and Technology of Sichuan Province</t>
  </si>
  <si>
    <t>The author(s) declare financial support was received for the research and/or publication of this article. This work was supported by the Key Research Project of Science and Technology of Sichuan Province (Grant No. 2023YFS0039).</t>
  </si>
  <si>
    <t>[Kang, Landan; Luo, Xiaojing; Mei, Jie] Univ Elect Sci &amp; Technol China, Sch Med, Chengdu, Sichuan, Peoples R China; [Luo, Dan; Xie, Wenchi] Southwest Med Univ, Dept Obstet &amp; Gynecol, Affiliated Hosp, Luzhou, Sichuan, Peoples R China; [Mei, Jie] Univ Elect Sci &amp; Technol China, Sichuan Prov Peoples Hosp, Dept Obstet &amp; Gynaecol, Chengdu, Sichuan, Peoples R China; [He, Jing] Univ Elect Sci &amp; Technol China, Sichuan Prov Peoples Hosp, Dept Nursing, Chengdu, Sichuan, Peoples R China</t>
  </si>
  <si>
    <t>University of Electronic Science &amp; Technology of China; Southwest Medical University; Sichuan Provincial People's Hospital; University of Electronic Science &amp; Technology of China; Sichuan Provincial People's Hospital; University of Electronic Science &amp; Technology of China</t>
  </si>
  <si>
    <t>An explainable machine learning model for predicting preterm birth in pregnant women with gestational diabetes mellitus and hypertensive disorders of pregnancy: development and external validation</t>
  </si>
  <si>
    <t>preterm birth; gestational diabetes mellitus; hypertensive disorders of pregnancy; Shapley Additive Explanations; Elastic Net regression; risk prediction model</t>
  </si>
  <si>
    <t>He, Jing/GMW-7295-2022; luo, xiaojing/PAV-2828-2025</t>
  </si>
  <si>
    <t>1665935</t>
  </si>
  <si>
    <t>10.3389/fendo.2025.1665935</t>
  </si>
  <si>
    <t>http://dx.doi.org/10.3389/fendo.2025.1665935</t>
  </si>
  <si>
    <t>J8517</t>
  </si>
  <si>
    <t>41341133</t>
  </si>
  <si>
    <t>WOS:001627964200001</t>
  </si>
  <si>
    <t>Papadopoulou, SL; Sachpekidis, V; Kantartzi, V; Styliadis, I; Nihoyannopoulos, P</t>
  </si>
  <si>
    <t>Aims We sought to evaluate the reliability and diagnostic accuracy of a novel handheld ultrasound device (HUD) with artificial intelligence (AI) assisted algorithm to automatically calculate ejection fraction (autoEF) in a real-world patient population.Methods and results We studied 100 consecutive patients (57 +/- 15 years old, 61% male), including 38 with abnormal left ventricular (LV) function [LV ejection fraction (LVEF) &lt; 50%]. The autoEF results acquired using the HUD were independently compared with manually traced biplane Simpson's rule measurements on cart-based systems to assess method agreement using intra-class correlation coefficient (ICC), linear regression analysis, and Bland-Altman analysis. The diagnostic accuracy for the detection of LVEF &lt;50% was also calculated. Test-retest reliability of measured EF by the HUD was assessed by calculating the ICC and the minimal detectable change (MDC). The ICC, linear regression analysis, and Bland-Altman analysis revealed good agreement between autoEF and reference manual EF (ICC = 0.85; r = 0.87, P &lt; 0.001; mean bias -1.42% with limits of agreement 14.5%, respectively). Detection of abnormal LV function (EF &lt; 50%) by autoEF algorithm was feasible with sensitivity 90% (95% CI 75-97%), specificity 87% (95% CI 76-94%), PPV 81% (95% CI 66-91%), NPV 93% (95% CI 83-98%), and a total diagnostic accuracy of 88%. Test-retest reliability was excellent (ICC = 0.91, P &lt; 0.001; r = 0.91, P &lt; 0.001; mean difference +/- SD: 0.54% +/- 5.27%, P = 0.308) and MDC for LVEF measurement by autoEF was calculated at 4.38%.Conclusion Use of a novel HUD with AI-enabled capabilities provided similar LVEF results with those derived by manual biplane Simpson's method on cart-based systems and shows clinical potential.</t>
  </si>
  <si>
    <t>Papadopoulou, Stella-Lida; Sachpekidis, Vasileios; Kantartzi, Vasiliki; Styliadis, Ioannis; Nihoyannopoulos, Petros</t>
  </si>
  <si>
    <t>Papadopoulou, SL (corresponding author), Papageorgiou Gen Hosp, Dept Cardiol, Ring Rd, Thessaloniki 56403, Greece.</t>
  </si>
  <si>
    <t>elpa98@gmail.com</t>
  </si>
  <si>
    <t>Hellenic Society of Cardiology</t>
  </si>
  <si>
    <t>[Papadopoulou, Stella-Lida; Sachpekidis, Vasileios; Kantartzi, Vasiliki; Styliadis, Ioannis] Papageorgiou Gen Hosp, Dept Cardiol, Ring Rd, Thessaloniki 56403, Greece; [Nihoyannopoulos, Petros] Imperial Coll London, Hammersmith Hosp, Natl Heart &amp; Lung Inst, Du Cane Rd, London W12 0NN, England; [Nihoyannopoulos, Petros] Univ Athens, Hippokrat Hosp, Med Sch, Cardiol Dept 1, 114 Vasilissis Sofias Ave, Athens 11527, Greece</t>
  </si>
  <si>
    <t>Papageorgiou Hospital; Imperial College London; National &amp; Kapodistrian University of Athens; Hippokration General Hospital</t>
  </si>
  <si>
    <t>Clinical validation of an artificial intelligence-assisted algorithm for automated quantification of left ventricular ejection fraction in real time by a novel handheld ultrasound device</t>
  </si>
  <si>
    <t>Left ventricular function; Handheld ultrasound device; Automated; Ejection fraction; Artificial intelligence; Echocardiography</t>
  </si>
  <si>
    <t>TRANSTHORACIC ECHOCARDIOGRAPHY; APPROPRIATENESS CRITERIA; DIAGNOSTIC-ACCURACY; COST-EFFECTIVENESS; REPRODUCIBILITY; ASSOCIATION; AGREEMENT; TRACKING; UTILITY; ADULTS</t>
  </si>
  <si>
    <t>Papadopoulou, Stella-Lida/AAF-1584-2021</t>
  </si>
  <si>
    <t>styliadis, ioannis/0000-0003-4921-3843; Papadopoulou, Stella-Lida/0000-0002-6577-0407</t>
  </si>
  <si>
    <t>MAR 24 2022</t>
  </si>
  <si>
    <t>10.1093/ehjdh/ztac001</t>
  </si>
  <si>
    <t>http://dx.doi.org/10.1093/ehjdh/ztac001</t>
  </si>
  <si>
    <t>EY7Q8</t>
  </si>
  <si>
    <t>36713988</t>
  </si>
  <si>
    <t>WOS:001142566900002</t>
  </si>
  <si>
    <t>Dang, LE; Klazura, G; Yap, A; Ozgediz, D; Bryce, E; Cheung, M; Fedatto, M; Ameh, EA</t>
  </si>
  <si>
    <t>Background: The purpose of this study was to develop and validate a mortality risk algorithm for pediatric surgery patients treated at KidsOR sites in 14 low- and middle-income countries. Methods: A SuperLearner machine learning algorithm was trained to predict post-operative mortality by hospital discharge using the retrospectively and prospectively collected KidsOR database including patients treated at 20 KidsOR sites from June 2018 to June 2023. Algorithm performance was evaluated by internal-external cross-validated AUC and calibration. Findings: Of 23,905 eligible patients, 21,703 with discharge status recorded were included in the analysis, representing a post-operative mortality rate of 3.1% (671 mortality events). The candidate algorithm with the best cross-validated performance was an extreme gradient boosting model. The cross-validated AUC was 0.945 (95% CI 0.936 to 0.954) and cross-validated calibration slope and intercept were 1.01 (95% CI 0.96 to 1.06) and 0.05 (95% CI-0.10 to 0.21). For Super Learner models trained on all but one site and evaluated in the holdout site for sites with at least 25 mortality events, overall external validation AUC was 0.864 (95% CI 0.846 to 0.882) with calibration slope and intercept of 1.03 (95% CI 0.97 to 1.09) and 1.18 (95% CI 0.98 to 1.39). Interpretation: The KidsOR post-operative mortality risk algorithm had outstanding cross-validated discrimination and strong cross-validated calibration. Across all external validation sites, discrimination of Super Learner models trained on the remaining sites was excellent, though re-calibration may be necessary prior to use at new sites. This model has the potential to inform clinical practice and guide resource allocation at KidsOR sites world-wide. Type of Study and Level of Evidence: Observational Study, Level III. (c) 2024 The Authors. Published by Elsevier Inc. This is an open access article under the CC BY-NC-ND license (http://creativecommons.org/licenses/by-nc-nd/4.0/).</t>
  </si>
  <si>
    <t>Dang, Lauren Eyler; Klazura, Greg; Yap, Ava; Ozgediz, Doruk; Bryce, Emma; Cheung, Maija; Fedatto, Maira; Ameh, Emmanuel A.</t>
  </si>
  <si>
    <t>Klazura, G (corresponding author), Univ Illinois Hosp &amp; Hlth Sci Syst, Dept Surg, Div Pediat Surg, 840 S Wood St Ste 406, Chicago, IL 60612 USA.</t>
  </si>
  <si>
    <t>greg.klazura@gmail.com</t>
  </si>
  <si>
    <t>Fulbright Fogarty Fellowship; GHES NIH [FIC D43 TW010540]; KidsOR</t>
  </si>
  <si>
    <t>Fulbright Fogarty Fellowship; GHES NIH; KidsOR</t>
  </si>
  <si>
    <t>KidsOR funded the data collection at each site. The Fulbright Fogarty Fellowship, GHES NIH FIC D43 TW010540, funded the research position for Dr. Greg Klazura.</t>
  </si>
  <si>
    <t>[Dang, Lauren Eyler] NIAID, Biostat Res Branch, Bethesda, MD USA; [Klazura, Greg] Univ Illinois, Dept Surg, Chicago, IL USA; [Klazura, Greg] Loyola Univ Med Ctr, Dept Surg, Maywood, IL USA; [Yap, Ava; Ozgediz, Doruk] UCSF, Ctr Hlth Equ Surg &amp; Anesthesia, San Francisco, CA USA; [Bryce, Emma] Univ Edinburgh, Usher Inst Populat Hlth Sci &amp; Informat, Edinburgh, Scotland; [Bryce, Emma] KidsOR Res Team, Edinburgh, Scotland; [Cheung, Maija] Yale Univ, Med Ctr, New Haven, CT USA; [Ameh, Emmanuel A.] Natl Hosp Abuja, Abuja, Nigeria</t>
  </si>
  <si>
    <t>National Institutes of Health (NIH) - USA; NIH National Institute of Allergy &amp; Infectious Diseases (NIAID); University of Illinois System; University of Illinois Chicago; University of Illinois Chicago Hospital; Loyola University Chicago; University of California System; University of California San Francisco; University of Edinburgh; Yale University</t>
  </si>
  <si>
    <t>Development and Internal-External Validation of a Post-Operative Mortality Risk Calculator for Pediatric Surgical Patients in Low- and Middle- Income Countries Using Machine Learning</t>
  </si>
  <si>
    <t>JOURNAL OF PEDIATRIC SURGERY</t>
  </si>
  <si>
    <t>Pediatric surgery; Mortality prediction algorithm; Low resource settings; Public health</t>
  </si>
  <si>
    <t>PREDICTION; MODELS</t>
  </si>
  <si>
    <t>Ameh, Emmanuel/KMX-6621-2024</t>
  </si>
  <si>
    <t>Bryce, Emma/0000-0002-2823-9940; Ozgediz, Doruk/0000-0003-3945-2840; Dang, Lauren Eyler/0000-0002-2967-0855; Ameh, Emmanuel/0000-0003-2386-3039; Fedatto, Maíra/0000-0002-2741-7231; Yap, Ava/0000-0002-4650-2845</t>
  </si>
  <si>
    <t>0022-3468</t>
  </si>
  <si>
    <t>1531-5037</t>
  </si>
  <si>
    <t>J PEDIATR SURG</t>
  </si>
  <si>
    <t>J. Pediatr. Surg.</t>
  </si>
  <si>
    <t>161883</t>
  </si>
  <si>
    <t>10.1016/j.jpedsurg.2024.161883</t>
  </si>
  <si>
    <t>http://dx.doi.org/10.1016/j.jpedsurg.2024.161883</t>
  </si>
  <si>
    <t>Pediatrics; Surgery</t>
  </si>
  <si>
    <t>M8I3M</t>
  </si>
  <si>
    <t>39317568</t>
  </si>
  <si>
    <t>WOS:001359910400001</t>
  </si>
  <si>
    <t>Kim, K; Lim, CY; Shin, J; Chung, MJ; Jung, YG</t>
  </si>
  <si>
    <t>Background and objective: The cone-beam computed tomography (CBCT) provides three-dimensional volumetric imaging of a target with low radiation dose and cost compared with conventional computed tomography, and it is widely used in the detection of paranasal sinus disease. However, it lacks the sensitivity to detect soft tissue lesions owing to reconstruction constraints. Consequently, only physicians with expertise in CBCT reading can distinguish between inherent artifacts or noise and diseases, restricting the use of this imaging modality. The development of artificial intelligence (AI)-based computer-aided diagnosis methods for CBCT to overcome the shortage of experienced physicians has attracted substantial attention. However, advanced AI-based diagnosis addressing intrinsic noise in CBCT has not been devised, discouraging the practical use of AI solutions for CBCT. We introduce the development of AI-based computer-aided diagnosis for CBCT considering the intrinsic imaging noise and evaluate its efficacy and implications.Methods: We propose an AI-based computer-aided diagnosis method using CBCT with a denoising module. This module is implemented before diagnosis to reconstruct the internal ground-truth full-dose scan corresponding to an input CBCT image and thereby improve the diagnostic performance. The proposed method is model agnostic and compatible with various existing and future AI-based denoising or diagnosis models.Results: The external validation results for the unified diagnosis of sinus fungal ball, chronic rhinosinusitis, and normal cases show that the proposed method improves the micro-, macro-average area under the curve, and accuracy by 7.4, 5.6, and 9.6% (from 86.2, 87.0, and 73.4 to 93.6, 92.6, and 83.0%), respectively, compared with a baseline while improving human diagnosis accuracy by 11% (from 71.7 to 83.0%), demonstrating technical differentiation and clinical effectiveness. In addition, the physician's ability to evaluate the AI-derived diagnosis results may be enhanced compared with existing solutions.Conclusion: This pioneering study on AI-based diagnosis using CBCT indicates that denoising can improve diagnostic performance and reader interpretability in images from the sinonasal area, thereby providing a new approach and direction to radiographic image reconstruction regarding the development of AI-based diagnostic solutions. Furthermore, we believe that the performance enhancement will expedite the adoption of automated diagnostic solutions using CBCT, especially in locations with a shortage of skilled clinicians and limited access to high-dose scanning.</t>
  </si>
  <si>
    <t>Kim, Kyungsu; Lim, Chae Yeon; Shin, Joongbo; Chung, Myung Jin; Jung, Yong Gi</t>
  </si>
  <si>
    <t>Jung, YG (corresponding author), Samsung Med Ctr, Res Inst Future Med, Med AI Res Ctr, Seoul, South Korea.; Jung, YG (corresponding author), Sungkyunkwan Univ, Sch Med, Dept Data Convergence &amp; Future Med, Seoul, South Korea.; Jung, YG (corresponding author), Sungkyunkwan Univ, Sch Med, Samsung Med Ctr, Dept Otorhinolaryngol Head &amp; Neck Surg, Seoul, South Korea.</t>
  </si>
  <si>
    <t>yonggi.jung@samsung.com</t>
  </si>
  <si>
    <t>National Research Foundation of Korea (NRF) - Korean government (MSIT) [2021R1F1A106153511]; Korea Medical Device Developoment Fund - Korean government (Ministry of Science and ICT) [202011B08-02, KMDF PR 20200901 0014-2021-02, RS-2020-KD000014]; Korea Medical Device Developoment Fund - Korean government (Ministry of Trade, Industry and Energy) [202011B08-02, KMDF PR 20200901 0014-2021-02, RS-2020-KD000014]; Korea Medical Device Developoment Fund - Korean government (Ministry of Health Welfare) [202011B08-02, KMDF PR 20200901 0014-2021-02, RS-2020-KD000014]; Korea Medical Device Developoment Fund - Korean government (Ministry of Food and Drug Safety) [202011B08-02, KMDF PR 20200901 0014-2021-02, RS-2020-KD000014]; Techonology Innovation Program - Ministry of Trade, Industry &amp; Energy (MOTIE, Korea) [20014111]; Future Medicine 20*30 Project of Samsung Medical Center [SMX1210791]; SMC-SKKU Future Convergence Research Program Grant [SMO122088]</t>
  </si>
  <si>
    <t>National Research Foundation of Korea (NRF) - Korean government (MSIT) (National Research Foundation of Korea); Korea Medical Device Developoment Fund - Korean government (Ministry of Science and ICT); Korea Medical Device Developoment Fund - Korean government (Ministry of Trade, Industry and Energy); Korea Medical Device Developoment Fund - Korean government (Ministry of Health Welfare); Korea Medical Device Developoment Fund - Korean government (Ministry of Food and Drug Safety); Techonology Innovation Program - Ministry of Trade, Industry &amp; Energy (MOTIE, Korea); Future Medicine 20*30 Project of Samsung Medical Center (Samsung); SMC-SKKU Future Convergence Research Program Grant</t>
  </si>
  <si>
    <t>This work was supported by a grant from the National Research Foundation of Korea (NRF) funded by the Korean government (MSIT) (2021R1F1A106153511), a grant from Korea Medical Device Developoment Fund funded by the Korean government (Ministry of Science and ICT, Ministry of Trade, Industry and Energy, Ministry of Health &amp; Welfare, Ministry of Food and Drug Safety) (202011B08-02, KMDF PR 20200901 0014-2021-02, RS-2020-KD000014), the Techonology Innovation Program (20014111) funded by the Ministry of Trade, Industry &amp; Energy (MOTIE, Korea), the Future Medicine 20*30 Project of Samsung Medical Center (SMX1210791), and SMC-SKKU Future Convergence Research Program Grant (SMO122088).</t>
  </si>
  <si>
    <t>[Kim, Kyungsu; Chung, Myung Jin; Jung, Yong Gi] Samsung Med Ctr, Res Inst Future Med, Med AI Res Ctr, Seoul, South Korea; [Kim, Kyungsu; Chung, Myung Jin; Jung, Yong Gi] Sungkyunkwan Univ, Sch Med, Dept Data Convergence &amp; Future Med, Seoul, South Korea; [Lim, Chae Yeon; Chung, Myung Jin] Sungkyunkwan Univ, SAIHST, Dept Med Device Management &amp; Res, Seoul, South Korea; [Shin, Joongbo; Jung, Yong Gi] Sungkyunkwan Univ, Sch Med, Samsung Med Ctr, Dept Otorhinolaryngol Head &amp; Neck Surg, Seoul, South Korea; [Chung, Myung Jin] Sungkyunkwan Univ, Sch Med, Samsung Med Ctr, Dept Radiol, Seoul, South Korea; [Kim, Kyungsu] Massachusetts Gen Hosp, Dept Radiol, Boston, MA USA; [Kim, Kyungsu] Harvard Med Sch, Boston, MA USA</t>
  </si>
  <si>
    <t>Sungkyunkwan University (SKKU); Samsung Medical Center; Sungkyunkwan University (SKKU); Sungkyunkwan University (SKKU); Sungkyunkwan University (SKKU); Samsung Medical Center; Sungkyunkwan University (SKKU); Samsung Medical Center; Harvard University; Harvard University Medical Affiliates; Massachusetts General Hospital; Harvard University; Harvard Medical School</t>
  </si>
  <si>
    <t>Enhanced artificial intelligence-based diagnosis using CBCT with internal denoising: Clinical validation for discrimination of fungal ball, sinusitis, and normal cases in the maxillary sinus</t>
  </si>
  <si>
    <t>Cone-beam computed tomography; Artificial intelligence; Computer-aided diagnosis; Denoising; Discrimination of fungal ball; Clinical validation; Maxillary sinus</t>
  </si>
  <si>
    <t>CONE-BEAM CT; ADULT CHRONIC RHINOSINUSITIS; COMPUTED-TOMOGRAPHY; IMAGE QUALITY; PERIAPICAL LESIONS; TOOTH SEGMENTATION; PARANASAL SINUSES; NEURAL-NETWORK; ACCURATE; SYSTEM</t>
  </si>
  <si>
    <t>Chung, Myung/C-1876-2011</t>
  </si>
  <si>
    <t>Lim, Chae Yeon/0000-0002-8592-1153; Kim, Kyungsu/0000-0001-6622-6545; Jung, Yong gi/0000-0001-7456-849X</t>
  </si>
  <si>
    <t>107708</t>
  </si>
  <si>
    <t>10.1016/j.cmpb.2023.107708</t>
  </si>
  <si>
    <t>http://dx.doi.org/10.1016/j.cmpb.2023.107708</t>
  </si>
  <si>
    <t>O5UK1</t>
  </si>
  <si>
    <t>37473588</t>
  </si>
  <si>
    <t>WOS:001044455700001</t>
  </si>
  <si>
    <t>Li, QQ; Tang, YL; Yang, XL; Song, TQ; Wei, GZ; Gu, RT; Pan, YS; Wang, JY; Li, Y; Wei, LL</t>
  </si>
  <si>
    <t>ObjectiveCurrent predictive models for gestational diabetes mellitus (GDM) largely overlook the role of social network factors. This study aimed to develop and validate an early GDM prediction model by integrating social network characteristics with traditional non-invasive predictors using machine learning (ML).MethodsThis prospective cohort study enrolled 2,433 pregnant individuals from four branches of Qingdao University Affiliated Hospital as the model development cohort and external validation cohort. After screening variables via univariate analysis, significant predictors were used to train seven ML algorithms: Logistic Regression (LR), Random Forest (RF), eXtreme Gradient Boosting (XGBoost), K-Nearest Neighbors (KNN), Support Vector Classifier (SVC), Adaptive Boosting (AdaBoost) and Multilayer Perceptron (MLP). A 30-times repeated stratified 10-fold cross-validation procedure was employed, ensuring the preservation of the class distribution in every fold. Performance was assessed using the area under the receiver operating characteristic curve (AUC-ROC), accuracy, recall, specificity and F1 score. External validation evaluated the model's predictive performance and clinical effectiveness via ROC curves, Calibration curves, and decision curve analysis (DCA).ResultsOne thousand seven hundred fifty-two cases were included in the model development cohort and 681 cases were included in the geographically independent external validation cohort. Twenty-two risk factors for GDM were screened out through univariate logistic regression, covering sociodemographic characteristics, social network characteristics (such as the scale of the structural network and the semi-annual total contact frequency), and personal behavioral characteristics. The XGBoost model demonstrated the optimal comprehensive performance (AUC = 0.980), significantly outperforming other algorithms. External validation further confirmed that the model has excellent generalization ability (AUC = 0.901), though with room to improve upon its sensitivity. The Calibration curve showed that the predicted results were in good agreement with actual observations, and DCA exhibited a superior net benefit across a wide range of threshold probabilities.ConclusionsThis study developed a high-performance GDM prediction model by integrating social network variables with conventional predictors. The XGBoost-based algorithm showed robust performance in external validation, demonstrating that social network metrics significantly enhance risk stratification beyond traditional clinical factors. It reveals the potential value of social network factors in predicting GDM, providing new ideas and methods for constructing GDM prediction models with higher predictive ability and more stable performance.</t>
  </si>
  <si>
    <t>Li, Qianqian; Tang, Yalin; Yang, Xiuling; Song, Tingqiang; Wei, Guozheng; Gu, Ruting; Pan, Yueshuai; Wang, Jingyuan; Li, Yi; Wei, Lili</t>
  </si>
  <si>
    <t>Li, Y (corresponding author), Qingdao Univ, Affiliated Hosp, Dept Ophthalmol, Qingdao 266003, Peoples R China.; Wei, LL (corresponding author), Qingdao Univ, Affiliated Hosp, Off Dean, Qingdao 266003, Peoples R China.</t>
  </si>
  <si>
    <t>1062599123@qq.com; weilili@qduhospital.cn</t>
  </si>
  <si>
    <t>Medical and Health Science and Technology Development Plan Project of Shandong Province [202414030736]; Qingdao Municipal Health Commission [2023-WJZD073, 2023-WJZD078]; Chinese Nursing Association [ZHKY202423]; Qingdao Outstanding Health Professional Development Fund</t>
  </si>
  <si>
    <t>Medical and Health Science and Technology Development Plan Project of Shandong Province; Qingdao Municipal Health Commission; Chinese Nursing Association; Qingdao Outstanding Health Professional Development Fund</t>
  </si>
  <si>
    <t>This study was supported by the Qingdao Outstanding Health Professional Development Fund, Medical and Health Science and Technology Development Plan Project of Shandong Province (202414030736), Chinese Nursing Association (ZHKY202423), Qingdao Municipal Health Commission (2023-WJZD073), Qingdao Municipal Health Commission (2023-WJZD078). The funding body have no any role in the design of the study, data collection, analysis, interpretation of data and the writing manuscripts.</t>
  </si>
  <si>
    <t>[Li, Qianqian; Gu, Ruting; Pan, Yueshuai; Wang, Jingyuan] Qingdao Univ, Dept Nursing, Affiliated Hosp, Qingdao, Peoples R China; [Li, Qianqian; Yang, Xiuling] Peking Univ, Sch Nursing, Dept Maternal &amp; Child Nursing, Beijing, Peoples R China; [Tang, Yalin] Qingdao Blood Ctr, Qingdao, Peoples R China; [Song, Tingqiang; Wei, Guozheng] Qingdao Univ Sci &amp; Technol, Coll Informat Sci &amp; Technol, Qingdao, Peoples R China; [Li, Yi] Qingdao Univ, Affiliated Hosp, Dept Ophthalmol, Qingdao 266003, Peoples R China; [Wei, Lili] Qingdao Univ, Affiliated Hosp, Off Dean, Qingdao 266003, Peoples R China</t>
  </si>
  <si>
    <t>Qingdao University; Peking University; Qingdao University of Science &amp; Technology; Qingdao University; Qingdao University</t>
  </si>
  <si>
    <t>Development and external validation of a non-invasive early gestational diabetes mellitus prediction model integrating social network variables: a machine learning-based prospective cohort study</t>
  </si>
  <si>
    <t>BMC PREGNANCY AND CHILDBIRTH</t>
  </si>
  <si>
    <t>Gestational diabetes mellitus; Early prediction; Social network; Machine learning; Maternal and infant healthcare</t>
  </si>
  <si>
    <t>ASSOCIATION; PREGNANCY; DIAGNOSIS; WOMEN</t>
  </si>
  <si>
    <t>1471-2393</t>
  </si>
  <si>
    <t>BMC PREGNANCY CHILDB</t>
  </si>
  <si>
    <t>BMC Pregnancy Childbirth</t>
  </si>
  <si>
    <t>10.1186/s12884-025-08500-4</t>
  </si>
  <si>
    <t>http://dx.doi.org/10.1186/s12884-025-08500-4</t>
  </si>
  <si>
    <t>AL7OO</t>
  </si>
  <si>
    <t>41462151</t>
  </si>
  <si>
    <t>WOS:001651125400011</t>
  </si>
  <si>
    <t>Audureau, E; Soubeyran, P; Martinez-Tapia, C; Bellera, C; Bastuji-Garin, S; Boudou-Rouquette, P; Chahwakilian, A; Grellety, T; Hanon, O; Mathoulin-Pelissier, S; Paillaud, E; Canoui-Poitrine, F</t>
  </si>
  <si>
    <t>PURPOSEEstablishing an accurate prognosis remains challenging in older patients with cancer because of the population's heterogeneity and the current predictive models' reduced ability to capture the complex interactions between oncologic and geriatric predictors. We aim to develop and externally validate a new predictive score (the Geriatric Cancer Scoring System [GCSS]) to refine individualized prognosis for older patients with cancer during the first year after a geriatric assessment (GA).MATERIALS AND METHODSData were collected from two French prospective multicenter cohorts of patients with cancer 70 years and older, referred for GA: ELCAPA (training set January 2007-March 2016) and ONCODAGE (validation set August 2008-March 2010). Candidate predictors included baseline oncologic and geriatric factors and routine biomarkers. We built predictive models using Cox regression, single decision tree (DT), and random survival forest (RSF) methods, comparing their predictive performance for 3-, 6-, and 12-month mortalities by computing time-dependent area under the receiver operator curve (tAUC).RESULTSA total of 2,012 and 1,397 patients were included in the training and validation set, respectively (mean age: 81 +/- 6 years/78 +/- 5 years; women: 47%/70%; metastatic cancer: 50%/34%; 12-month mortality: 43%/16%). Tumor site/metastatic status, cancer treatment, weight loss, &gt;= five prescription drugs, impaired functional status and mobility, abnormal G-8 score, low creatinine clearance, and elevated C-reactive protein (CRP)/albumin were identified as relevant predictors in the Cox model. DT and RSF identified more complex combinations of features, with G-8 score, tumor site/metastatic status, and CRP/albumin ratio contributing most to the predictions. The RSF approach gave the highest tAUC (12 months: 0.87 [RSF], 0.82 [Cox], 0.82 [DT]) and was retained as the final model.CONCLUSIONThe GCSS on the basis of a machine learning approach applied to two large French cohorts gave an accurate externally validated mortality prediction. The GCSS might improve decision making and counseling in older patients with cancer referred for pretherapeutic GA. GCSS's generalizability must now be confirmed in an international setting.</t>
  </si>
  <si>
    <t>Audureau, Etienne; Soubeyran, Pierre; Martinez-Tapia, Claudia; Bellera, Carine; Bastuji-Garin, Sylvie; Boudou-Rouquette, Pascaline; Chahwakilian, Anne; Grellety, Thomas; Hanon, Olivier; Mathoulin-Pelissier, Simone; Paillaud, Elena; Canoui-Poitrine, Florence</t>
  </si>
  <si>
    <t>Audureau, E (corresponding author), Univ Paris Est Creteil, INSERM, IMRBU955, Creteil, France.; Audureau, E (corresponding author), Hop Henri Mondor, Dept Publ Hlth, AP HP, Creteil, France.; Audureau, E (corresponding author), Hop Henri Mondor, Clin Res Unit URC Mondor, AP HP, Creteil, France.</t>
  </si>
  <si>
    <t>etienne.audureau@aphp.fr</t>
  </si>
  <si>
    <t>French National Cancer Institute (Institut National du Cancer, INCa); Canceropole Ile-de-France; Gerontopole Ile-de- France (Gerond'If); French National Cancer Institute (INCa); SIRIC BRIO (Site de Recherche Integree sur le Cancer-Bordeaux Recherche Integree Oncologie) [INCa-DGOS-Inserm 6046]</t>
  </si>
  <si>
    <t>French National Cancer Institute (Institut National du Cancer, INCa) (Institut National du Cancer (INCA) France); Canceropole Ile-de-France (Region Ile-de-France); Gerontopole Ile-de- France (Gerond'If); French National Cancer Institute (INCa) (Institut National du Cancer (INCA) France); SIRIC BRIO (Site de Recherche Integree sur le Cancer-Bordeaux Recherche Integree Oncologie)</t>
  </si>
  <si>
    <t>Supported by the French National Cancer Institute (Institut National du Cancer, INCa), Canceropole Ile-de-France, and Gerontopole Ile-de- France (Gerond'If) for the ELCAPA study. The ONCODAGE project was supported by the French National Cancer Institute (INCa), and SIRIC BRIO (Site de Recherche Integree sur le Cancer-Bordeaux Recherche Integree Oncologie, grant: INCa-DGOS-Inserm 6046).</t>
  </si>
  <si>
    <t>[Audureau, Etienne; Martinez-Tapia, Claudia; Bastuji-Garin, Sylvie; Paillaud, Elena; Canoui-Poitrine, Florence] Univ Paris Est Creteil, INSERM, IMRBU955, Creteil, France; [Audureau, Etienne; Bastuji-Garin, Sylvie; Canoui-Poitrine, Florence] Hop Henri Mondor, Dept Publ Hlth, AP HP, Creteil, France; [Audureau, Etienne; Bastuji-Garin, Sylvie] Hop Henri Mondor, Clin Res Unit URC Mondor, AP HP, Creteil, France; [Soubeyran, Pierre] Univ Bordeaux, Inst Bergonie, Dept Med Oncol, Inserm,U1218, Bordeaux, France; [Bellera, Carine; Mathoulin-Pelissier, Simone] Univ Bordeaux, Bordeaux Populat Hlth Res Ctr, Epicene Team, UMR1219,Inserm, Bordeaux, France; [Bellera, Carine; Mathoulin-Pelissier, Simone] Inst Bergonie, Comprehens Canc Ctr, Clin &amp; Epidemiol Res Unit, Inserm,CIC1401, Bordeaux, France; [Boudou-Rouquette, Pascaline] Cochin Hosp, Dept Med Oncol, ARIANE Program, Canc Res PErsonalized Med CARPEM,AP HP, Paris, France; [Chahwakilian, Anne] Broca Hosp, Gerontol Dept 1, AP HP, Paris, France; [Grellety, Thomas] Ctr Hospitalier Cote Basque, Med Oncol Dept, Bayonne, France; [Hanon, Olivier] Univ Paris, Hop Broca, Serv Geriatrie, AP HP, Paris, France; [Paillaud, Elena] Hop Europeen Georges Pompidou, Paris Canc Inst CARPEM, Serv Geriatrie, AP HP, Paris, France</t>
  </si>
  <si>
    <t>Institut National de la Sante et de la Recherche Medicale (Inserm); Universite Paris-Est-Creteil-Val-de-Marne (UPEC); Assistance Publique Hopitaux Paris (APHP); Hopital Universitaire Henri-Mondor - APHP; Universite Paris-Est-Creteil-Val-de-Marne (UPEC); Hopital Universitaire Henri-Mondor - APHP; Assistance Publique Hopitaux Paris (APHP); Hopital Universitaire Henri-Mondor - APHP; Universite Paris-Est-Creteil-Val-de-Marne (UPEC); Hopital Universitaire Henri-Mondor - APHP; Universite de Bordeaux; UNICANCER; Institut Bergonie; Institut National de la Sante et de la Recherche Medicale (Inserm); Institut National de la Sante et de la Recherche Medicale (Inserm); Universite de Bordeaux; Institut National de la Sante et de la Recherche Medicale (Inserm); Universite de Bordeaux; UNICANCER; Institut Bergonie; Assistance Publique Hopitaux Paris (APHP); Hopital Universitaire Cochin - APHP; Universite Paris Cite; Hopital Universitaire Cochin - APHP; Assistance Publique Hopitaux Paris (APHP); Hopital Universitaire Broca - APHP; Universite Paris Cite; Hopital Universitaire Broca - APHP; Assistance Publique Hopitaux Paris (APHP); Hopital Universitaire Broca - APHP; Universite Paris Cite; Hopital Universitaire Broca - APHP; Assistance Publique Hopitaux Paris (APHP); Hopital Universitaire Europeen Georges-Pompidou - APHP; Universite Paris Cite; Hopital Universitaire Europeen Georges-Pompidou - APHP</t>
  </si>
  <si>
    <t>Machine Learning to Predict Mortality in Older Patients With Cancer: Development and External Validation of the Geriatric Cancer Scoring System Using Two Large French Cohorts</t>
  </si>
  <si>
    <t>JOURNAL OF CLINICAL ONCOLOGY</t>
  </si>
  <si>
    <t>MULTIDIMENSIONAL PROGNOSTIC INDEX; INTERNATIONAL-SOCIETY; ADULTS</t>
  </si>
  <si>
    <t>Martinez-Tapia, Claudia Margarita/R-4338-2018; /R-4338-2018; Bellera, Carine/E-7531-2014; MATHOULIN-PELISSIER, Simone/T-2385-2019; Hanon, Olivier/GWR-0220-2022; Soubeyran, Pierre-Louis/F-4523-2012; Bastuji-Garin, Sylvie/R-3479-2018; Paillaud, Elena/K-5616-2017; Audureau, Etienne/AHE-2826-2022</t>
  </si>
  <si>
    <t>boudou-rouquette, pascaline/0000-0002-4860-305X; Martinez-Tapia, Claudia Margarita/0000-0002-1244-0527; Grellety, Thomas/0000-0001-5316-1420; Bellera, Carine/0000-0001-7926-4671; Audureau, Etienne/0000-0002-6166-149X</t>
  </si>
  <si>
    <t>0732-183X</t>
  </si>
  <si>
    <t>1527-7755</t>
  </si>
  <si>
    <t>J CLIN ONCOL</t>
  </si>
  <si>
    <t>J. Clin. Oncol.</t>
  </si>
  <si>
    <t>APR 20 2025</t>
  </si>
  <si>
    <t>10.1200/JCO.24.00117</t>
  </si>
  <si>
    <t>http://dx.doi.org/10.1200/JCO.24.00117</t>
  </si>
  <si>
    <t>1MN3K</t>
  </si>
  <si>
    <t>39854651</t>
  </si>
  <si>
    <t>WOS:001468556400005</t>
  </si>
  <si>
    <t>Brigo, F; Turcato, G; Lattanzi, S; Orlandi, N; Turchi, G; Zaboli, A; Giovannini, G; Meletti, S</t>
  </si>
  <si>
    <t>Background The objective of this study was to validate the value of the Status Epilepticus Severity Score (STESS) in the prediction of the risk of in-hospital mortality in patients with nonhypoxic status epilepticus (SE) using a machine learning analysis. Methods We included consecutive patients with nonhypoxic SE (aged &gt;= 16 years) admitted from 2013 to 2021 at the Modena Academic Hospital. A decision tree analysis was performed using in-hospital mortality as a dependent variable and the STESS predictors as input variables. We evaluated the accuracy of STESS in predicting in-hospital mortality using the area under the receiver operating characteristic curve (AUROC) with 95% confidence interval (CI). Results Among 629 patients with SE, the in-hospital mortality rate was 23.4% (147 of 629). The median STESS in the entire cohort was 2.9 (SD 1.6); it was lower in surviving compared with deceased patients (2.7, SD 1.5 versus 3.9, SD 1.6; p &lt; 0.001). Of deceased patients, 82.3% (121 of 147) had scores of 3-6, whereas 17.7% (26 of 147) had scores of 0-2 (p &lt; 0.001). STESS was accurate in predicting mortality, with an AUROC of 0.688 (95% CI 0.641-0.734) only slightly reduced after bootstrap resampling. The most significant predictor was the seizure type, followed by age and level of consciousness at SE onset. Nonconvulsive SE in coma and age &gt;= 65 years predicted a higher risk of mortality, whereas generalized convulsive SE and age &lt; 65 years were associated with a lower risk of death. The decision tree analysis using STESS variables correctly classified 90% of survivors and 34% of nonsurvivors after the SE, with an overall risk of error of 23.1%. Conclusions This validation study using a machine learning system showed that STESS is a valuable prognostic tool. The score appears particularly accurate and effective in identifying patients who are alive at discharge (high negative predictive value), whereas it has a lower predictive value for in-hospital mortality.</t>
  </si>
  <si>
    <t>Brigo, Francesco; Turcato, Gianni; Lattanzi, Simona; Orlandi, Niccolo; Turchi, Giulia; Zaboli, Arian; Giovannini, Giada; Meletti, Stefano</t>
  </si>
  <si>
    <t>Meletti, S (corresponding author), Azienda Osped Univ Modena, Neurol Dept, Modena, Italy.; Meletti, S (corresponding author), Univ Modena &amp; Reggio Emilia, Dept Biomed Metab &amp; Neural Sci, Modena, Italy.</t>
  </si>
  <si>
    <t>stefano.meletti@unimore.it</t>
  </si>
  <si>
    <t>Italian MOH [RF-2016-02,361,365]; MIUR</t>
  </si>
  <si>
    <t>Italian MOH (Ministry of Health, Italy); MIUR (Ministry of Education, Universities and Research (MIUR))</t>
  </si>
  <si>
    <t>This research received funding from the Italian MOH ("Status epilepticus: improving therapeutic and quality of care intervention in the Emilia-Romagna region"; project code: RF-2016-02,361,365) and by the MIUR (grant "Dipartimenti di eccellenza 2018-2022" to the Department of Biomedical, Metabolic, and Neural Sciences, University of Modena and Reggio-Emilia).</t>
  </si>
  <si>
    <t>[Brigo, Francesco] Hosp Merano Meran, Dept Neurol, Merano Meran, Italy; [Turcato, Gianni] Hosp Santorso, Dept Internal Med, Santorso, Italy; [Lattanzi, Simona] Marche Polytech Univ, Dept Expt &amp; Clin Med, Neurol Clin, Ancona, Italy; [Orlandi, Niccolo; Turchi, Giulia; Giovannini, Giada; Meletti, Stefano] Azienda Osped Univ Modena, Neurol Dept, Modena, Italy; [Orlandi, Niccolo; Meletti, Stefano] Univ Modena &amp; Reggio Emilia, Dept Biomed Metab &amp; Neural Sci, Modena, Italy; [Orlandi, Niccolo; Meletti, Stefano] Univ Modena &amp; Reggio Emilia, Dept Biomed Metab &amp; Neural Sci, Reggio Emilia, Italy; [Zaboli, Arian] Hosp Merano Meran, Dept Emergency Med, Merano Meran, Italy; [Giovannini, Giada] Univ Modena &amp; Reggio Emilia, PhD Program Clin &amp; Expt Med, Modena, Italy</t>
  </si>
  <si>
    <t>ULSS 7 Pedemontana; Ospedale Alto Vicentino; Marche Polytechnic University; Universita di Modena e Reggio Emilia; Universita di Modena e Reggio Emilia Hospital; Universita di Modena e Reggio Emilia; Universita di Modena e Reggio Emilia; Universita di Modena e Reggio Emilia</t>
  </si>
  <si>
    <t>Retrospective External Validation of the Status Epilepticus Severity Score (STESS) to Predict In-hospital Mortality in Adults with Nonhypoxic Status Epilepticus: A Machine Learning Analysis</t>
  </si>
  <si>
    <t>NEUROCRITICAL CARE</t>
  </si>
  <si>
    <t>Mortality; Prediction; Prognosis; Status epilepticus</t>
  </si>
  <si>
    <t>NONCONVULSIVE STATUS EPILEPTICUS; CONVULSIVE STATUS EPILEPTICUS; CHARACTERISTIC ROC CURVE; CLINICAL SCORE; EPIDEMIOLOGY; PROGNOSIS; CRITERIA; EPISODE; EMSE</t>
  </si>
  <si>
    <t>Lattanzi, Simona/H-2971-2019; Brigo, Francesco/H-6513-2013; Giovannini, Giada/J-8970-2018; Meletti, Stefano/O-3622-2015; Orlandi, Niccolò/JLM-5397-2023</t>
  </si>
  <si>
    <t>Brigo, Francesco/0000-0003-0928-1577; Zaboli, Arian/0000-0002-4204-8884; Meletti, Stefano/0000-0003-0334-539X</t>
  </si>
  <si>
    <t>HUMANA PRESS INC</t>
  </si>
  <si>
    <t>TOTOWA</t>
  </si>
  <si>
    <t>999 RIVERVIEW DRIVE SUITE 208, TOTOWA, NJ 07512 USA</t>
  </si>
  <si>
    <t>1541-6933</t>
  </si>
  <si>
    <t>1556-0961</t>
  </si>
  <si>
    <t>NEUROCRIT CARE</t>
  </si>
  <si>
    <t>Neurocrit. Care</t>
  </si>
  <si>
    <t>262</t>
  </si>
  <si>
    <t>10.1007/s12028-022-01610-3</t>
  </si>
  <si>
    <t>http://dx.doi.org/10.1007/s12028-022-01610-3</t>
  </si>
  <si>
    <t>Critical Care Medicine; Clinical Neurology</t>
  </si>
  <si>
    <t>D5XM0</t>
  </si>
  <si>
    <t>36229575</t>
  </si>
  <si>
    <t>WOS:000867530500003</t>
  </si>
  <si>
    <t>Xu, XL; Yu, Z; Ge, ZY; Chow, EPF; Bao, YN; Ong, JJ; Li, W; Wu, JR; Fairley, CK; Zhang, L</t>
  </si>
  <si>
    <t>Background: HIV and sexually transmitted infections (STIs) are major global public health concerns. Over 1 million curable STIs occur every day among people aged 15 years to 49 years worldwide. Insufficient testing or screening substantially impedes the elimination of HIV and STI transmission.Objective: The aim of our study was to develop an HIV and STI risk prediction tool using machine learning algorithms.Methods: We used clinic consultations that tested for HIV and STIs at the Melbourne Sexual Health Centre between March 2, 2015, and December 31, 2018, as the development data set (training and testing data set). We also used 2 external validation data sets, including data from 2019 as external "validation data 1" and data from January 2020 and January 2021 as external "validation data 2." We developed 34 machine learning models to assess the risk of acquiring HIV, syphilis, gonorrhea, and chlamydia. We created an online tool to generate an individual's risk of HIV or an STI.Results: The important predictors for HIV and STI risk were gender, age, men who reported having sex with men, number of casual sexual partners, and condom use. Our machine learning-based risk prediction tool, named MySTIRisk, performed at an acceptable or excellent level on testing data sets (area under the curve [AUC] for HIV=0.78; AUC for syphilis=0.84; AUC for gonorrhea=0.78; AUC for chlamydia=0.70) and had stable performance on both external validation data from 2019 (AUC for HIV=0.79; AUC for syphilis=0.85; AUC for gonorrhea=0.81; AUC for chlamydia=0.69) and data from 2020-2021 (AUC for HIV=0.71; AUC for syphilis=0.84; AUC for gonorrhea=0.79; AUC for chlamydia=0.69).Conclusions: Our web-based risk prediction tool could accurately predict the risk of HIV and STIs for clinic attendees using simple self-reported questions. MySTIRisk could serve as an HIV and STI screening tool on clinic websites or digital health platforms to encourage individuals at risk of HIV or an STI to be tested or start HIV pre-exposure prophylaxis. The public can use this tool to assess their risk and then decide if they would attend a clinic for testing. Clinicians or public health workers can use this tool to identify high-risk individuals for further interventions.</t>
  </si>
  <si>
    <t>Xu, Xianglong; Yu, Zhen; Ge, Zongyuan; Chow, Eric P. F.; Bao, Yining; Ong, Jason J.; Li, Wei; Wu, Jinrong; Fairley, Christopher K.; Zhang, Lei</t>
  </si>
  <si>
    <t>Zhang, L (corresponding author), Alfred Hlth, Melbourne Sexual Hlth Ctr, 580 Swanston St, Melbourne 3053, Australia.</t>
  </si>
  <si>
    <t>lei.zhang1@monash.edu</t>
  </si>
  <si>
    <t>Australian National Health and Medical Research Council [GNT1172873, GNT1193955, GNT1172900]; National Natural Science Foundation of China [81950410639]; Outstanding Young Scholars Support Program [3111500001]; Xi'an Jiaotong University Basic Research and Profession Grant [xtr022019003, xzy032020032]; Epidemiology modeling and risk assessment [20200344]; Xi'an Jiaotong University [YX6J004]</t>
  </si>
  <si>
    <t>Australian National Health and Medical Research Council (National Health &amp; Medical Research Council (NHMRC) of Australia); National Natural Science Foundation of China (National Natural Science Foundation of China (NSFC)); Outstanding Young Scholars Support Program; Xi'an Jiaotong University Basic Research and Profession Grant; Epidemiology modeling and risk assessment; Xi'an Jiaotong University (Xi'an Jiaotong University)</t>
  </si>
  <si>
    <t>EC and JJO are supported by Australian National Health and Medical Research Council Emerging Leadership Investigator Grants (GNT1172873 and GNT1193955, respectively). CKF is supported by an Australian National Health and Medical Research Council Leadership Investigator Grant (GNT1172900). LZ is supported by the National Natural Science Foundation of China (Grant number: 81950410639); Outstanding Young Scholars Support Program (Grant number: 3111500001); Xi'an Jiaotong University Basic Research and Profession Grant (Grant number: xtr022019003, xzy032020032); Epidemiology modeling and risk assessment (Grant number: 20200344); and Xi'an Jiaotong University Young Scholar Support Grant (Grant number: YX6J004). The authors want to acknowledge Afrizal Afrizal from the Melbourne Sexual Health Centre (MSHC) for data extraction. The authors thank Glenda Fehler for her contribution to data cleaning. The authors also would like to acknowledge Jon Emery from the University of Melbourne for an insightful discussion on risk prediction tools (eg, Figure 4). We thank Mark Chung at the MSHC for his assistance in preparing Figure 4.</t>
  </si>
  <si>
    <t>[Xu, Xianglong; Chow, Eric P. F.; Ong, Jason J.; Fairley, Christopher K.; Zhang, Lei] Alfred Hlth, Melbourne Sexual Hlth Ctr, Melbourne, Australia; [Xu, Xianglong; Yu, Zhen; Chow, Eric P. F.; Ong, Jason J.; Fairley, Christopher K.; Zhang, Lei] Monash Univ, Fac Med Nursing &amp; Hlth Sci, Cent Clin Sch, Melbourne, Australia; [Bao, Yining; Ong, Jason J.] Xian Jiaotong Univ Hlth Sci Ctr, China Australia Joint Res Ctr Infect Dis, Xian, Peoples R China; [Yu, Zhen; Ge, Zongyuan] Monash Univ, Fac Engn, Monash E Res Ctr, Nvidia AI Technol Res Ctr,Airdoc Res, Melbourne, Australia; [Chow, Eric P. F.] Univ Melbourne, Ctr Epidemiol &amp; Biostat, Melbourne Sch Populat &amp; Global Hlth, Melbourne, Australia; [Li, Wei] Southeast Univ, Sch Publ Hlth, Nanjing, Peoples R China; [Wu, Jinrong] La Trobe Univ, Res Ctr Data Analyt &amp; Cognit, Melbourne, Australia; [Zhang, Lei] Alfred Hlth, Melbourne Sexual Hlth Ctr, 580 Swanston St, Melbourne 3053, Australia</t>
  </si>
  <si>
    <t>Alfred Health; Melbourne Sexual Health Centre; Monash University; Monash University; University of Melbourne; Southeast University - China; La Trobe University; Alfred Health; Melbourne Sexual Health Centre</t>
  </si>
  <si>
    <t>Web-Based Risk Prediction Tool for an Individual's Risk of HIV and Sexually Transmitted Infections Using Machine Learning Algorithms: Development and External Validation Study</t>
  </si>
  <si>
    <t>HIV; sexually transmitted infections; syphilis; gonorrhea; chlamydia; sexual health; sexual transmission; sexually transmitted; prediction; web-based; risk assessment; machine learning; model; algorithm; predictive; risk; development; validation</t>
  </si>
  <si>
    <t>Bao, Yining/JJC-2161-2023; Ong, Jason/AAB-3086-2019; Zhang, Lei/D-4039-2011; Chow, Eric P.F/W-6684-2019</t>
  </si>
  <si>
    <t>Bao, Yining/0000-0002-3696-5782; yu, zhen/0000-0001-5210-2672; Ong, Jason/0000-0001-5784-7403; Wei, Li/0000-0003-0769-5805; Zhang, Lei/0000-0003-2343-084X; Chow, Eric P.F/0000-0003-1766-0657; Ge, Zongyuan/0000-0002-5880-8673</t>
  </si>
  <si>
    <t>AUG 22 2022</t>
  </si>
  <si>
    <t>e37850</t>
  </si>
  <si>
    <t>10.2196/37850</t>
  </si>
  <si>
    <t>http://dx.doi.org/10.2196/37850</t>
  </si>
  <si>
    <t>5A4VU</t>
  </si>
  <si>
    <t>36006685</t>
  </si>
  <si>
    <t>WOS:000862887700022</t>
  </si>
  <si>
    <t>Pan, XJ; Tang, LL; Lai, YT; Lin, MZ</t>
  </si>
  <si>
    <t>Aim Sarcopenia is closely linked to multimorbidity in older adults, yet its risk factors remain inadequately defined. Current screening tools also lack sensitivity and dynamic risk assessment. This study aimed to develop and validate a machine learning (ML)-based prediction system for estimating 4-year incident sarcopenia risk in older adults with multimorbidity.&lt;br /&gt; Methods We analyzed data from 1430 participants (aged &gt;= 60 years, with multimorbidity and no baseline sarcopenia) from the China Health and Retirement Longitudinal Study (CHARLS), splitting them into training (70%) and testing (30%) sets. External validation used 1715 participants from the Health and Retirement Study (HRS). Among the 14 candidate predictors initially identified from the literature, 10 key predictors were selected via LASSO regression. Eight ML models were evaluated using Receiver Operating Characteristic-Area Under the Curve (ROC-AUC), precision-recall curves, calibration, and decision curve analysis, with SHapley Additive exPlanations (SHAP) values enhancing interpretability. A web-based prediction system was developed.&lt;br /&gt; Results The Random Forest model performed best, achieving an ROC-AUC of 0.952 and accuracy of 0.861 in the training set, plus high specificity (0.635) in validation. SHAP analysis identified BMI (&lt; 22.47 or &gt; 34.33 kg/m2) and age (&gt; 66.89 years) as critical risk thresholds. Activities of daily living impairment, depressive symptoms, and female gender increased risk, while drinking behavior and married status were protective. The system enables accurate, interpretable, and dynamic sarcopenia risk assessment.&lt;br /&gt; Conclusions The ML-based prediction system addresses the limitations of current screening methods and shows potential for personalized clinical decision-making. Broader validation could further strengthen its clinical applicability.</t>
  </si>
  <si>
    <t>Pan, Xiaojia; Tang, Lulu; Lai, Yingtao; Lin, Meizhen</t>
  </si>
  <si>
    <t>Lai, YT (corresponding author), Guangzhou Univ Chinese Med, Affiliated Hosp 1, Guangzhou, Peoples R China.; Lai, YT (corresponding author), Guangdong Prov Acad Chinese Med Sci, Guangzhou, Peoples R China.; Lin, MZ (corresponding author), Guangzhou Univ Chinese Med, Guangdong Prov Hosp Chinese Med, Infect Control Off, Affiliated Hosp 2, Guangzhou, Peoples R China.</t>
  </si>
  <si>
    <t>1131251355@qq.com; lmzmay@163.com</t>
  </si>
  <si>
    <t>Guangdong Provincial Administration of Traditional Chinese Medicine [2 02530 0 8]</t>
  </si>
  <si>
    <t>Guangdong Provincial Administration of Traditional Chinese Medicine</t>
  </si>
  <si>
    <t>This research was supported by a grant from the Guangdong Provincial Administration of Traditional Chinese Medicine, China (Grant No. 2 02530 0 8).</t>
  </si>
  <si>
    <t>[Pan, Xiaojia] Guangzhou Univ Chinese Med, Coll Clin Med 1, Guangzhou, Peoples R China; [Tang, Lulu] Tongji Univ, Sch Med, Shanghai, Peoples R China; [Lai, Yingtao] Guangzhou Univ Chinese Med, Affiliated Hosp 1, Guangzhou, Peoples R China; [Lai, Yingtao] Guangdong Prov Acad Chinese Med Sci, Guangzhou, Peoples R China; [Lin, Meizhen] Guangzhou Univ Chinese Med, Guangdong Prov Hosp Chinese Med, Infect Control Off, Affiliated Hosp 2, Guangzhou, Peoples R China</t>
  </si>
  <si>
    <t>Guangzhou University of Chinese Medicine; Tongji University; Guangzhou University of Chinese Medicine; Guangzhou University of Chinese Medicine; Guangzhou University of Chinese Medicine</t>
  </si>
  <si>
    <t>Development and External Validation of a Machine Learning-Based System for Predicting 4-Year Incident Sarcopenia in Multimorbid Older Adults: Results From Two Prospective Cohorts</t>
  </si>
  <si>
    <t>GERIATRICS &amp; GERONTOLOGY INTERNATIONAL</t>
  </si>
  <si>
    <t>CHARLS; machine learning; multimorbidity; prediction model; sarcopenia</t>
  </si>
  <si>
    <t>SKELETAL-MUSCLE MASS; ELDERLY-PATIENTS; OBESITY; HEALTH; ASSOCIATION; RETIREMENT; PROFILE</t>
  </si>
  <si>
    <t>Pan, Xiaojia/0009-0009-3628-909X; tang, lulu/0000-0003-0214-1491</t>
  </si>
  <si>
    <t>1444-1586</t>
  </si>
  <si>
    <t>1447-0594</t>
  </si>
  <si>
    <t>GERIATR GERONTOL INT</t>
  </si>
  <si>
    <t>Geriatr. Gerontol. Int.</t>
  </si>
  <si>
    <t>1780</t>
  </si>
  <si>
    <t>1792</t>
  </si>
  <si>
    <t>10.1111/ggi.70229</t>
  </si>
  <si>
    <t>http://dx.doi.org/10.1111/ggi.70229</t>
  </si>
  <si>
    <t>Geriatrics &amp; Gerontology; Gerontology</t>
  </si>
  <si>
    <t>AD2IQ</t>
  </si>
  <si>
    <t>41108565</t>
  </si>
  <si>
    <t>WOS:001596889500001</t>
  </si>
  <si>
    <t>Zhang, Q; Yu, XH; Zhang, WZ; Lyu, XB; Lin, HH; Zeng, ST; Liu, CQ; Huang, HJ; Deng, WZ</t>
  </si>
  <si>
    <t>ObjectiveGout is a chronic inflammatory disease, and cardiovascular disease (CVD) is regarded as one of its complications. The aim of our study was to explore the association between systemic inflammation response index (SIRI) and the risk of CVD in gout.MethodsSix cycles of NHANES data were analyzed. Machine learning algorithms were employed to screen covariates, followed by SHAP interpretation to assess variable importance. Participants with gout were stratified by SIRI quartiles, and logistic regression was performed to evaluate CVD risk. RCS were applied to assess nonlinear trends, while discrimination, calibration, and clinical utility were evaluated using ROC, DCA, and calibration curve. Additionally, the Framingham risk score (FRS) model was integrated with SIRI, and model improvement was quantified via net reclassification improvement and integrated discrimination improvement.ResultsAmong 1260 participants with gout, 436 (weighted 28.77%) had CVD comorbidities. A linear positive association was observed between SIRI and CVD risk (P for nonlinear = 0.824), with each 1-unit increase in SIRI corresponding to 29.7% higher CVD risk (OR = 1.297, 95% CI 1.073-1.568). Participants in the highest SIRI quartile Q4 (OR = 2.060, 95% CI 1.141-3.721) exhibited increased CVD risk compared to Q1. The final model demonstrated robust discrimination (AUC = 0.755, 95% CI 0.729-0.783). Incorporating SIRI into the NHANES and clinical datasets improved the discrimination of the FRS model by 5.2% and 1.9%.ConclusionA positive linear association was identified between SIRI and CVD risk in gout patients. The model constructed based on machine learning demonstrated comparable robustness to the FRS model in predicting CVD. These findings provide a theoretical and empirical foundation for early CVD identification, prevention, and management in this population. Key Points center dot The positive linear association between the systemic inflammation response index and cardiovascular disease, as well as its subtypes in patients with gout.center dot SIRI can serve as a valuable complement to the Framingham risk score model.</t>
  </si>
  <si>
    <t>Zhang, Qiang; Yu, Xuan-hua; Zhang, Wei-zhen; Lyu, Xue-bing; Lin, Hu-han; Zeng, Shan-ting; Liu, Chang-quan; Huang, Hui-juan; Deng, Wei-zhe</t>
  </si>
  <si>
    <t>Yu, XH (corresponding author), Fujian Univ TCM, Dept Rheumatol, Peoples Hosp, Fuzhou 350004, Peoples R China.</t>
  </si>
  <si>
    <t>yuxuanhua@fjtcm.edu.cn</t>
  </si>
  <si>
    <t>Fujian Provincial Health and Family Planning Commission [No.1969 (2024)]</t>
  </si>
  <si>
    <t>Fujian Provincial Health and Family Planning Commission</t>
  </si>
  <si>
    <t>Research was funded by Fujian Provincial Senior Talent Training Program on Western Medicine Doctors Learning from Traditional Chinese Medicine No.1969(2024).</t>
  </si>
  <si>
    <t>[Zhang, Qiang; Deng, Wei-zhe] 962Nd Hosp PLA, Dept Rheumatol &amp; Chinese Med, Harbin 150048, Peoples R China; [Yu, Xuan-hua; Zhang, Wei-zhen; Lyu, Xue-bing; Lin, Hu-han; Zeng, Shan-ting; Liu, Chang-quan] Fujian Univ TCM, Dept Rheumatol, Peoples Hosp, Fuzhou 350004, Peoples R China; [Huang, Hui-juan] Fujian Univ TCM, Dept Prevent Treatment Dis, Peoples Hosp, Fuzhou 350004, Peoples R China</t>
  </si>
  <si>
    <t>Fujian University of Traditional Chinese Medicine; Fujian University of Traditional Chinese Medicine</t>
  </si>
  <si>
    <t>Machine learning based on systemic inflammation response index and risk of cardiovascular disease in gout: a retrospective study and clinical validation</t>
  </si>
  <si>
    <t>CLINICAL RHEUMATOLOGY</t>
  </si>
  <si>
    <t>Cardiovascular disease; Clinical validation; Gout; Machine learning; Systemic inflammation response index</t>
  </si>
  <si>
    <t>MORTALITY; SIRI; SII</t>
  </si>
  <si>
    <t>Zhang, Weizhen/ADM-5689-2022; Huang, Huijuan/NES-0386-2025</t>
  </si>
  <si>
    <t>俞, 烜华/0000-0001-6819-8509</t>
  </si>
  <si>
    <t>0770-3198</t>
  </si>
  <si>
    <t>1434-9949</t>
  </si>
  <si>
    <t>CLIN RHEUMATOL</t>
  </si>
  <si>
    <t>Clin. Rheumatol.</t>
  </si>
  <si>
    <t>427</t>
  </si>
  <si>
    <t>10.1007/s10067-025-07750-z</t>
  </si>
  <si>
    <t>http://dx.doi.org/10.1007/s10067-025-07750-z</t>
  </si>
  <si>
    <t>DB0AE</t>
  </si>
  <si>
    <t>41249696</t>
  </si>
  <si>
    <t>WOS:001615650100001</t>
  </si>
  <si>
    <t>Abraham, JP; Magee, D; Cremolini, C; Antoniotti, C; Halbert, DD; Xiu, J; Stafford, P; Berry, DA; Oberley, MJ; Shields, AF; Marshall, JL; Salem, ME; Falcone, A; Grothey, A; Hall, MJ; Venook, AP; Lenz, HJ; Helmstetter, A; Korn, WM; Spetzler, DB</t>
  </si>
  <si>
    <t>Purpose: FOLFOX, FOLFIRI, or FOLFOXIRI chemotherapy with bevacizumab is considered standard first-line treatment option for patients with metastatic colorectal cancer (mCRC). We developed and validated a molecular signature predictive of efficacy of oxaliplatin-based chemotherapy combined with bevacizumab in patients with mCRC.Experimental Design: A machine-learning approach was applied and tested on clinical and next-generation sequencing data from a real-world evidence (RWE) dataset and samples from the prospective TRIBE2 study resulting in identification of a molecular signature, FOLFOXai. Algorithm training considered tune-to-next treatment (TINT). Validation studies used TINT, progression-free survival, and overall survival (OS) as the primary endpoints.Results: A 67-gene signature was cross-validated in a training cohort (N = 105) which demonstrated the ability of FOLFOXai to distinguish FOLFOX-treated patients with mCRC with increased benefit from those with decreased benefit. The signature was predictive of TINT and OS in an independent RWE dataset of 412 patients who had received FOLFOX/bevacizumab in first line and inversely predictive of survival in RWE data from 55 patients who had received first-line FOLFIRI. Blinded analysis of TRIBE2 samples confirmed that FOLFOXai was predictive of OS in both oxaliplatin-containing arms (FOLFOX HR, 0.629; P = 0.04 and FOLFOXIRI HR, 0.483; P = 0.02). FOLFOXai was also predictive of treatment benefit from oxaliplatin-containing regimens in advanced csophageal/gastro-esophageal junction cancers, as well as pancreatic ductal adenocarcinoma.Conclusions: Application of FOLFOXai could lead to improvements of treatment outcomes for patients with mCRC and other cancers because patients predicted to have less benefit from oxaliplatin-containing regimens might benefit from alternative regimens.</t>
  </si>
  <si>
    <t>Abraham, Jim P.; Magee, Daniel; Cremolini, Chiara; Antoniotti, Carlotta; Halbert, David D.; Xiu, Joanne; Stafford, Phillip; Berry, Donald A.; Oberley, Matthew J.; Shields, Anthony F.; Marshall, John L.; Salem, Mohamed E.; Falcone, Alfredo; Grothey, Axel; Hall, Michael J.; Venook, Alan P.; Lenz, Heinz-Josef; Helmstetter, Anthony; Korn, W. Michael; Spetzler, David B.</t>
  </si>
  <si>
    <t>Spetzler, DB (corresponding author), Caris Life Sci, 4610 South 44th Pl, Phoenix, AZ 85040 USA.</t>
  </si>
  <si>
    <t>dspetzler@carisls.com</t>
  </si>
  <si>
    <t>Caris Life Sciences</t>
  </si>
  <si>
    <t>The authors thank Dr. George Demetri for providing critical review of the article. This work was supported by Caris Life Sciences.</t>
  </si>
  <si>
    <t>[Abraham, Jim P.; Magee, Daniel; Halbert, David D.; Xiu, Joanne; Stafford, Phillip; Oberley, Matthew J.; Helmstetter, Anthony; Korn, W. Michael; Spetzler, David B.] Caris Life Sci, 4610 South 44th Pl, Phoenix, AZ 85040 USA; [Cremolini, Chiara; Antoniotti, Carlotta; Falcone, Alfredo] Univ Hosp Pisa, Dept Oncol, Pisa, Tuscany, Italy; [Cremolini, Chiara; Antoniotti, Carlotta; Falcone, Alfredo] Univ Hosp Pisa, Dept Translat Res &amp; New Technol Med, Pisa, Tuscany, Italy; [Berry, Donald A.] Univ Texas MD Anderson Canc Ctr, Dept Biostat, Houston, TX 77030 USA; [Shields, Anthony F.] Wayne State Univ, Karmanos Canc Inst, Dept Oncol, Detroit, MI USA; [Marshall, John L.] Georgetown Univ, Med Ctr, Lombardi Comprehens Canc Ctr, Ruesch Ctr Cure Gastrointestinal Canc, Washington, DC 20007 USA; [Salem, Mohamed E.] Carolinas HealthCare Syst, Levine Canc Inst, Charlotte, NC USA; [Grothey, Axel] West Canc Ctr, Med Oncol, Germantown, TN USA; [Hall, Michael J.] Fox Chase Canc Ctr, Dept Clin Genet, 7701 Burholme Ave, Philadelphia, PA 19111 USA; [Venook, Alan P.] Univ Calif San Francisco, Dept Med, Div Hematol Oncol, San Francisco, CA 94143 USA; [Lenz, Heinz-Josef] Univ Southern Calif, Keck Sch Med, Norris Comprehens Canc Ctr, Los Angeles, CA 90007 USA</t>
  </si>
  <si>
    <t>University of Pisa; Azienda Ospedaliero Universitaria Pisana; University of Pisa; Azienda Ospedaliero Universitaria Pisana; University of Texas System; UTMD Anderson Cancer Center; Barbara Ann Karmanos Cancer Institute; Wayne State University; Georgetown University; Carolinas HealthCare System; Fox Chase Cancer Center; University of California System; University of California San Francisco; University of Southern California</t>
  </si>
  <si>
    <t>Clinical Validation of a Machine-learning-derived Signature Predictive of Outcomes from First-line Oxaliplatin-based Chemotherapy in Advanced Colorectal Cancer</t>
  </si>
  <si>
    <t>PLUS; FLUOROURACIL; BEVACIZUMAB; LEUCOVORIN; EFFICACY; ONCOLOGY; SUBTYPES</t>
  </si>
  <si>
    <t>Lenz, Heinz-Josef/OUJ-7661-2025; Oberley, Matthew/I-8107-2019; Falcone, Alfredo/G-5217-2013; Antoniotti, Carlotta/KIC-8096-2024; CREMOLINI, CHIARA/AAC-1889-2019</t>
  </si>
  <si>
    <t>Abraham, Jim/0000-0001-5038-1735; Oberley, Matthew/0000-0001-6419-2513; CREMOLINI, CHIARA/0000-0002-0520-4841</t>
  </si>
  <si>
    <t>FEB 15 2021</t>
  </si>
  <si>
    <t>1174</t>
  </si>
  <si>
    <t>1183</t>
  </si>
  <si>
    <t>10.1158/1078-0432.CCR-20-3286</t>
  </si>
  <si>
    <t>http://dx.doi.org/10.1158/1078-0432.CCR-20-3286</t>
  </si>
  <si>
    <t>QK1VB</t>
  </si>
  <si>
    <t>33293373</t>
  </si>
  <si>
    <t>WOS:000620168400031</t>
  </si>
  <si>
    <t>Wang, HL; Jiang, LY; Xiao, Y; Xu, LL; Zhang, N; Wang, L; Chen, HY</t>
  </si>
  <si>
    <t>Objectives Systemic lupus erythematosus (SLE) is a life-threatening autoimmune disorder causing multi-organ damage. Current diagnostic methods are hindered by inadequate sensitivity and specificity of conventional biomarkers, which frequently delay diagnosis. Therefore, identifying reliable diagnostic biomarkers for SLE remains critically needed. Methods SLE microarray datasets from Gene Expression Omnibus were preprocessed. Potential SLE diagnostic biomarkers were identified through differential expression analysis, weighted gene co-expression network analysis, and machine learning feature selection. Diagnostic models were constructed based on the candidate genes, optimized with nine machine learning algorithms. The expression levels of the candidate genes were further validated in clinical samples using real-time quantitative reverse transcription polymerase chain reaction (RT-qPCR), with their clinical relevance assessed statistically. Results Four candidate genes-HECT and RLD Domain Containing E3 Ubiquitin Protein Ligase 5 (HERC5), Interferon Alpha Inducible Protein 6 (IFI6), Interferon Inducible Protein with Tetratricopeptide Repeats 3 (IFIT3), and 2 '-5 '-Oligoad-enylate Synthetase Like (OASL)-showed potential as SLE diagnostic biomarkers, with significantly higher expression in SLE patients versus controls. Individual receiver operating characteristic (ROC) curves for the candidate genes showed area under the curve (AUC) values exceeding 0.8 (P &lt; 0.001), while nomogram model achieved superior accuracy (AUC = 0.905, P &lt; 0.001). Optimized diagnostic models demonstrated robust performance in different datasets (AUC &gt; 0.85, P &lt; 0.001), specifically distinguishing SLE from hepatitis C, multiple sclerosis, and tuberculosis. Clinical validation confirmed these findings, with the gene combination outperforming conventional biomarkers in assessing disease activity (AUC = 0.776, P &lt; 0.001). Conclusions HERC5, IFI6, IFIT3, and OASL can serve as potential diagnostic biomarkers for SLE. The combination of candidate genes demonstrates both differential diagnosis capability and quantitative assessment of disease activity.</t>
  </si>
  <si>
    <t>Wang, Hongling; Jiang, Liyan; Xiao, Yang; Xu, Linlin; Zhang, Ning; Wang, Li; Chen, Huoying</t>
  </si>
  <si>
    <t>Chen, HY (corresponding author), Guilin Med Univ, Affiliated Hosp 2, Dept Lab Med, Guilin, Peoples R China.; Chen, HY (corresponding author), Guilin Med Univ, Guangxi Hlth Commiss Key Lab Glucose &amp; Lipid Metab, Guilin, Peoples R China.; Chen, HY (corresponding author), Guilin Med Univ, Guangxi Key Lab Metab Reprogramming &amp; Intelligent, Guilin, Peoples R China.; Chen, HY (corresponding author), Guilin Med Univ, Guangxi Key Lab Multimodal Biomarkers &amp; Precis Dia, Guilin, Peoples R China.</t>
  </si>
  <si>
    <t>13788597776@163.com; fobufo@163.com</t>
  </si>
  <si>
    <t>Guangxi Key Laboratory of Metabolic Disease Research [GXJKKJ24Z007]; Natural Science Foundation of Guangxi Zhuang Autonomous Region [2025GXNSFAA069045]; Guangxi Medical and Health Appropriate Technology Development and Promotion Application Project [S2023130]</t>
  </si>
  <si>
    <t>Guangxi Key Laboratory of Metabolic Disease Research; Natural Science Foundation of Guangxi Zhuang Autonomous Region (National Natural Science Foundation of Guangxi Province); Guangxi Medical and Health Appropriate Technology Development and Promotion Application Project</t>
  </si>
  <si>
    <t>This work was supported by Natural Science Foundation of Guangxi Zhuang Autonomous Region (Grant No. 2025GXNSFAA069045), Guangxi Medical and Health Appropriate Technology Development and Promotion Application Project (Grant No. S2023130), and Guangxi Disease Control Research Project (Grant No. GXJKKJ24Z007).</t>
  </si>
  <si>
    <t>[Wang, Hongling; Jiang, Liyan; Xiao, Yang; Xu, Linlin; Zhang, Ning; Chen, Huoying] Guilin Med Univ, Affiliated Hosp 2, Dept Lab Med, Guilin, Peoples R China; [Jiang, Liyan; Xiao, Yang] Guilin Med Univ, Clin Med Sch 1, Guilin, Peoples R China; [Wang, Li] Guilin Med Univ, Affiliated Hosp 2, Dept Qual Management, Guilin, Peoples R China; [Chen, Huoying] Guilin Med Univ, Guangxi Hlth Commiss Key Lab Glucose &amp; Lipid Metab, Guilin, Peoples R China; [Chen, Huoying] Guilin Med Univ, Guangxi Key Lab Metab Reprogramming &amp; Intelligent, Guilin, Peoples R China; [Chen, Huoying] Guilin Med Univ, Guangxi Key Lab Multimodal Biomarkers &amp; Precis Dia, Guilin, Peoples R China</t>
  </si>
  <si>
    <t>Guilin Medical University; Guilin Medical University; Guilin Medical University; Guilin Medical University; Guilin Medical University; Guilin Medical University</t>
  </si>
  <si>
    <t>HERC5, IFI6, IFIT3, and OASL as potential diagnostic biomarkers for systemic lupus erythematosus: an integrated bioinformatics, machine learning and clinical validation</t>
  </si>
  <si>
    <t>Biomarkers; Clinical validation; Machine learning</t>
  </si>
  <si>
    <t>Xu, Linlin/AAX-3825-2020; jiang, liyan/KFC-0280-2024</t>
  </si>
  <si>
    <t>Chen, Huoying/0000-0003-0796-5975</t>
  </si>
  <si>
    <t>875</t>
  </si>
  <si>
    <t>10.1007/s10067-025-07880-4</t>
  </si>
  <si>
    <t>http://dx.doi.org/10.1007/s10067-025-07880-4</t>
  </si>
  <si>
    <t>DC7BI</t>
  </si>
  <si>
    <t>41432807</t>
  </si>
  <si>
    <t>WOS:001646053000001</t>
  </si>
  <si>
    <t>Fukumoto, W; Yamashita, Y; Kawashita, I; Higaki, T; Sakahara, A; Nakamura, Y; Awaya, Y; Awai, K</t>
  </si>
  <si>
    <t>PurposeArtificial intelligence (AI) algorithms for lung nodule detection have been developed to assist radiologists. However, external validation of its performance on low-dose CT (LDCT) images is insufficient. We examined the performance of the commercially available deep-learning-based lung nodule detection (DL-LND) using LDCT images at Japanese lung cancer screening (LCS).Materials and methodsIncluded were 43 patients with suspected lung cancer on LDCT images and pathologically confirmed lung cancer. The reference standard for nodules whose diameter exceeded 4 mm was set by a radiologist who referred to the reports of two other radiologists reading the LDCT images. After we applied commercially available DL-LND to the LDCT images, the radiologist reviewed all nodules detected by DL-LND. When he failed to identify an existing nodule, it was also included in the reference standard. To validate the performance of DL-LND, the sensitivity for lung nodules and lung cancer, the positive-predictive value (PPV) for lung nodules, and the mean number of false-positive (FP) nodules per CT scan were recorded.ResultsThe radiologist detected 97 nodules including 43 lung cancers and missed 3 solid nodules detected by DL-LND. A total of 100 nodules was included in the reference standard. DL-LND detected 396 nodules including 40 lung cancers. The sensitivity for the 100 nodules was 96.0%; the PPV was 24.2% (96/396). The mean number of FP nodules per CT scan was 7.0; sensitivity for lung cancer was 93.0% (40/43). DL-LND missed three lung cancers; 2 of these were atypical pulmonary cysts.ConclusionWe externally verified that the sensitivity for lung nodules and lung cancer by DL-LND was very high. However, its low PPV and the increased FP nodules remains a serious drawback of DL-LND.</t>
  </si>
  <si>
    <t>Fukumoto, Wataru; Yamashita, Yuki; Kawashita, Ikuo; Higaki, Toru; Sakahara, Asako; Nakamura, Yuko; Awaya, Yoshikazu; Awai, Kazuo</t>
  </si>
  <si>
    <t>Fukumoto, W (corresponding author), Hiroshima Univ, Grad Sch Biomed &amp; Hlth Sci, Dept Diagnost Radiol, 1-2-3 Kasumi, Minamiku, Hiroshima 7348551, Japan.</t>
  </si>
  <si>
    <t>wfukumoto@hiroshima-u.ac.jp</t>
  </si>
  <si>
    <t>Hiroshima University</t>
  </si>
  <si>
    <t>Open Access funding provided by Hiroshima University. No funding was received for conducting this study.</t>
  </si>
  <si>
    <t>[Fukumoto, Wataru; Kawashita, Ikuo; Sakahara, Asako; Nakamura, Yuko; Awai, Kazuo] Hiroshima Univ, Grad Sch Biomed &amp; Hlth Sci, Dept Diagnost Radiol, 1-2-3 Kasumi, Minamiku, Hiroshima 7348551, Japan; [Yamashita, Yuki] Hiroshima Univ, Sch Med, 1-2-3 Kasumi, Minamiku, Hiroshima 7348551, Japan; [Higaki, Toru] Hiroshima Univ, Grad Sch Adv Sci &amp; Engn, 1-4-1 Kagamiyama, Higashihiroshima 7398527, Japan; [Awaya, Yoshikazu] Miyoshi Cent Hosp, Dept Resp Med, 10531 Higashi Sakaya Cho, Miyoshi, Hiroshima 7288502, Japan</t>
  </si>
  <si>
    <t>Hiroshima University; Hiroshima University; Hiroshima University</t>
  </si>
  <si>
    <t>External validation of the performance of commercially available deep-learning-based lung nodule detection on low-dose CT images for lung cancer screening in Japan</t>
  </si>
  <si>
    <t>JAPANESE JOURNAL OF RADIOLOGY</t>
  </si>
  <si>
    <t>Artificial intelligence; Computed-aided detection; Lung cancer screening; Lung nodule; Atypical pulmonary cyst</t>
  </si>
  <si>
    <t>PULMONARY NODULES</t>
  </si>
  <si>
    <t>Nakamura, Yuko/KBP-8674-2024</t>
  </si>
  <si>
    <t>1867-1071</t>
  </si>
  <si>
    <t>1867-108X</t>
  </si>
  <si>
    <t>JPN J RADIOL</t>
  </si>
  <si>
    <t>Jpn. J. Radiol.</t>
  </si>
  <si>
    <t>634</t>
  </si>
  <si>
    <t>640</t>
  </si>
  <si>
    <t>10.1007/s11604-024-01704-2</t>
  </si>
  <si>
    <t>http://dx.doi.org/10.1007/s11604-024-01704-2</t>
  </si>
  <si>
    <t>0SG4O</t>
  </si>
  <si>
    <t>39613978</t>
  </si>
  <si>
    <t>WOS:001366667600001</t>
  </si>
  <si>
    <t>Lee, JH; Ha, EJ; Kim, D; Jung, YJ; Heo, S; Jang, YH; An, SH; Lee, K</t>
  </si>
  <si>
    <t>Purpose This study aimed to validate a deep learning model's diagnostic performance in using computed tomography (CT) to diagnose cervical lymph node metastasis (LNM) from thyroid cancer in a large clinical cohort and to evaluate the model's clinical utility for resident training. Methods The performance of eight deep learning models was validated using 3838 axial CT images from 698 consecutive patients with thyroid cancer who underwent preoperative CT imaging between January and August 2018 (3606 and 232 images from benign and malignant lymph nodes, respectively). Six trainees viewed the same patient images (n = 242), and their diagnostic performance and confidence level (5-point scale) were assessed before and after computer-aided diagnosis (CAD) was included. Results The overall area under the receiver operating characteristics (AUROC) of the eight deep learning algorithms was 0.846 (range 0.784-0.884). The best performing model was Xception, with an AUROC of 0.884. The diagnostic accuracy, sensitivity, specificity, positive predictive value, and negative predictive value of Xception were 82.8%, 80.2%, 83.0%, 83.0%, and 80.2%, respectively. After introducing the CAD system, underperforming trainees received more help from artificial intelligence than the higher performing trainees (p = 0.046), and overall confidence levels significantly increased from 3.90 to 4.30 (p &lt; 0.001). Conclusion The deep learning-based CAD system used in this study for CT diagnosis of cervical LNM from thyroid cancer was clinically validated with an AUROC of 0.884. This approach may serve as a training tool to help resident physicians to gain confidence in diagnosis.</t>
  </si>
  <si>
    <t>Lee, Jeong Hoon; Ha, Eun Ju; Kim, DaYoung; Jung, Yong Jun; Heo, Subin; Jang, Yong-Ho; An, Sung Hyun; Lee, Kyungmin</t>
  </si>
  <si>
    <t>Ha, EJ (corresponding author), Ajou Univ, Dept Radiol, Sch Med, Suwon 443380, South Korea.</t>
  </si>
  <si>
    <t>radhej@naver.com</t>
  </si>
  <si>
    <t>National Research Foundation of Korea [2017R1C1B5016217]</t>
  </si>
  <si>
    <t>National Research Foundation of Korea (National Research Foundation of Korea)</t>
  </si>
  <si>
    <t>This study has received funding by the National Research Foundation of Korea (no. 2017R1C1B5016217).</t>
  </si>
  <si>
    <t>[Lee, Jeong Hoon] Seoul Natl Univ, Seoul Natl Univ Biomed Informat, Div Biomed Informat, Coll Med, Seoul 110799, South Korea; [Ha, Eun Ju; Kim, DaYoung; Jung, Yong Jun; Heo, Subin; Jang, Yong-Ho; An, Sung Hyun; Lee, Kyungmin] Ajou Univ, Dept Radiol, Sch Med, Suwon 443380, South Korea</t>
  </si>
  <si>
    <t>Seoul National University (SNU); Ajou University</t>
  </si>
  <si>
    <t>Application of deep learning to the diagnosis of cervical lymph node metastasis from thyroid cancer with CT: external validation and clinical utility for resident training</t>
  </si>
  <si>
    <t>Deep learning; Thyroid neoplasms; Lymphatic metastasis; Tomography; X-ray computed</t>
  </si>
  <si>
    <t>COMPUTER-AIDED DIAGNOSIS; ARTIFICIAL-INTELLIGENCE; NODULES; PERFORMANCE; MANAGEMENT</t>
  </si>
  <si>
    <t>Lee, Jeong Hoon/AAF-2400-2020; Heo, Subin/GOH-3037-2022</t>
  </si>
  <si>
    <t>Lee, Jeong Hoon/0000-0002-1789-8270</t>
  </si>
  <si>
    <t>3066</t>
  </si>
  <si>
    <t>3072</t>
  </si>
  <si>
    <t>10.1007/s00330-019-06652-4</t>
  </si>
  <si>
    <t>http://dx.doi.org/10.1007/s00330-019-06652-4</t>
  </si>
  <si>
    <t>FEB 2020</t>
  </si>
  <si>
    <t>LR8BV</t>
  </si>
  <si>
    <t>32065285</t>
  </si>
  <si>
    <t>WOS:000516260600002</t>
  </si>
  <si>
    <t>Schinkel, M; Boerman, AW; Bennis, FC; Minderhoud, TC; Lie, M; Peters-Sengers, H; Holleman, F; Schade, RP; de Jonge, R; Wiersinga, WJ; Nanayakkara, PWB</t>
  </si>
  <si>
    <t>Background Overuse of blood cultures (BCs) in emergency departments (EDs) leads to low yields and high numbers of contaminated cultures, accompanied by increased diagnostics, antibiotic usage, prolonged hospitalization, and mortality. We aimed to simplify and validate a recently developed machine learning model to help safely withhold BC testing in low-risk patients.Methods We extracted data from the electronic health records (EHR) for 44.123 unique ED visits with BC sampling in the Amsterdam UMC (locations VUMC and AMC; the Netherlands), Zaans Medical Center (ZMC; the Netherlands), and Beth Israel Deaconess Medical Center (BIDMC; United States) in periods between 2011 and 2021. We trained a machine learning model on the VUMC data to predict blood culture outcomes and validated it in the AMC, ZMC, and BIDMC with subsequent real-time prospective evaluation in the VUMC.Findings The model had an Area Under the Receiver Operating Characteristics curve (AUROC) of 0.81 (95%-CI = 0.78-0.83) in the VUMC test set. The most important predictors were temperature, creatinine, and C-reactive protein. The AUROCs in the validation cohorts were 0.80 (AMC; 0.78-0.82), 0.76 (ZMC; 0.74-0.78), and 0.75 (BIDMC; 0.74-0.76). During real-time prospective evaluation in the EHR of the VUMC, it reached an AUROC of 0.76 (0.71-0.81) among 590 patients with BC draws in the ED. The prospective evaluation showed that the model can be used to safely withhold blood culture analyses in at least 30% of patients in the ED.Interpretation We developed a machine learning model to predict blood culture outcomes in the ED, which retained its performance during external validation and real-time prospective evaluation. Our model can identify patients at low risk of having a positive blood culture Using the model in practice can significantly reduce the number of blood culture analyses and thus avoid the hidden costs of false-positive culture results. Copyright (C) 2022 The Author(s). Published by Elsevier B.V.</t>
  </si>
  <si>
    <t>Schinkel, Michiel; Boerman, Anneroos W.; Bennis, Frank C.; Minderhoud, Tanca C.; Lie, Mei; Peters-Sengers, Hessel; Holleman, Frits; Schade, Rogier P.; de Jonge, Robert; Wiersinga, W. Joost; Nanayakkara, Prabath W. B.</t>
  </si>
  <si>
    <t>Nanayakkara, PWB (corresponding author), Amsterdam UMC, Locat VU Univ Med Ctr, Amsterdam Publ Hlth Res Inst, Sect Gen Internal Med,Dept Internal Med, De Boelelaan 1118, NL-1081 HZ Amsterdam, Netherlands.</t>
  </si>
  <si>
    <t>p.nanayakkara@amsterdamumc.nl</t>
  </si>
  <si>
    <t>Amsterdam Public Health - Quality of Care program; Dutch "Doen of Laten" project [839205002]</t>
  </si>
  <si>
    <t>Amsterdam Public Health - Quality of Care program; Dutch "Doen of Laten" project</t>
  </si>
  <si>
    <t>This research project was funded by the Amsterdam Public Health - Quality of Care program and the Dutch "Doen of Laten" project (project number: 839205002).</t>
  </si>
  <si>
    <t>[Schinkel, Michiel; Boerman, Anneroos W.; Minderhoud, Tanca C.; Nanayakkara, Prabath W. B.] Amsterdam UMC, Locat VU Univ Med Ctr, Amsterdam Publ Hlth Res Inst, Sect Gen Internal Med,Dept Internal Med, De Boelelaan 1118, NL-1081 HZ Amsterdam, Netherlands; [Schinkel, Michiel; Peters-Sengers, Hessel; Wiersinga, W. Joost] Amsterdam UMC, Locat Acad Med Ctr, Ctr Expt &amp; Mol Med CEMM, Meibergdreef 9, NL-1105 AZ Amsterdam, Netherlands; [Boerman, Anneroos W.; de Jonge, Robert] Vrije Univ Amsterdam, AGEM Res Inst, Amsterdam UMC, Dept Clin Chem, De Boelelaan 1118, NL-1081 HZ Amsterdam, Netherlands; [Bennis, Frank C.] Vrije Univ Amsterdam, Fac Sci, Dept Comp Sci, Quantitat Data Analyt Grp, De Boelelaan 1105, NL-1081 HV Amsterdam, Netherlands; [Lie, Mei] Amsterdam UMC, Locat VU Univ Med Ctr, Dept EVA Serv Ctr, De Boelelaan 1118, NL-1081 HZ Amsterdam, Netherlands; [Lie, Mei] Amsterdam UMC, Locat Acad Med Ctr, Dept EVA Serv Ctr, Meibergdreef 9, NL-1105 AZ Amsterdam, Netherlands; [Holleman, Frits] Amsterdam UMC, Locat Acad Med Ctr, Dept Internal Med, Sect Gen &amp; Acute Internal Med, Meibergdreef 9, NL-1105 AZ Amsterdam, Netherlands; [Schade, Rogier P.] Amsterdam UMC, Locat Acad Med Ctr, Dept Med Microbiol &amp; Infect Prevent, Meibergdreef 9, NL-1105 AZ Amsterdam, Netherlands; [Wiersinga, W. Joost] Amsterdam UMC, Locat Acad Med Ctr, Dept Internal Med, Sect Infect Dis, Meibergdreef 9, NL-1105 AZ Amsterdam, Netherlands</t>
  </si>
  <si>
    <t>University of Amsterdam; Vrije Universiteit Amsterdam; Vrije Universiteit Amsterdam; University of Amsterdam; University of Amsterdam; University of Amsterdam; University of Amsterdam</t>
  </si>
  <si>
    <t>Diagnostic stewardship for blood cultures in the emergency department: A multicenter validation and prospective evaluation of a machine learning prediction tool</t>
  </si>
  <si>
    <t>Blood cultures; Machine learning; Emergency department; Validation; Decision-curve analysis</t>
  </si>
  <si>
    <t>CONTAMINATION; CURVE</t>
  </si>
  <si>
    <t>schade, rogier/HJA-2547-2022; Peters-Sengers, Hessel/G-9203-2019; Bennis, Frank/GSD-4625-2022</t>
  </si>
  <si>
    <t>schade, rogier/0000-0002-9487-4467; Holleman, Frits/0000-0001-5858-5089; Peters-Sengers, Hessel/0000-0003-3145-864X; Schinkel, Michiel/0000-0002-9357-9917; Bennis, Frank/0000-0002-6233-9101</t>
  </si>
  <si>
    <t>104176</t>
  </si>
  <si>
    <t>10.1016/j.ebiom.2022.104176</t>
  </si>
  <si>
    <t>http://dx.doi.org/10.1016/j.ebiom.2022.104176</t>
  </si>
  <si>
    <t>3F9MD</t>
  </si>
  <si>
    <t>35853298</t>
  </si>
  <si>
    <t>WOS:000830983200010</t>
  </si>
  <si>
    <t>Gates, A; Gates, M; Sim, S; Elliott, SA; Pillay, J; Hartling, L</t>
  </si>
  <si>
    <t>Background: Machine learning tools that semi-automate data extraction may create efficiencies in systematic review production. We evaluated a machine learning and text mining tool's ability to (a) automatically extract data elements from randomized trials, and (b) save time compared with manual extraction and verification.Methods: For 75 randomized trials, we manually extracted and verified data for 21 data elements. We uploaded the randomized trials to an online machine learning and text mining tool, and quantified performance by evaluating its ability to identify the reporting of data elements (reported or not reported), and the relevance of the extracted sentences, fragments, and overall solutions. For each randomized trial, we measured the time to complete manual extraction and verification, and to review and amend the data extracted by the tool. We calculated the median (interquartile range [IQR]) time for manual and semi-automated data extraction, and overall time savings.Results: The tool identified the reporting (reported or not reported) of data elements with median (IQR) 91% (75% to 99%) accuracy. Among the top five sentences for each data element at least one sentence was relevant in a median (IQR) 88% (83% to 99%) of cases. Among a median (IQR) 90% (86% to 97%) of relevant sentences, pertinent fragments had been highlighted by the tool; exact matches were unreliable (median (IQR) 52% [33% to 73%]). A median 48% of solutions were fully correct, but performance varied greatly across data elements (IQR 21% to 71%). Using ExaCT to assist the first reviewer resulted in a modest time savings compared with manual extraction by a single reviewer (17.9 vs. 21.6 h total extraction time across 75 randomized trials).Conclusions: Using ExaCT to assist with data extraction resulted in modest gains in efficiency compared with manual extraction. The tool was reliable for identifying the reporting of most data elements. The tool's ability to identify at least one relevant sentence and highlight pertinent fragments was generally good, but changes to sentence selection and/or highlighting were often required.</t>
  </si>
  <si>
    <t>Gates, Allison; Gates, Michelle; Sim, Shannon; Elliott, Sarah A.; Pillay, Jennifer; Hartling, Lisa</t>
  </si>
  <si>
    <t>Hartling, L (corresponding author), Univ Alberta, Edmonton Clin Hlth Acad, Dept Pediat, 11405 87 Ave NW, Edmonton, AB T6G 1C9, Canada.</t>
  </si>
  <si>
    <t>hartling@ualberta.ca</t>
  </si>
  <si>
    <t>Agency for Healthcare Research and Quality (AHRQ), U.S. Department of Health and Human Services (HHS) [290-2015-00001-I]</t>
  </si>
  <si>
    <t>Agency for Healthcare Research and Quality (AHRQ), U.S. Department of Health and Human Services (HHS)</t>
  </si>
  <si>
    <t>Funding This project was funded under Contract No. 290-2015-00001-I Task Order 1 from the Agency for Healthcare Research and Quality (AHRQ), U.S. Department of Health and Human Services (HHS). The authors of this report are responsible for its content. Statements in the report do not necessarily represent the official views of or imply endorsement by AHRQ or HHS. A representative from AHRQ served as a Contracting Officer's Technical Representative and provided technical assistance during the conduct of the full report and provided comments on draft versions of the full report. AHRQ did not directly participate in the design of the study, in the collection, analysis, and interpretation of data, nor in the writing of the report and decision to submit it for publication.</t>
  </si>
  <si>
    <t>[Hartling, Lisa] Univ Alberta, Edmonton Clin Hlth Acad, Dept Pediat, 11405 87 Ave NW, Edmonton, AB T6G 1C9, Canada; Univ Alberta, Edmonton Clin Hlth Acad, Alberta Res Ctr Hlth, 11405 87 Ave NW, Edmonton, AB T6G 1C9, Canada</t>
  </si>
  <si>
    <t>University of Alberta; University of Alberta</t>
  </si>
  <si>
    <t>Creating efficiencies in the extraction of data from randomized trials: a prospective evaluation of a machine learning and text mining tool</t>
  </si>
  <si>
    <t>BMC MEDICAL RESEARCH METHODOLOGY</t>
  </si>
  <si>
    <t>Data collection; Machine learning; Text mining; Efficiency; Systematic reviews; Clinical trials</t>
  </si>
  <si>
    <t>BIAS</t>
  </si>
  <si>
    <t>1471-2288</t>
  </si>
  <si>
    <t>BMC MED RES METHODOL</t>
  </si>
  <si>
    <t>BMC Med. Res. Methodol.</t>
  </si>
  <si>
    <t>AUG 16 2021</t>
  </si>
  <si>
    <t>169</t>
  </si>
  <si>
    <t>10.1186/s12874-021-01354-2</t>
  </si>
  <si>
    <t>http://dx.doi.org/10.1186/s12874-021-01354-2</t>
  </si>
  <si>
    <t>UC7PD</t>
  </si>
  <si>
    <t>34399684</t>
  </si>
  <si>
    <t>WOS:000686715000003</t>
  </si>
  <si>
    <t>Pitakaso, R; Klanliang, K; Luesak, P; Gonwirat, S; Kaewta, C; Enkvetchakul, P; Boonmee, C</t>
  </si>
  <si>
    <t>Accurate detection of periapical pathologies from dental radiographs remains a challenging task due to variations in image quality, anatomical complexity, and limited availability of labeled clinical datasets. This study proposes an intelligent deep learning framework, termed Triple Ensemble Artificial Intelligence for Teeth Disease Classification System (A-TDCS), designed to improve diagnostic accuracy and robustness in dental radiography analysis. The proposed framework integrates three complementary components: optimized image augmentation using a Non-Population-Based Artificial Multiple Intelligence System (np-AMIS), adaptive image segmentation guided by Population-Based AMIS (pop-AMIS), and a heterogeneous ensemble of Convolutional Neural Networks (CNNs) combined through multiple decision-fusion strategies. A comprehensive factorial experimental design involving 450 configurations was conducted to identify optimal combinations of preprocessing, segmentation, network architecture, and fusion strategies. The resulting framework was evaluated on both benchmark datasets and real clinical datasets of periapical radiographs collected from the Postgraduate Endodontic Clinic, Faculty of Dentistry, Chiang Mai University. Experimental results demonstrate that the proposed A-TDCS-AMIS model consistently outperforms single architectures and homogeneous ensembles. On the TD-XI clinical dataset, the model achieved 98.84% accuracy, while evaluation on the independent unseen TD-XIV dataset achieved 98.21% accuracy, confirming strong generalization capability under real-world conditions. The results demonstrate that combining heterogeneous CNN architectures with adaptive optimization-based fusion significantly improves diagnostic reliability for dental radiographic analysis. The proposed framework provides a scalable and robust solution for AI-assisted clinical decision support in dental diagnostics, demonstrating its practical applicability in real clinical environments and contributing to the advancement of intelligent medical imaging systems.</t>
  </si>
  <si>
    <t>Pitakaso, Rapeepan; Klanliang, Kittipit; Luesak, Peerawat; Gonwirat, Sarayut; Kaewta, Chutchai; Enkvetchakul, Prem; Boonmee, Chawis</t>
  </si>
  <si>
    <t>Boonmee, C (corresponding author), Chiang Mai Univ, Fac Engn, Dept Ind Engn, Humanitarian Logist &amp; Crisis Operat Res Unit, Chiang Mai, Thailand.</t>
  </si>
  <si>
    <t>chawis.boonmee@cmu.ac.th</t>
  </si>
  <si>
    <t>Innovation Fund (NSEF) [4775406]; Chiang Mai University</t>
  </si>
  <si>
    <t>Innovation Fund (NSEF); Chiang Mai University (Chiang Mai University)</t>
  </si>
  <si>
    <t>This work was supported by Ubon Ratchathani University, Thailand Science Research and Innovation (TSRI), and National Science Research and Innovation Fund (NSEF) under grant number 4775406. This research work was also partially supported by Chiang Mai University.</t>
  </si>
  <si>
    <t>[Pitakaso, Rapeepan] Ubon Ratchathani Univ, Fac Engn, Ind Engn Dept, Artificial Intelligence Optimizat SMART Lab, Ubon Ratchathani 34190, Thailand; [Klanliang, Kittipit] Chiang Mai Univ, Div Endodont, Dept Restorat Dent &amp; Periodontol, Fac Dent, Chiang Mai 50200, Thailand; [Luesak, Peerawat] Rajamangala Univ Technol Lanna, Fac Engn, Dept Ind Engn, Chiang Rai 57120, Thailand; [Gonwirat, Sarayut] Kalasin Univ, Fac Engn &amp; Ind Technol, Dept Comp Engn &amp; Automat, Kalasin 46000, Thailand; [Kaewta, Chutchai] Ubon Ratchathani Rajabhat Univ, Fac Comp Sci, Digital Innovat, Mueang Ubon Ratchathani 34000, Thailand; [Enkvetchakul, Prem] Buriram Rajabhat Univ, Dept Informat Technol, Fac Sci, Nai Mueang 31000, Buriram, Thailand; [Boonmee, Chawis] Chiang Mai Univ, Fac Engn, Dept Ind Engn, Humanitarian Logist &amp; Crisis Operat Res Unit, Chiang Mai, Thailand; [Boonmee, Chawis] Chiang Mai Univ, Adv Technol &amp; Innovat Management Creat Econ Res Gr, Chiang Mai 50200, Thailand</t>
  </si>
  <si>
    <t>Ubon Ratchathani University; Chiang Mai University; Kalasin University; Chiang Mai University; Chiang Mai University</t>
  </si>
  <si>
    <t>Intelligent diagnosis of periapical pathologies in dental radiographs using an optimized triple-ensemble deep learning framework with real-world clinical validation</t>
  </si>
  <si>
    <t>INTELLIGENT SYSTEMS WITH APPLICATIONS</t>
  </si>
  <si>
    <t>Periapical pathology diagnosis; Dental radiographs; Intelligent medical systems; Triple ensemble deep learning; Artificial multiple intelligence; Diagnostic imaging</t>
  </si>
  <si>
    <t>2667-3053</t>
  </si>
  <si>
    <t>INTELL SYST APPL</t>
  </si>
  <si>
    <t>Intell. Syst. Appl.</t>
  </si>
  <si>
    <t>200716</t>
  </si>
  <si>
    <t>10.1016/j.iswa.2026.200716</t>
  </si>
  <si>
    <t>http://dx.doi.org/10.1016/j.iswa.2026.200716</t>
  </si>
  <si>
    <t>Computer Science, Artificial Intelligence; Computer Science, Information Systems; Computer Science, Interdisciplinary Applications</t>
  </si>
  <si>
    <t>MV6WF</t>
  </si>
  <si>
    <t>WOS:001851989800001</t>
  </si>
  <si>
    <t>Li, YY; Zhang, HL; Sun, Y; Fan, QR; Wang, L; Ji, CS; HuiGu; Chen, BJ; Zhao, S; Wang, DW; Yu, PX; Li, JC; Yang, SF; Zhang, CC; Wang, XM</t>
  </si>
  <si>
    <t>Purpose: To evaluate the diagnostic efficacy of a developed artificial intelligence (AI) platform incorporating deep learning algorithms for the automated detection of intracranial aneurysms in time-of-flight (TOF) magnetic resonance angiography (MRA). Method: This retrospective study encompassed 3D TOF MRA images acquired between January 2023 and June 2023, aiming to validate the presence of intracranial aneurysms via our developed AI platform. The manual segmentation results by experienced neuroradiologists served as the "gold standard". Following annotation of MRA images by neuroradiologists using InferScholar software, the AI platform conducted automatic segmentation of intracranial aneurysms. Various metrics including accuracy (ACC), balanced ACC, area under the curve (AUC), sensitivity (SE), specificity (SP), F1 score, Brier Score, and Net Benefit were utilized to evaluate the generalization of AI platform. Comparison of intracranial aneurysm identification performance was conducted between the AI platform and six radiologists with experience ranging from 3 to 12 years in interpreting MR images. Additionally, a comparative analysis was carried out between radiologists' detection performance based on independent visual diagnosis and AI-assisted diagnosis. Subgroup analyses were also performed based on the size and location of the aneurysms to explore factors impacting aneurysm detectability. Results: 510 patients were enrolled including 215 patients (42.16 %) with intracranial aneurysms and 295 patients (57.84 %) without aneurysms. Compared with six radiologists, the AI platform showed competitive discrimination power (AUC, 0.96), acceptable calibration (Brier Score loss, 0.08), and clinical utility (Net Benefit, 86.96 %). The AI platform demonstrated superior performance in detecting aneurysms with an overall SE, SP, ACC, balanced ACC, and F1 score of 91.63 %, 92.20 %, 91.96 %, 91.92 %, and 90.57 % respectively, outperforming the detectability of the two resident radiologists. For subgroup analysis based on aneurysm size and location, we observed that the SE of the AI platform for identifying tiny (diameter&lt;3mm), small (3 mm &lt;= diameter&lt;5mm), medium (5 mm &lt;= diameter&lt;7mm) and large aneurysms (diameter &gt;= 7 mm) was 87.80 %, 93.14 %, 95.45 %, and 100 %, respectively. Furthermore, the SE for detecting aneurysms in the anterior circulation was higher than that in the posterior circulation. Utilizing the AI assistance, six radiologists (i.e., two residents, two attendings and two professors) achieved statistically significant improvements in mean SE (residents: 71.40 % vs. 88.37 %; attendings: 82.79 % vs. 93.26 %; professors: 90.07 % vs. 97.44 %; P &lt; 0.05) and ACC (residents: 85.29 % vs. 94.12 %; attendings: 91.76 % vs. 97.06 %; professors: 95.29 % vs. 98.82 %; P &lt; 0.05) while no statistically significant change was observed in SP. Overall, radiologists' mean SE increased by 11.40 %, mean SP increased by 1.86 %, and mean ACC increased by 5.88 %, mean balanced ACC promoted by 6.63 %, mean F1 score grew by 7.89 %, and Net Benefit rose by 12.52 %, with a concurrent decrease in mean Brier score declined by 0.06. Conclusions: The deep learning algorithms implemented in the AI platform effectively detected intracranial aneurysms on TOF-MRA and notably enhanced the diagnostic capabilities of radiologists. This indicates that the AI- based auxiliary diagnosis model can provide dependable and precise prediction to improve the diagnostic capacity of radiologists.</t>
  </si>
  <si>
    <t>Li, Yuanyuan; Zhang, Huiling; Sun, Yun; Fan, Qianrui; Wang, Long; Ji, Congshan; HuiGu; Chen, Baojin; Zhao, Shuo; Wang, Dawei; Yu, Pengxin; Li, Junchen; Yang, Shifeng; Zhang, Chuanchen; Wang, Ximing</t>
  </si>
  <si>
    <t>Yang, SF; Wang, XM (corresponding author), Shandong First Med Univ, Shandong Prov Hosp, Dept Radiol, Jinan, Peoples R China.; Zhang, CC (corresponding author), Shandong First Med Univ, Liaocheng Peoples Hosp, Dept Radiol, Jinan, Peoples R China.; Zhang, CC (corresponding author), Shandong Acad Med Sci, Jinan, Peoples R China.; Wang, XM (corresponding author), Shandong Univ, Shandong Prov Hosp, Cheeloo Coll Med, Dept Radiol, Jinan, Peoples R China.</t>
  </si>
  <si>
    <t>ysfirst@126.com; wxming369@163.com; chuanchensci@126.com</t>
  </si>
  <si>
    <t>Natural Science Foundation of Shandong Province, China [ZR2021QH263, ZR2021QH352]; National Natural Scientific Foundation of China [81871354, 8151672]; Academic promotion programme of Shandong First Medical University, China [2019QL023]</t>
  </si>
  <si>
    <t>Natural Science Foundation of Shandong Province, China (Natural Science Foundation of Shandong Province); National Natural Scientific Foundation of China (National Natural Science Foundation of China (NSFC)); Academic promotion programme of Shandong First Medical University, China</t>
  </si>
  <si>
    <t>This work was supported by the Natural Science Foundation of Shandong Province, China [ZR2021QH263, ZR2021QH352], the National Natural Scientific Foundation of China [81871354, 8151672] and Academic promotion programme of Shandong First Medical University, China [2019QL023].</t>
  </si>
  <si>
    <t>[Li, Yuanyuan; Sun, Yun; Ji, Congshan; Chen, Baojin; Zhao, Shuo; Yang, Shifeng; Wang, Ximing] Shandong First Med Univ, Shandong Prov Hosp, Dept Radiol, Jinan, Peoples R China; [Li, Yuanyuan; HuiGu; Zhao, Shuo; Zhang, Chuanchen] Shandong First Med Univ, Liaocheng Peoples Hosp, Dept Radiol, Jinan, Peoples R China; [Li, Yuanyuan; HuiGu; Zhao, Shuo; Zhang, Chuanchen] Shandong Acad Med Sci, Jinan, Peoples R China; [Li, Yuanyuan; HuiGu; Zhao, Shuo; Wang, Ximing] Shandong Univ, Shandong Prov Hosp, Cheeloo Coll Med, Dept Radiol, Jinan, Peoples R China; [Zhang, Huiling; Fan, Qianrui; Wang, Dawei; Yu, Pengxin] Infervis Med Technol Co Ltd, Inst Res, Beijing, Peoples R China; [Wang, Long] Shandong First Med Univ, Shandong Prov Hosp, Dept Cardiovasc Surg, Jinan, Peoples R China; [Li, Junchen] Nanjing Univ Chinese Med, Changshu Hosp, Dept Radiol, Changshu, Peoples R China</t>
  </si>
  <si>
    <t>Shandong First Medical University &amp; Shandong Academy of Medical Sciences; Shandong First Medical University &amp; Shandong Academy of Medical Sciences; University of Jinan; Shandong First Medical University &amp; Shandong Academy of Medical Sciences; Shandong University; Shandong First Medical University &amp; Shandong Academy of Medical Sciences; Shandong First Medical University &amp; Shandong Academy of Medical Sciences; Nanjing University of Chinese Medicine</t>
  </si>
  <si>
    <t>Deep learning-based platform performs high detection sensitivity of intracranial aneurysms in 3D brain TOF-MRA: An external clinical validation study</t>
  </si>
  <si>
    <t>Artificial intelligence; Deep learning; Intracranial aneurysm; Magnetic resonance angiography</t>
  </si>
  <si>
    <t>MANAGEMENT; DIAGNOSIS</t>
  </si>
  <si>
    <t>Yu, Pengxin/KMA-6688-2024; Zhang, Huiling/HJI-5828-2023</t>
  </si>
  <si>
    <t>105487</t>
  </si>
  <si>
    <t>10.1016/j.ijmedinf.2024.105487</t>
  </si>
  <si>
    <t>http://dx.doi.org/10.1016/j.ijmedinf.2024.105487</t>
  </si>
  <si>
    <t>J3T7G</t>
  </si>
  <si>
    <t>38761459</t>
  </si>
  <si>
    <t>WOS:001336325600001</t>
  </si>
  <si>
    <t>D'Aviero, A; Re, A; Catucci, F; Piccari, D; Votta, C; Piro, D; Piras, A; Di Dio, C; Iezzi, M; Preziosi, F; Menna, S; Quaranta, F; Boschetti, A; Marras, M; Miccichè, F; Gallus, R; Indovina, L; Bussu, F; Valentini, V; Cusumano, D; Mattiucci, GC</t>
  </si>
  <si>
    <t>Background: Organs at risk (OARs) delineation is a crucial step of radiotherapy (RT) treatment planning workflow. Time-consuming and inter-observer variability are main issues in manual OAR delineation, mainly in the head and neck (H &amp; N) district. Deep-learning based auto-segmentation is a promising strategy to improve OARs contouring in radiotherapy departments. A comparison of deep-learning-generated auto-contours (AC) with manual contours (MC) was performed by three expert radiation oncologists from a single center. Methods: Planning computed tomography (CT) scans of patients undergoing RT treatments for H&amp;N cancers were considered. CT scans were processed by Limbus Contour auto-segmentation software, a commercial deep-learning auto-segmentation based software to generate AC. H&amp;N protocol was used to perform AC, with the structure set consisting of bilateral brachial plexus, brain, brainstem, bilateral cochlea, pharyngeal constrictors, eye globes, bilateral lens, mandible, optic chiasm, bilateral optic nerves, oral cavity, bilateral parotids, spinal cord, bilateral submandibular glands, lips and thyroid. Manual revision of OARs was performed according to international consensus guidelines. The AC and MC were compared using the Dice similarity coefficient (DSC) and 95% Hausdorff distance transform (DT). Results: A total of 274 contours obtained by processing CT scans were included in the analysis. The highest values of DSC were obtained for the brain (DSC 1.00), left and right eye globes and the mandible (DSC 0.98). The structures with greater MC editing were optic chiasm, optic nerves and cochleae. Conclusions: In this preliminary analysis, deep-learning auto-segmentation seems to provide acceptable H&amp;N OAR delineations. For less accurate organs, AC could be considered a starting point for review and manual adjustment. Our results suggest that AC could become a useful time-saving tool to optimize workload and resources in RT departments.</t>
  </si>
  <si>
    <t>D'Aviero, Andrea; Re, Alessia; Catucci, Francesco; Piccari, Danila; Votta, Claudio; Piro, Domenico; Piras, Antonio; Di Dio, Carmela; Iezzi, Martina; Preziosi, Francesco; Menna, Sebastiano; Quaranta, Flaviovincenzo; Boschetti, Althea; Marras, Marco; Micciche, Francesco; Gallus, Roberto; Indovina, Luca; Bussu, Francesco; Valentini, Vincenzo; Cusumano, Davide; Mattiucci, Gian Carlo</t>
  </si>
  <si>
    <t>Piccari, D (corresponding author), Mater Olbia Hosp, Radiat Oncol, I-07026 Olbia, Italy.; Piccari, D (corresponding author), Fdn Policlin Univ Agostino Gemelli IRCCS, Dipartimento Diagnost Immagini Radioterapia Oncol, UOC Radioterapia Oncol, I-00168 Rome, Italy.</t>
  </si>
  <si>
    <t>francesco.preziosi@materolbia.com; althea_boschetti@libero.it; domi.piro@libero.it; luca.indovina@polidinicogemelli.it; davide.cusumano@materolbia.com; antoniopiras88@gmail.com; claudio.votta@guest.policlinicogemelli.it; marco.marras@materolbia.com; francesco.catucci@materolbia.com; andrea.daviero@materolbia.com; fbussu@uniss.it; martina.iezzi@materolbia.com; carmela.didio@materolbia.com; francesco.micciche@policlinicogemelli.it; alessia.re@materolbia.com; flavio.quaranta@medipass.it; sebastiano.menna@materolbia.com; roberto.gallus@materolbia.com; vincenzo.valentini@policlinicogemelli.it; danila.piccari@materolbia.com; giancarlo.mattiucci@materolbia.com</t>
  </si>
  <si>
    <t>[D'Aviero, Andrea; Re, Alessia; Catucci, Francesco; Piccari, Danila; Votta, Claudio; Piro, Domenico; Di Dio, Carmela; Iezzi, Martina; Preziosi, Francesco; Boschetti, Althea; Marras, Marco; Mattiucci, Gian Carlo] Mater Olbia Hosp, Radiat Oncol, I-07026 Olbia, Italy; [Piccari, Danila; Votta, Claudio; Piro, Domenico; Micciche, Francesco; Indovina, Luca; Valentini, Vincenzo] Fdn Policlin Univ Agostino Gemelli IRCCS, Dipartimento Diagnost Immagini Radioterapia Oncol, UOC Radioterapia Oncol, I-00168 Rome, Italy; [Piras, Antonio] UO Radioterapia Oncol, I-90011 Villa Santa Teresa, Bagheria, Italy; [Menna, Sebastiano; Quaranta, Flaviovincenzo; Cusumano, Davide] Mater Olbia Hosp, Med Phys, I-07026 Sassari, Italy; [Gallus, Roberto] Mater Olbia Hosp, Otolaryngol, I-07026 Sassari, Italy; [Bussu, Francesco] Azienda Osped Univ Sassari, Otolaryngol, I-07100 Sassari, Italy; [Bussu, Francesco] Univ Sassari, Dipartimento Sci Med Chirurg &amp; Sperimentali, I-07100 Sassari, Italy; [Valentini, Vincenzo; Mattiucci, Gian Carlo] Univ Cattolica Sacro Cuore, Dipartimento Sci Radiol &amp; Ematol, I-00168 Rome, Italy</t>
  </si>
  <si>
    <t>Catholic University of the Sacred Heart; IRCCS Policlinico Gemelli; University of Sassari; University of Sassari; Catholic University of the Sacred Heart; IRCCS Policlinico Gemelli</t>
  </si>
  <si>
    <t>Clinical Validation of a Deep-Learning Segmentation Software in Head and Neck: An Early Analysis in a Developing Radiation Oncology Center</t>
  </si>
  <si>
    <t>INTERNATIONAL JOURNAL OF ENVIRONMENTAL RESEARCH AND PUBLIC HEALTH</t>
  </si>
  <si>
    <t>head and neck; radiotherapy artificial intelligence; deep-learning; auto-contouring</t>
  </si>
  <si>
    <t>STATE-OF-ART; INTEROBSERVER VARIABILITY; AUTO-SEGMENTATION; ARTIFICIAL-INTELLIGENCE; TARGET VOLUMES; RADIOTHERAPY; ORGANS; DELINEATION; RISK; CT</t>
  </si>
  <si>
    <t>Piras, Antonio/IQS-3452-2023; D'Aviero, Andrea/IRY-9169-2023; Cusumano, Davide/AAW-9705-2020; Preziosi, Francesco/AAC-8642-2022; Bussu, Francesco/AAA-7610-2019; indovina, luca/ABF-4641-2021; Gallus, Roberto/AAE-1521-2021; Catucci, Francesco/NOE-5598-2025</t>
  </si>
  <si>
    <t>Preziosi, Francesco/0000-0001-6780-6621; Bussu, Francesco/0000-0001-6261-2772; indovina, luca/0000-0001-8073-9005; Gallus, Roberto/0000-0003-3343-2806; Catucci, Francesco/0000-0003-2619-4918; Menna, Sebastiano/0000-0003-0556-3593</t>
  </si>
  <si>
    <t>1660-4601</t>
  </si>
  <si>
    <t>INT J ENV RES PUB HE</t>
  </si>
  <si>
    <t>Int. J. Environ. Res. Public Health</t>
  </si>
  <si>
    <t>9057</t>
  </si>
  <si>
    <t>10.3390/ijerph19159057</t>
  </si>
  <si>
    <t>http://dx.doi.org/10.3390/ijerph19159057</t>
  </si>
  <si>
    <t>Environmental Sciences; Public, Environmental &amp; Occupational Health</t>
  </si>
  <si>
    <t>Environmental Sciences &amp; Ecology; Public, Environmental &amp; Occupational Health</t>
  </si>
  <si>
    <t>3S0SI</t>
  </si>
  <si>
    <t>35897425</t>
  </si>
  <si>
    <t>WOS:000839313400001</t>
  </si>
  <si>
    <t>Yang, JJ; Chen, CW; Fourman, MS; Bongers, MER; Karhade, A; Groot, OQ; Lin, WH; Yen, HK; Huang, PH; Yang, SH; Schwab, JH; Hu, MH</t>
  </si>
  <si>
    <t>BACKGROUND CONTEXT: Accurately predicting the survival of patients with spinal metastases is important for guiding surgical intervention. The SORG machine-learning (ML) algorithm for the 90-day and one-year mortality of patients with metastatic cancer to the spine has been multiply validated, with a high degree of accuracy in both internal and external validation studies. However, prior external validations were conducted using patient groups located on the east coast of the United States, representing a generally homogeneous population. The aim of this study was to externally validate the SORG algorithms with a Taiwanese population.STUDY DESIGN/SETTING: Retrospective study at a single tertiary care center in TaiwanPATIENT SAMPLE: Four hundred and twenty-seven patients who underwent surgery for metastatic spine disease from November 1, 2010 to December 31, 2018OUTCOME MEASURES: 90-day and one-year mortalityMETHODS: The baseline characteristics of our validation cohort were compared with those of the previously published developmental and external validation cohorts. Discrimination (c-statistic and receiver operating curve), calibration (calibration plot, intercept, and slope), overall performance (Brier score), and decision curve analysis were used to assess the performance of the SORG ML algorithms in this cohort.RESULTS: Ninety-day and one-year mortality rates were 110 of 427 (26%) and 256 of 427 (60%), respectively. The external validation cohort and the developmental cohort differed in body mass index (BMI), preoperative performance status, American Spinal Injury Association impairment scale, primary tumor histology and in several laboratory measurements. The SORG ML algorithm for 90-day and 1-year mortality demonstrated a high level of discriminative ability (c-statistics of 0.73 [95% confidence interval [CI], 0.67-0.78] and 0.74 [95% CI, 0.69-0.79]), overall performance, and had a positive net benefit throughout the range of threshold probabilities in decision curve analysis. The algorithm for 1-year mortality had a calibration intercept of 0.08, representing a good calibration. However, the 90-day mortality algorithm underestimated mortality for the lowest predicted probabilities, with an overall intercept of 0.81.CONCLUSIONS: The SORG algorithms for predicting 90-day and 1-year mortality in patients with spinal metastatic disease generally performed well on international external validation in a predominately Taiwanese population. However, 90-day mortality was underestimated in this group. Whether this inconsistency was due to different primary tumor characteristics, body mass index, selection bias or other factors remains unclear, and may be better understood with further validative works that utilize international and/or diverse populations. (C) 2021 Elsevier Inc. All rights reserved.</t>
  </si>
  <si>
    <t>Yang, Jiun-Jen; Chen, Chih-Wei; Fourman, Mitchell S.; Bongers, Michiel E. R.; Karhade, Aditya, V; Groot, Olivier Q.; Lin, Wei-Hsin; Yen, Hung-Kuan; Huang, Po-Hao; Yang, Shu-Hua; Schwab, Joseph H.; Hu, Ming-Hsiao</t>
  </si>
  <si>
    <t>Hu, MH (corresponding author), Natl Taiwan Univ Hosp, Dept Orthoped, Taipei, Taiwan.</t>
  </si>
  <si>
    <t>minghsiaohu@yahoo.com.tw</t>
  </si>
  <si>
    <t>[Yang, Jiun-Jen; Chen, Chih-Wei; Lin, Wei-Hsin; Huang, Po-Hao; Yang, Shu-Hua; Hu, Ming-Hsiao] Natl Taiwan Univ, Dept Orthoped, Coll Med, Taipei, Taiwan; [Yang, Jiun-Jen; Chen, Chih-Wei; Lin, Wei-Hsin; Huang, Po-Hao; Yang, Shu-Hua; Hu, Ming-Hsiao] Natl Taiwan Univ Hosp, Taipei, Taiwan; [Yang, Jiun-Jen; Yen, Hung-Kuan] Natl Taiwan Univ, Sch Med, Coll Med, Taipei, Taiwan; [Fourman, Mitchell S.; Bongers, Michiel E. R.; Karhade, Aditya, V; Groot, Olivier Q.; Schwab, Joseph H.] Massachusetts Gen Hosp, Dept Orthopaed Surg, Boston, MA USA</t>
  </si>
  <si>
    <t>National Taiwan University; National Taiwan University; National Taiwan University Hospital; National Taiwan University; Harvard University; Harvard University Medical Affiliates; Massachusetts General Hospital</t>
  </si>
  <si>
    <t>International external validation of the SORG machine learning algorithms for predicting 90-day and one-year survival of patients with spine metastases using a Taiwanese cohort</t>
  </si>
  <si>
    <t>Body mass index; Neoplasm staging; Spine metastases; Surgical oncology; Survival; Taiwanese</t>
  </si>
  <si>
    <t>OBESITY PARADOX; DISEASE; INDEX; RISK; MODELS; CANCER</t>
  </si>
  <si>
    <t>Fourman, Mitchell/GXF-4477-2022; YANG, SHU-HUA/AAT-1243-2020</t>
  </si>
  <si>
    <t>CHEN, CHIH-WEI/0000-0002-9309-5824; Bongers, Michiel/0000-0003-4628-4793; Huang, Po Hao/0000-0001-8059-1901; Fourman, Mitchell/0000-0001-5886-546X; Karhade, Aditya/0000-0002-6026-4361; Schwab, Joseph/0000-0002-2059-7559; LIN, WEI-HSIN/0000-0001-6291-392X; HUITRON, EFREN/0009-0008-2046-3359; YANG, SHU-HUA/0000-0002-9879-0164; Yen, Hung-Kuan/0000-0003-4381-2220; Yang, Jiun-Jen/0000-0002-3116-3510; HU, MING-HSIAO/0000-0001-8920-2052</t>
  </si>
  <si>
    <t>1670</t>
  </si>
  <si>
    <t>1678</t>
  </si>
  <si>
    <t>10.1016/j.spinee.2021.01.027</t>
  </si>
  <si>
    <t>http://dx.doi.org/10.1016/j.spinee.2021.01.027</t>
  </si>
  <si>
    <t>33545371</t>
  </si>
  <si>
    <t>WOS:000704865800012</t>
  </si>
  <si>
    <t>Fernstad, J; Svennberg, E; Åberg, P; Gudmundsdottir, KK; Jansson, A; Engdahl, J</t>
  </si>
  <si>
    <t>Aims The aim of this study was to perform an external validation of an automatic machine learning (ML) algorithm for heart rhythm diagnostics using smartphone photoplethysmography (PPG) recorded by patients with atrial fibrillation (AF) and atrial flutter (AFL) pericardioversion in an unsupervised ambulatory setting.Methods and results Patients undergoing cardioversion for AF or AFL performed 1-min heart rhythm recordings pericardioversion at least twice daily for 4-6 weeks, using an iPhone 7 smartphone running a PPG application (CORAI Heart Monitor) simultaneously with a single-lead electrocardiogram (ECG) recording (KardiaMobile). The algorithm uses support vector machines to classify heart rhythm from smartphone-PPG. The algorithm was trained on PPG recordings made by patients in a separate cardioversion cohort. Photoplethysmography recordings in the external validation cohort were analysed by the algorithm. Diagnostic performance was calculated by comparing the heart rhythm classification output to the diagnosis from the simultaneous ECG recordings (gold standard). In total, 460 patients performed 34 097 simultaneous PPG and ECG recordings, divided into 180 patients with 16 092 recordings in the training cohort and 280 patients with 18 005 recordings in the external validation cohort. Algorithmic classification of the PPG recordings in the external validation cohort diagnosed AF with sensitivity, specificity, and accuracy of 99.7%, 99.7% and 99.7%, respectively, and AF/AFL with sensitivity, specificity, and accuracy of 99.3%, 99.1% and 99.2%, respectively.Conclusion A machine learning-based algorithm demonstrated excellent performance in diagnosing atrial fibrillation and atrial flutter from smartphone-PPG recordings in an unsupervised ambulatory setting, minimizing the need for manual review and ECG verification, in elderly cardioversion populations.Clinical Trial Registration Clinicaltrials.gov, NCT04300270</t>
  </si>
  <si>
    <t>Fernstad, Jonatan; Svennberg, Emma; Aberg, Peter; Gudmundsdottir, Katrin Kemp; Jansson, Anders; Engdahl, Johan</t>
  </si>
  <si>
    <t>Fernstad, J (corresponding author), Danderyd Hosp, Karolinska Inst, Dept Clin Sci, Entrevagen 2, S-18288 Stockholm, Sweden.; Fernstad, J (corresponding author), Danderyd Hosp, Dept Cardiol, Entrevagen 2, S-18288 Stockholm, Sweden.</t>
  </si>
  <si>
    <t>jonatan.fernstad@ki.se</t>
  </si>
  <si>
    <t>VINNOVA [2019-01378, 2020-00896]; Stockholm County Council [20190268, 20191140]; Swedish Heart Lung Foundation [20230327]; Vinnova [2019-01378, 2020-00896] Funding Source: Vinnova; Swedish Research Council [2020-00896] Funding Source: Swedish Research Council</t>
  </si>
  <si>
    <t>VINNOVA (Vinnova); Stockholm County Council (Region Stockholm); Swedish Heart Lung Foundation (Swedish Heart-Lung Foundation); Vinnova (Vinnova); Swedish Research Council (Swedish Research Council)</t>
  </si>
  <si>
    <t>This study was funded by VINNOVA (grant numbers 2019-01378 and 2020-00896), by the Stockholm County Council (grant numbers 20190268 and 20191140), and by the Swedish Heart Lung Foundation (grant number 20230327).</t>
  </si>
  <si>
    <t>[Fernstad, Jonatan; Aberg, Peter; Gudmundsdottir, Katrin Kemp; Engdahl, Johan] Danderyd Hosp, Karolinska Inst, Dept Clin Sci, Entrevagen 2, S-18288 Stockholm, Sweden; [Fernstad, Jonatan; Engdahl, Johan] Danderyd Hosp, Dept Cardiol, Entrevagen 2, S-18288 Stockholm, Sweden; [Svennberg, Emma] Karolinska Univ Hosp, Karolinska Inst, Dept Med, Stockholm, Sweden; [Jansson, Anders] Danderyd Hosp, Dept Clin Physiol, Stockholm, Sweden</t>
  </si>
  <si>
    <t>Karolinska Institutet; Danderyds Hospital; Danderyds Hospital; Karolinska Institutet; Karolinska University Hospital; Danderyds Hospital</t>
  </si>
  <si>
    <t>External validation of a machine learning-based classification algorithm for ambulatory heart rhythm diagnostics in pericardioversion atrial fibrillation patients using smartphone photoplethysmography: the SMARTBEATS-ALGO study</t>
  </si>
  <si>
    <t>EUROPACE</t>
  </si>
  <si>
    <t>Atrial fibrillation; Atrial flutter; Photoplethysmography; Smartphone; Telemonitoring; Machine learning</t>
  </si>
  <si>
    <t>MANAGEMENT; MONITOR; DEVICE; STROKE; SCREEN</t>
  </si>
  <si>
    <t>Svennberg, Emma/AAG-9861-2020</t>
  </si>
  <si>
    <t>Jansson, Anders/0000-0003-0370-1956; Svennberg, Emma/0000-0002-6413-0870; Engdahl, Johan/0000-0002-1677-7215; Fernstad, Jonatan/0000-0002-3678-8050; Åberg, Peter/0009-0002-7361-6992</t>
  </si>
  <si>
    <t>1099-5129</t>
  </si>
  <si>
    <t>1532-2092</t>
  </si>
  <si>
    <t>Europace</t>
  </si>
  <si>
    <t>euaf031</t>
  </si>
  <si>
    <t>10.1093/europace/euaf031</t>
  </si>
  <si>
    <t>http://dx.doi.org/10.1093/europace/euaf031</t>
  </si>
  <si>
    <t>0WJ1A</t>
  </si>
  <si>
    <t>39960451</t>
  </si>
  <si>
    <t>WOS:001457590900001</t>
  </si>
  <si>
    <t>hybrid; Green Published</t>
  </si>
  <si>
    <t>Wang, QL; Ma, SH; Zhao, JP; Qi, X; Ma, DM; Liu, S; Zhang, L; Wang, C; He, Y; Zhao, DR</t>
  </si>
  <si>
    <t>Background Cognitive impairment is an important health issue in middle-aged and older adults, and insomnia may be associated with increased cognitive vulnerability. However, models specifically designed to identify cognitive impairment in individuals with different severities of sleep-duration-defined insomnia remain limited. This study aimed to develop and validate interpretable machine learning models for current cognitive impairment identification in mild and severe insomnia subgroups.Methods Data from CHARLS 2015 were used as the development cohort, CHARLS 2011 as the cross-wave temporal validation cohort, and clinical data from Gansu Provincial People's Hospital as the clinical external validation cohort. Participants with insomnia were stratified into mild and severe subgroups according to self-reported nighttime sleep duration. LASSO regression was used for feature selection, and candidate machine learning algorithms were compared for model selection. The selected LightGBM model was further evaluated using Bayesian optimization and optimized-threshold analysis. Model performance was assessed using AUROC, Brier score, calibration curves, decision curve analysis, and SHAP-based interpretability analysis.Results The development, cross-wave temporal validation, and clinical external validation cohorts included 5,500, 4,231, and 500 participants, respectively. LightGBM showed the most balanced overall performance. In the mild insomnia subgroup, LightGBM achieved AUROCs of 0.772, 0.749, and 0.748 across the three cohorts; in the severe insomnia subgroup, the corresponding AUROCs were 0.763, 0.757, and 0.750. Bayesian optimization produced comparable external validation discrimination, while optimized-threshold analysis improved threshold-dependent classification performance. SHAP analysis suggested different feature contribution patterns across insomnia severity.Conclusion LightGBM provided moderate and relatively stable performance for identifying current cognitive impairment risk in both insomnia subgroups. Combined with SHAP interpretation and online calculators, these models may support auxiliary screening, preliminary risk stratification, and referral prioritization for formal cognitive assessment, but should not be interpreted as standalone diagnostic tools or tools for predicting future incident cognitive impairment in sleep medicine settings.</t>
  </si>
  <si>
    <t>Wang, Qilong; Ma, Siheng; Zhao, Jianpeng; Qi, Xin; Ma, Dongmei; Liu, Sha; Zhang, Lei; Wang, Chen; He, Yan; Zhao, Dongrong</t>
  </si>
  <si>
    <t>Wang, QL; He, Y; Zhao, DR (corresponding author), Gansu Univ Chinese Med, Gansu Prov Peoples Hosp, Clin Coll 1, Dept Psychiat, Lanzhou, Gansu, Peoples R China.</t>
  </si>
  <si>
    <t>1290524028@qq.com; 13919131767@163.com; Wade200023@outlook.com</t>
  </si>
  <si>
    <t>Lanzhou Science and Technology Program [2024-9-14]; Gansu Provincial Disease Prevention and Control Research Project [GSJKKY2025-26]; Intramural Research Fund of Gansu Provincial People's Hospital [23GSSYD-24]; Graduate Student Innovation and Entrepreneurship Fund of Gansu University of Chinese Medicine [2026CXCY-112]</t>
  </si>
  <si>
    <t>Lanzhou Science and Technology Program; Gansu Provincial Disease Prevention and Control Research Project; Intramural Research Fund of Gansu Provincial People's Hospital; Graduate Student Innovation and Entrepreneurship Fund of Gansu University of Chinese Medicine</t>
  </si>
  <si>
    <t>The author(s) declared that financial support was received for this work and/or its publication. This work was supported by the Lanzhou Science and Technology Program (Grant No. 2024-9-14), the Gansu Provincial Disease Prevention and Control Research Project (Grant No. GSJKKY2025-26), the Intramural Research Fund of Gansu Provincial People's Hospital (Grant No. 23GSSYD-24), and the Graduate Student Innovation and Entrepreneurship Fund of Gansu University of Chinese Medicine (Grant No. 2026CXCY-112).</t>
  </si>
  <si>
    <t>[Wang, Qilong; Zhao, Jianpeng; Qi, Xin; Ma, Dongmei; Liu, Sha; Zhang, Lei; Wang, Chen; He, Yan; Zhao, Dongrong] Gansu Univ Chinese Med, Gansu Prov Peoples Hosp, Clin Coll 1, Dept Psychiat, Lanzhou, Gansu, Peoples R China; [Ma, Siheng] Fourth Mil Med Univ, Xijing Hosp, Dept Psychiat, Xian, Shaanxi, Peoples R China</t>
  </si>
  <si>
    <t>Gansu University of Chinese Medicine; Air Force Medical University</t>
  </si>
  <si>
    <t>Interpretable machine learning models for identifying cognitive impairment in middle-aged and older adults with mild and severe insomnia: development, temporal validation, and clinical external validation</t>
  </si>
  <si>
    <t>cognitive impairment; insomnia; LightGBM; machine learning; SHAP</t>
  </si>
  <si>
    <t>HEALTH; DURATION; DEMENTIA; QUALITY</t>
  </si>
  <si>
    <t>Wang, Qilong/PLS-1410-2026; Ma, Siheng/PSL-3575-2026</t>
  </si>
  <si>
    <t>JUN 23 2026</t>
  </si>
  <si>
    <t>1855864</t>
  </si>
  <si>
    <t>10.3389/fnagi.2026.1855864</t>
  </si>
  <si>
    <t>http://dx.doi.org/10.3389/fnagi.2026.1855864</t>
  </si>
  <si>
    <t>KQ4IO</t>
  </si>
  <si>
    <t>42415932</t>
  </si>
  <si>
    <t>WOS:001813140200001</t>
  </si>
  <si>
    <t>Faisal, M; Scally, A; Howes, R; Beatson, K; Richardson, D; Mohammed, MA</t>
  </si>
  <si>
    <t>We compare the performance of logistic regression with several alternative machine learning methods to estimate the risk of death for patients following an emergency admission to hospital based on the patients' first blood test results and physiological measurements using an external validation approach. We trained and tested each model using data from one hospital (n = 24,696) and compared the performance of these models in data from another hospital (n = 13,477). We used two performance measures - the calibration slope and area under the receiver operating characteristic curve. The logistic model performed reasonably well - calibration slope: 0.90, area under the receiver operating characteristic curve: 0.847 compared to the other machine learning methods. Given the complexity of choosing tuning parameters of these methods, the performance of logistic regression with transformations for in-hospital mortality prediction was competitive with the best performing alternative machine learning methods with no evidence of overfitting.</t>
  </si>
  <si>
    <t>Faisal, Muhammad; Scally, Andy; Howes, Robin; Beatson, Kevin; Richardson, Donald; Mohammed, Mohammed A.</t>
  </si>
  <si>
    <t>Mohammed, MA (corresponding author), Univ Bradford, Fac Hlth Studies, Richmond Rd, Bradford BD7 1DP, W Yorkshire, England.</t>
  </si>
  <si>
    <t>M.A.Mohammed5@Bradford.ac.uk</t>
  </si>
  <si>
    <t>Department of Health Funding Source: Medline</t>
  </si>
  <si>
    <t>Department of Health</t>
  </si>
  <si>
    <t>[Faisal, Muhammad; Scally, Andy; Mohammed, Mohammed A.] Univ Bradford, Bradford, W Yorkshire, England; [Faisal, Muhammad; Scally, Andy; Mohammed, Mohammed A.] Bradford Inst Hlth Res, Bradford, W Yorkshire, England; [Howes, Robin] Northern Lincolnshire &amp; Goole Hosp NHS Fdn Trust, Scunthorpe, England; [Beatson, Kevin; Richardson, Donald] York Teaching Hosp NHS Fdn Trust, York, N Yorkshire, England</t>
  </si>
  <si>
    <t>University of Bradford</t>
  </si>
  <si>
    <t>A comparison of logistic regression models with alternative machine learning methods to predict the risk of in-hospital mortality in emergency medical admissions via external validation</t>
  </si>
  <si>
    <t>HEALTH INFORMATICS JOURNAL</t>
  </si>
  <si>
    <t>classification and prediction; computationally intensive methods; databases and data mining; electronic health records; modelling healthcare services; statistical modelling</t>
  </si>
  <si>
    <t>SEVERITY; VALIDITY; DISEASE</t>
  </si>
  <si>
    <t>Faisal, Muhammad/C-2725-2008; Scally, Andrew/A-9021-2012</t>
  </si>
  <si>
    <t>Mohammed, Mohammed Amin/0000-0003-0987-4268; Faisal, Muhammad/0000-0003-4885-4251</t>
  </si>
  <si>
    <t>1460-4582</t>
  </si>
  <si>
    <t>1741-2811</t>
  </si>
  <si>
    <t>HEALTH INFORM J</t>
  </si>
  <si>
    <t>Health Inform. J.</t>
  </si>
  <si>
    <t>MAR 2020</t>
  </si>
  <si>
    <t>10.1177/1460458218813600</t>
  </si>
  <si>
    <t>http://dx.doi.org/10.1177/1460458218813600</t>
  </si>
  <si>
    <t>LN2MT</t>
  </si>
  <si>
    <t>30488755</t>
  </si>
  <si>
    <t>WOS:000532778400004</t>
  </si>
  <si>
    <t>Van Bronswijk, SC; Bruijniks, SJE; Lorenzo-Luaces, L; Derubeis, RJ; Lemmens, LHJM; Peeters, FPML; Huibers, MJH</t>
  </si>
  <si>
    <t>Objective: Optimizing treatment selection may improve treatment outcomes in depression. A promising approach is the Personalized Advantage Index (PAI), which predicts the optimal treatment for a given individual. To determine the generalizability of the PAI, models needs to be externally validated, which has rarely been done.Method: PAI models were developed within each of two independent trials, with substantial between-study differences, that both compared CBT and IPT for depression (STEPd: n = 151 and FreqMech: n = 200). Subsequently, both PAI models were tested in the other dataset.Results: In the STEPd study, post-treatment depression was significantly different between individuals assigned to their PAI-indicated treatment versus those assigned to their non-indicated treatment (d = .57). In the FreqMech study, post-treatment depression was not significantly different between patients receiving their indicated treatment versus those receiving their non-indicated treatment (d = .20). Cross-trial predictions indicated that post-treatment depression was not significantly different between those receiving their indicated treatment and those receiving their non-indicated treatment (d = .16 andd = .27). Sensitivity analyses indicated that cross-trial prediction based on only overlapping variables didn't improve the results.Conclusion: External validation of the PAI has modest results and emphasizes between-study differences and many other challenges.</t>
  </si>
  <si>
    <t>Van Bronswijk, Suzanne C.; Bruijniks, Sanne J. E.; Lorenzo-Luaces, Lorenzo; Derubeis, Robert J.; Lemmens, Lotte H. J. M.; Peeters, Frenk P. M. L.; Huibers, Marcus. J. H.</t>
  </si>
  <si>
    <t>Social Science Citation Index (SSCI)</t>
  </si>
  <si>
    <t>Van Bronswijk, SC (corresponding author), Maastricht Univ, Dept Clin Psychol Sci, POB 616, NL-6200 MD Maastricht, Netherlands.</t>
  </si>
  <si>
    <t>suzanne.vanbronswijk@maastrichtuniversity.nl</t>
  </si>
  <si>
    <t>ZonMw, the Netherlands [837002401]; Stichting tot Steun of the Vereniging voor Christelijke Verzorging van Geestes-en Zenuwzieken, the Netherlands; research institute of Experimental Psychopathology (EPP), the Netherlands; METGGZ Maastricht</t>
  </si>
  <si>
    <t>ZonMw, the Netherlands (Netherlands Organization for Health Research and Development, Netherlands Government); Stichting tot Steun of the Vereniging voor Christelijke Verzorging van Geestes-en Zenuwzieken, the Netherlands (Netherlands Government); research institute of Experimental Psychopathology (EPP), the Netherlands (Netherlands Government); METGGZ Maastricht</t>
  </si>
  <si>
    <t>This work was supported by ZonMw, the Netherlands: [837002401]; Stichting tot Steun of the Vereniging voor Christelijke Verzorging van Geestes-en Zenuwzieken, the Netherlands.: [Grant Number NA]; research institute of Experimental Psychopathology (EPP), the Netherlands: [Grant Number NA]; Academic Community Mental Health Centre (RIAGG, now METGGZ Maastricht) in Maastricht, the Netherlands: [Grant Number NA].</t>
  </si>
  <si>
    <t>[Van Bronswijk, Suzanne C.; Lemmens, Lotte H. J. M.; Peeters, Frenk P. M. L.] Maastricht Univ, Dept Clin Psychol Sci, POB 616, NL-6200 MD Maastricht, Netherlands; [Bruijniks, Sanne J. E.] Univ Freiburg, Dept Clin Psychol &amp; Psychotherapy, Freiburg, Germany; [Bruijniks, Sanne J. E.; Huibers, Marcus. J. H.] Vrije Univ Amsterdam, Amsterdam Publ Hlth Res Inst, Dept Clin Psychol, Amsterdam, Netherlands; [Lorenzo-Luaces, Lorenzo] Indiana Univ, Dept Psychol &amp; Brain Sci, Bloomington, IN USA; [Derubeis, Robert J.; Huibers, Marcus. J. H.] Univ Penn, Dept Psychol, 3815 Walnut St, Philadelphia, PA 19104 USA</t>
  </si>
  <si>
    <t>Maastricht University; University of Freiburg; Vrije Universiteit Amsterdam; Indiana University System; Indiana University Bloomington; University of Pennsylvania</t>
  </si>
  <si>
    <t>Cross-trial prediction in psychotherapy: External validation of the Personalized Advantage Index using machine learning in two Dutch randomized trials comparing CBT versus IPT for depression</t>
  </si>
  <si>
    <t>PSYCHOTHERAPY RESEARCH</t>
  </si>
  <si>
    <t>depression; cognitive behavioural therapy; interpersonal psychotherapy; precision medicine; prediction; external validation</t>
  </si>
  <si>
    <t>MODELS; REGULARIZATION; IMPUTATION; SELECTION; THERAPY</t>
  </si>
  <si>
    <t>Lorenzo-Luaces, Lorenzo/AAA-2070-2020; DeRubeis, Robert/A-1049-2007</t>
  </si>
  <si>
    <t>Lemmens, Lotte/0000-0002-2037-1808; Huibers, Marcus/0000-0002-9150-4049; Bruijniks, Sanne/0000-0003-3448-5192; van Bronswijk, Suzanne/0000-0002-2983-1268</t>
  </si>
  <si>
    <t>ROUTLEDGE JOURNALS, TAYLOR &amp; FRANCIS LTD</t>
  </si>
  <si>
    <t>2-4 PARK SQUARE, MILTON PARK, ABINGDON OX14 4RN, OXON, ENGLAND</t>
  </si>
  <si>
    <t>1050-3307</t>
  </si>
  <si>
    <t>1468-4381</t>
  </si>
  <si>
    <t>PSYCHOTHER RES</t>
  </si>
  <si>
    <t>Psychother. Res.</t>
  </si>
  <si>
    <t>JAN 2 2021</t>
  </si>
  <si>
    <t>10.1080/10503307.2020.1823029</t>
  </si>
  <si>
    <t>http://dx.doi.org/10.1080/10503307.2020.1823029</t>
  </si>
  <si>
    <t>Psychology, Clinical</t>
  </si>
  <si>
    <t>PM6EW</t>
  </si>
  <si>
    <t>32964809</t>
  </si>
  <si>
    <t>WOS:000572195300001</t>
  </si>
  <si>
    <t>Zhou, ZQ; Tong, C; Li, YL; Aili, A; Maimaitiming, M; Hong, T; Maimaiti, M; Tusuntuoheti, Y; Abudureyimu, K; Yan, LK</t>
  </si>
  <si>
    <t>Background: Currently, there are a lack of effective tools for preoperative risk assessment of intestinal resection in patients with inguinal incarcerated hernia. The purpose of this study is to investigate the variable characteristics associated with intestinal resection and develop an interpretable preoperative prediction model, aiming to assist clinicians in preoperative risk for intestinal resection in patients with inguinal incarcerated hernia. Methods: The data from 2 medical institutions were retrospectively collected, and they were grouped according to whether intestinal resection was performed intraoperatively and the pathologic results. Lasso and multifactor logistic regression screened variables, and 10 machine-learning algorithms built and validated the model, with evaluation using the confusion matrix and SHapley Additive exPlanations value. Results: Lasso regression and multifactorial logistic regression analyses showed that peritonitis, intestinal obstruction, neutrophil count, C-reactive protein, and preoperative total protein were the key characteristic variables. The area under curve of models constructed by 10 algorithms in the external validation set were all above 0.8, and the k-nearest neighbor algorithm had the most comprehensive model performance. The constructed model exhibits good predictive performance on the external validation set. Conclusion: Accurate preoperative prediction of intraoperative intestinal ischemia in patients with incarcerated inguinal hernia is crucial. This study identified peritonitis, intestinal obstruction, neutrophil count, C-reactive protein, and preoperative total protein as characteristic variables for predicting intraoperative intestinal ischemia in these patients. The constructed prediction model can assist clinicians in more accurately assessing intestinal viability during surgery, offering valuable insights for evaluating intestinal resection risk. (c) 2025 Elsevier Inc. All rights are reserved, including those for text and data mining, AI training, and similar technologies.</t>
  </si>
  <si>
    <t>Zhou, Zheqi; Tong, Cong; Li, Yiliang; Aili, Aikebaier; Maimaitiming, Maimaitiaili; Hong, Tao; Maimaiti, Mirezati; Tusuntuoheti, Yusujiang; Abudureyimu, Kelimu; Yan, Likun</t>
  </si>
  <si>
    <t>Abudureyimu, K (corresponding author), Peoples Hosp Xinjiang Uygur Autonomous Reg, Dept Minimally Invas Surg Hernias &amp; Abdominal Wall, Urumqi, Xinjiang Uygur, Peoples R China.</t>
  </si>
  <si>
    <t>klm66882024@163.com</t>
  </si>
  <si>
    <t>Xinjiang Uygur Autonomous Region Key Research and Development Tasks Special-Department-Department Linkage Project [2023B03010-3]; Tianshan Ying-cai High-level Talent Cultivation Program for Medicine and Health [TSYC202301A011]; National Natural Science Foundation of China [81060166]</t>
  </si>
  <si>
    <t>Xinjiang Uygur Autonomous Region Key Research and Development Tasks Special-Department-Department Linkage Project; Tianshan Ying-cai High-level Talent Cultivation Program for Medicine and Health; National Natural Science Foundation of China (National Natural Science Foundation of China (NSFC))</t>
  </si>
  <si>
    <t>This study was supported by the Xinjiang Uygur Autonomous Region Key Research and Development Tasks Special-Department-Department Linkage Project (2023B03010-3) , the "Tianshan Ying-cai" High-level Talent Cultivation Program for Medicine and Health (TSYC202301A011) , and the National Natural Science Foundation of China under Grant (81060166).</t>
  </si>
  <si>
    <t>[Zhou, Zheqi; Li, Yiliang; Aili, Aikebaier; Maimaitiming, Maimaitiaili; Hong, Tao; Maimaiti, Mirezati; Tusuntuoheti, Yusujiang; Abudureyimu, Kelimu] Peoples Hosp Xinjiang Uygur Autonomous Reg, Dept Minimally Invas Surg Hernias &amp; Abdominal Wall, Urumqi, Xinjiang Uygur, Peoples R China; [Tong, Cong; Yan, Likun] Shaanxi Prov Peoples Hosp, Dept Gynecol, Xian, Peoples R China; [Aili, Aikebaier; Maimaitiming, Maimaitiaili; Abudureyimu, Kelimu] Xinjiang Clin Res Ctr Gastroesophageal Refux Dis &amp;, Urumqi, Peoples R China; [Aili, Aikebaier; Maimaitiming, Maimaitiaili; Abudureyimu, Kelimu] Res Inst Gen &amp; Minimally Invas Surg, Urumqi, Peoples R China</t>
  </si>
  <si>
    <t>Xi'an Medical University</t>
  </si>
  <si>
    <t>SHapley Additive exPlanations (SHAP)-based, multivariate machine-learning techniques with external validation: Construction of a preoperative interpretable predictive model for intestinal resection of incarcerated inguinal hernia</t>
  </si>
  <si>
    <t>184</t>
  </si>
  <si>
    <t>109406</t>
  </si>
  <si>
    <t>10.1016/j.surg.2025.109406</t>
  </si>
  <si>
    <t>http://dx.doi.org/10.1016/j.surg.2025.109406</t>
  </si>
  <si>
    <t>2VC0Q</t>
  </si>
  <si>
    <t>40367731</t>
  </si>
  <si>
    <t>WOS:001492021800001</t>
  </si>
  <si>
    <t>Cheng, SY; Ge, SK; Sun, X; Zhang, Y; Wang, W; Wei, J; Lu, Y</t>
  </si>
  <si>
    <t>Objective Acute kidney injury (AKI) is a severe complication following coronary artery bypass grafting(CABG) While machine learning models trained on large-scale intensive care unit (ICU) databases are increasingly prevalent, their ability to generalize to specialized surgical cohorts in real-world settings remains poorly characterized. This study aimed to develop a post-CABG AKI prediction model using general ICU data and rigorously evaluate its transferability to an independent cardiac surgery center.Methods A retrospective dual-center study was conducted. The development cohort comprised 6,347 post-CABG patients from the MIMIC database. An independent external validation cohort included 534 patients from the Affiliated Hospital of Xuzhou Medical University (AHXY). Least absolute shrinkage and selection operator regression was employed for feature selection. Nine ML algorithms were benchmarked, with Random Forest selected as the optimal model. Performance was assessed using the area under the precision-recall curve (PR-AUC), area under the ROC curve (AUC), and decision curve analysis. SHapley Additive exPlanations (SHAP) were used to interpret feature contributions.Results In the MIMIC internal testing set, the Random Forest model demonstrated moderate discrimination, achieving a PR-AUC of 0.888 (95% CI: 0.871-0.904) and an AUC of 0.709. However, upon deployment in the external AHXY cohort, the model exhibited significant performance attenuation, with the PR-AUC dropping to 0.309 and the AUC decreasing to 0.548. This near-random predictive performance indicates a lack of direct real-world generalizability without further adaptation. SHAP analysis identified body weight, serum phosphate, and red cell distribution width as key predictors. The performance decay was attributed to significant population heterogeneity (e.g. BMI differences) and the specific pathophysiological milieu of cardiac surgery not fully captured by general ICU variables.Conclusion General-purpose ICU models may face a substantial cross-domain transferability gap without local adaptation when applied to specialized sub-specialties like cardiac surgery across different demographic populations. Our findings suggest that direct deployment of such models carries clinical risks and highlight the imperative for localized model recalibration or transfer learning to account for domain-specific variations before clinical adoption.</t>
  </si>
  <si>
    <t>Cheng, Siyuan; Ge, Shukai; Sun, Xia; Zhang, Yang; Wang, Wei; Wei, Jun; Lu, Yun</t>
  </si>
  <si>
    <t>Lu, Y (corresponding author), Southeast Univ, Xuzhou Cent Hosp, Cardiac Surg Dept, Xuzhou, Jiangsu, Peoples R China.; Wei, J (corresponding author), Xuzhou Med Univ, Affiliated Hosp, Dept Cardiothorac Surg, Xuzhou, Peoples R China.</t>
  </si>
  <si>
    <t>15365887926@163.com; luyuncfy@163.com</t>
  </si>
  <si>
    <t>[Wang, Wei; Lu, Yun] Southeast Univ, Xuzhou Cent Hosp, Cardiac Surg Dept, Xuzhou, Jiangsu, Peoples R China; [Zhang, Yang; Wei, Jun] Xuzhou Med Univ, Affiliated Hosp, Dept Cardiothorac Surg, Xuzhou, Peoples R China; [Ge, Shukai] Binzhou Med Univ, Dept Med Imaging Ctr, Affiliated Shengli Oilfield Cent Hosp, Dongying, Peoples R China; [Ge, Shukai] Binzhou Med Univ, Sch Med Imaging, Yantai, Peoples R China; [Cheng, Siyuan; Sun, Xia] Jiangsu Univ, Dept Cardiol, Affiliated Hosp, Zhenjiang, Peoples R China</t>
  </si>
  <si>
    <t>Xuzhou Medical University; Shandong Medical &amp; Pharmaceutical University; Jiangsu University</t>
  </si>
  <si>
    <t>Development and external validation of a machine learning model for predicting post-CABG acute kidney injury: insights from MIMIC database and real-world cardiac surgery cohort</t>
  </si>
  <si>
    <t>BMC NEPHROLOGY</t>
  </si>
  <si>
    <t>Acute kidney injury; Coronary artery bypass grafting; Machine learning; MIMIC database; External validation; Generalizability; SHAP analysis</t>
  </si>
  <si>
    <t>ADULT PATIENTS</t>
  </si>
  <si>
    <t>1471-2369</t>
  </si>
  <si>
    <t>BMC NEPHROL</t>
  </si>
  <si>
    <t>BMC Nephrol.</t>
  </si>
  <si>
    <t>10.1186/s12882-026-05109-3</t>
  </si>
  <si>
    <t>http://dx.doi.org/10.1186/s12882-026-05109-3</t>
  </si>
  <si>
    <t>MS9TM</t>
  </si>
  <si>
    <t>42265655</t>
  </si>
  <si>
    <t>WOS:001850139900001</t>
  </si>
  <si>
    <t>Carra, G; Güiza, F; Piper, I; Citerio, G; Maas, A; Depreitere, B; Meyfroidt, G</t>
  </si>
  <si>
    <t>Treatment and prevention of elevated intracranial pressure (ICP) is crucial in patients with severe traumatic brain injury (TBI). Elevated ICP is associated with secondary brain injury, and both intensity and duration of an episode of intracranial hypertension, often referred to as "ICP dose," are associated with worse outcomes. Prediction of such harmful episodes of ICP dose could allow for a more proactive and preventive management of TBI, with potential implications on patients' outcomes. The goal of this study was to develop and validate a machine-learning (ML) model to predict potentially harmful ICP doses in patients with severe TBI. The prediction target was defined based on previous studies and included a broad range of doses of elevated ICP that have been associated with poor long-term neurological outcomes. The ML models were used, with minute-by-minute ICP and mean arterial blood pressure signals as inputs. Harmful ICP episodes were predicted with a 30 min forewarning. Models were developed in a multi-center dataset of 290 adult patients with severe TBI and externally validated on 264 patients from the Collaborative European NeuroTrauma Effectiveness Research in Traumatic Brain Injury (CENTER-TBI) dataset. The external validation of the prediction model on the CENTER-TBI dataset demonstrated good discrimination and calibration (area under the curve: 0.94, accuracy: 0.89, precision: 0.87, sensitivity: 0.78, specificity: 0.94, calibration-in-the-large: 0.03, calibration slope: 0.93). The proposed prediction model provides accurate and timely predictions of harmful doses of ICP on the development and external validation dataset. A future interventional study is needed to assess whether early intervention on the basis of ICP dose predictions will result in improved outcomes.</t>
  </si>
  <si>
    <t>Carra, Giorgia; Guiza, Fabian; Piper, Ian; Citerio, Giuseppe; Maas, Andrew; Depreitere, Bart; Meyfroidt, Geert</t>
  </si>
  <si>
    <t>Meyfroidt, G (corresponding author), Katholieke Univ Leuven, Clin Div, Herestr 49, B-3000 Leuven, Belgium.; Meyfroidt, G (corresponding author), Katholieke Univ Leuven, Lab Intens Care Med, Herestr 49, B-3000 Leuven, Belgium.; Meyfroidt, G (corresponding author), Katholieke Univ Leuven, Herestr 49, B-3000 Leuven, Belgium.</t>
  </si>
  <si>
    <t>geert.meyfroidt@uzleuven.be</t>
  </si>
  <si>
    <t>Research Foundation Flanders (FWO); internal KU Leuven funds [FP7 IST-2007-217049]; FP5 and FP7 European Union programs [C24/17/072, FP5 QLRI-2000-00454, FP5 QLGT-2002-00160]; Flemish Government Agency for Innovation by Science and Technology (IWT)-Applied Biomedical Research (TBM) Program [080660]; FP7 program of the European Union [602150]; Hannelore Kohl Stiftung (Germany); OneMind (USA); Integra LifeSciences Corporation (USA); Neuro-Trauma Sciences (US)</t>
  </si>
  <si>
    <t>Research Foundation Flanders (FWO) (FWO); internal KU Leuven funds; FP5 and FP7 European Union programs (European Union (EU)); Flemish Government Agency for Innovation by Science and Technology (IWT)-Applied Biomedical Research (TBM) Program; FP7 program of the European Union; Hannelore Kohl Stiftung (Germany); OneMind (USA); Integra LifeSciences Corporation (USA); Neuro-Trauma Sciences (US)</t>
  </si>
  <si>
    <t>Research Foundation Flanders (FWO), internal KU Leuven funds (C2 project [C24/17/072]). The collection of the BrainIT dataset was funded by the FP5 and FP7 European Union programs (grants: FP5 QLRI-2000-00454, FP5 QLGT-2002-00160, FP7 IST-2007-217049). The NEMO project was funded by the Flemish Government Agency for Innovation by Science and Technology (IWT)-Applied Biomedical Research (TBM) Program (project 080660). The collection of the CENTER-TBI Database was supported by the FP7 program of the European Union (grant 602150). Additional funding for CENTER was obtained from the Hannelore Kohl Stiftung (Germany), from OneMind (USA), from Integra LifeSciences Corporation (USA), and from Neuro-Trauma Sciences (US). Carra performed this research while receiving funding from the Research Foundation, Flanders (FWO) as a PhD fellow.</t>
  </si>
  <si>
    <t>[Carra, Giorgia; Guiza, Fabian; Meyfroidt, Geert] UZ Leuven, Clin Div, Leuven, Belgium; [Carra, Giorgia; Guiza, Fabian; Meyfroidt, Geert] UZ Leuven, Dept Cellular &amp; Mol Med, Lab Intens Care Med, Leuven, Belgium; [Depreitere, Bart] UZ Leuven, Dept Neurosurg, Leuven, Belgium; [Depreitere, Bart] Katholieke Univ Leuven, Leuven, Belgium; [Piper, Ian] Edinburgh Royal Hosp Children &amp; Young People, Intens Care Monitoring Res &amp; Paediat Crit Care, Edinburgh, Midlothian, Scotland; [Citerio, Giuseppe] Univ Milano Bicocca, Sch Med &amp; Surg, Monza, Italy; [Citerio, Giuseppe] Univ Milano Bicocca, Dept Emergency &amp; Intens Care, Monza, Italy; [Maas, Andrew] Antwerp Univ Hosp, Dept Neurosurg, Edegem, Belgium; [Maas, Andrew] Univ Antwerp, Edegem, Belgium</t>
  </si>
  <si>
    <t>KU Leuven; University Hospital Leuven; KU Leuven; University Hospital Leuven; KU Leuven; University Hospital Leuven; KU Leuven; University of Milano-Bicocca; University of Milano-Bicocca; University of Antwerp; University of Antwerp</t>
  </si>
  <si>
    <t>CTR TBI High Resolution ICU HR ICU</t>
  </si>
  <si>
    <t>Development and External Validation of a Machine Learning Model for the Early Prediction of Doses of Harmful Intracranial Pressure in Patients with Severe Traumatic Brain Injury</t>
  </si>
  <si>
    <t>intracranial pressure; intracranial pressure dose; machine learning; prediction; traumatic brain injury</t>
  </si>
  <si>
    <t>SELECTION</t>
  </si>
  <si>
    <t>Citerio, Giuseppe/B-1839-2015; Depreitere, Bart/AAA-9846-2020; Maas, Andrew I.R./C-5584-2013</t>
  </si>
  <si>
    <t>Güiza, Fabian/0000-0001-7026-0957; Citerio, Giuseppe/0000-0002-5374-3161; Carra, Giorgia/0000-0001-8002-224X; Depreitere, Bart/0000-0002-7458-0648</t>
  </si>
  <si>
    <t>MARY ANN LIEBERT, INC</t>
  </si>
  <si>
    <t>NEW ROCHELLE</t>
  </si>
  <si>
    <t>140 HUGUENOT STREET, 3RD FL, NEW ROCHELLE, NY 10801 USA</t>
  </si>
  <si>
    <t>MAR 1 2023</t>
  </si>
  <si>
    <t>5-6</t>
  </si>
  <si>
    <t>522</t>
  </si>
  <si>
    <t>10.1089/neu.2022.0251</t>
  </si>
  <si>
    <t>http://dx.doi.org/10.1089/neu.2022.0251</t>
  </si>
  <si>
    <t>9M9JR</t>
  </si>
  <si>
    <t>35950615</t>
  </si>
  <si>
    <t>WOS:000892090400001</t>
  </si>
  <si>
    <t>Hong, S; Lee, S; Lee, J; Cha, WC; Kim, K</t>
  </si>
  <si>
    <t>Background: The development and application of clinical prediction models using machine learning in clinical decision support systems is attracting increasing attention.Objective: The aims of this study were to develop a prediction model for cardiac arrest in the emergency department (ED) using machine learning and sequential characteristics and to validate its clinical usefulness.Methods: This retrospective study was conducted with ED patients at a tertiary academic hospital who suffered cardiac arrest. To resolve the class imbalance problem, sampling was performed using propensity score matching. The data set was chronologically allocated to a development cohort (years 2013 to 2016) and a validation cohort (year 2017). We trained three machine learning algorithms with repeated 10-fold cross-validation.Results: The main performance parameters were the area under the receiver operating characteristic curve (AUROC) and the area under the precision-recall curve (AUPRC). The random forest algorithm (AUROC 0.97; AUPRC 0.86) outperformed the recurrent neural network (AUROC 0.95; AUPRC 0.82) and the logistic regression algorithm (AUROC 0.92; AUPRC=0.72). The performance of the model was maintained over time, with the AUROC remaining at least 80% across the monitored time points during the 24 hours before event occurrence.Conclusions: We developed a prediction model of cardiac arrest in the ED using machine learning and sequential characteristics. The model was validated for clinical usefulness by chronological visualization focused on clinical usability.</t>
  </si>
  <si>
    <t>Hong, Sungjun; Lee, Sungjoo; Lee, Jeonghoon; Cha, Won Chul; Kim, Kyunga</t>
  </si>
  <si>
    <t>Cha, WC (corresponding author), Sungkyunkwan Univ, Samsung Med Ctr, Dept Emergency Med, Sch Med, 81 Irwon Ro, Seoul 06351, South Korea.</t>
  </si>
  <si>
    <t>wc.cha@samsung.com</t>
  </si>
  <si>
    <t>Korea Health Technology R&amp;D Project through the Korea Health Industry Development Institute (KHIDI) - Ministry of Health &amp; Welfare, Republic of Korea [HI19C0275]</t>
  </si>
  <si>
    <t>This research was supported by a grant of the Korea Health Technology R&amp;D Project through the Korea Health Industry Development Institute (KHIDI), funded by the Ministry of Health &amp; Welfare, Republic of Korea (grant number: HI19C0275).</t>
  </si>
  <si>
    <t>[Hong, Sungjun; Lee, Sungjoo; Lee, Jeonghoon; Cha, Won Chul; Kim, Kyunga] Sungkyunkwan Univ, Samsung Adv Inst Hlth Sci &amp; Technol, Dept Digital Hlth, Seoul, South Korea; [Cha, Won Chul] Sungkyunkwan Univ, Samsung Med Ctr, Dept Emergency Med, Sch Med, 81 Irwon Ro, Seoul 06351, South Korea; [Cha, Won Chul] Samsung Med Ctr, Hlth Informat &amp; Strategy Ctr, Seoul, South Korea; [Kim, Kyunga] Samsung Med Ctr, Stat &amp; Data Ctr, Res Inst Future Med, Seoul, South Korea</t>
  </si>
  <si>
    <t>Sungkyunkwan University (SKKU); Samsung Medical Center; Sungkyunkwan University (SKKU); Samsung Medical Center; Sungkyunkwan University (SKKU); Samsung Medical Center; Sungkyunkwan University (SKKU); Samsung Medical Center</t>
  </si>
  <si>
    <t>Prediction of Cardiac Arrest in the Emergency Department Based on Machine Learning and Sequential Characteristics: Model Development and Retrospective Clinical Validation Study</t>
  </si>
  <si>
    <t>machine learning; cardiac arrest prediction; emergency department; sequential characteristics; clinical validity</t>
  </si>
  <si>
    <t>EARLY WARNING SCORE</t>
  </si>
  <si>
    <t>Kim, Kyunga/LCL-2839-2024</t>
  </si>
  <si>
    <t>Hong, Sungjun/0000-0003-2797-238X; Lee, Sungjoo/0000-0003-3564-4220; Kim, Kyunga/0000-0002-0865-2236; Lee, Jeonghoon/0000-0002-8619-6811</t>
  </si>
  <si>
    <t>130 QUEENS QUAY E, STE 1102, TORONTO, ON M5A 0P6, CANADA</t>
  </si>
  <si>
    <t>e15932</t>
  </si>
  <si>
    <t>10.2196/15932</t>
  </si>
  <si>
    <t>http://dx.doi.org/10.2196/15932</t>
  </si>
  <si>
    <t>NI2AU</t>
  </si>
  <si>
    <t>32749227</t>
  </si>
  <si>
    <t>WOS:000565159200015</t>
  </si>
  <si>
    <t>Im, H; Pathania, D; McFarland, PJ; Sohani, AR; Degani, I; Allen, M; Coble, B; Kilcoyne, A; Hong, S; Rohrer, L; Abramson, JS; Dryden-Peterson, S; Fexonl, L; Pivovarov, M; Chabner, B; Lee, H; Castro, CM; Weissleder, R</t>
  </si>
  <si>
    <t>The identification of patients with aggressive cancer who require immediate therapy is a health challenge in low-and middle-income countries. Limited pathology resources, high healthcare costs and large caseloads call for the development of advanced stand-alone diagnostics. Here, we report and validate an automated, low-cost point-of-care device for the molecular diagnosis of aggressive lymphomas. The device uses contrast-enhanced microholography and a deep learning algorithm to directly analyse percutaneously obtained fine-needle aspirates. We show the feasibility and high accuracy of the device in cells, as well as the prospective validation of the results in 40 patients clinically referred for image-guided aspiration of nodal mass lesions suspicious of lymphoma. Automated analysis of human samples with the portable device should allow for the accurate classification of patients with benign and malignant adenopathy.</t>
  </si>
  <si>
    <t>Im, Hyungsoon; Pathania, Divya; McFarland, Philip J.; Sohani, Aliyah R.; Degani, Ismail; Allen, Matthew; Coble, Benjamin; Kilcoyne, Aoife; Hong, Seonki; Rohrer, Lucas; Abramson, Jeremy S.; Dryden-Peterson, Scott; Fexonl, Lioubov; Pivovarov, Misha; Chabner, Bruce; Lee, Hakho; Castro, Cesar M.; Weissleder, Ralph</t>
  </si>
  <si>
    <t>Castro, CM; Weissleder, R (corresponding author), Massachusetts Gen Hosp, Ctr Syst Biol, Boston, MA 02114 USA.; Weissleder, R (corresponding author), Massachusetts Gen Hosp, Dept Radiol, Boston, MA 02114 USA.; Castro, CM (corresponding author), Massachusetts Gen Hosp Canc Ctr, Boston, MA 02114 USA.; Weissleder, R (corresponding author), Harvard Med Sch, Dept Syst Biol, Boston, MA 02115 USA.</t>
  </si>
  <si>
    <t>Castro.Cesar@mgh.harvard.edu; rweissleder@mgh.harvard.edu</t>
  </si>
  <si>
    <t>V-Foundation for Cancer Research [5UH2CA202637, 4R00CA201248]; MGH scholar fund; Mac Erlaine Scholarship from the Academic Radiology Research Trust, St. Vincents Radiology Group, Dublin, Ireland; Higher Degree Bursary from the Faculty of Radiologists at the Royal College of Surgeons in Ireland; National Cancer Institute [K12CA087723] Funding Source: NIH RePORTER</t>
  </si>
  <si>
    <t>V-Foundation for Cancer Research; MGH scholar fund; Mac Erlaine Scholarship from the Academic Radiology Research Trust, St. Vincents Radiology Group, Dublin, Ireland; Higher Degree Bursary from the Faculty of Radiologists at the Royal College of Surgeons in Ireland; National Cancer Institute (United States Department of Health &amp; Human Services, National Institutes of Health (NIH) - USA, NIH National Cancer Institute (NCI))</t>
  </si>
  <si>
    <t>The authors thank J. Min for assay optimization, K. Joyes for editing the manuscript, and all members of MGH's Division of Interventional Radiology, Department of Pathology and Cancer Center who contributed to patient care. This work was supported in part by 5UH2CA202637 (to R.W. and B. Chabner), 4R00CA201248 (to H.I.) and a grant from the V-Foundation for Cancer Research (to R.W. and C.M.C.). H.L. was supported in part by R21-CA205322, R01-HL113156 and the MGH scholar fund. A.K. has been supported by the Mac Erlaine Scholarship from the Academic Radiology Research Trust, St. Vincents Radiology Group, Dublin, Ireland, and also by the Higher Degree Bursary from the Faculty of Radiologists at the Royal College of Surgeons in Ireland.</t>
  </si>
  <si>
    <t>[Im, Hyungsoon; Pathania, Divya; McFarland, Philip J.; Degani, Ismail; Allen, Matthew; Coble, Benjamin; Kilcoyne, Aoife; Hong, Seonki; Rohrer, Lucas; Fexonl, Lioubov; Pivovarov, Misha; Lee, Hakho; Castro, Cesar M.; Weissleder, Ralph] Massachusetts Gen Hosp, Ctr Syst Biol, Boston, MA 02114 USA; [Im, Hyungsoon; Kilcoyne, Aoife; Pivovarov, Misha; Lee, Hakho; Weissleder, Ralph] Massachusetts Gen Hosp, Dept Radiol, Boston, MA 02114 USA; [Sohani, Aliyah R.] Massachusetts Gen Hosp, Dept Pathol, Boston, MA 02114 USA; [Degani, Ismail] MIT, Dept Elect Engn &amp; Comp Sci, Cambridge, MA 02139 USA; [Coble, Benjamin] MIT, Dept Engn &amp; Management, 77 Massachusetts Ave, Cambridge, MA 02139 USA; [Rohrer, Lucas] Northeastern Univ, Dept Hlth Sci, Boston, MA 02115 USA; [Abramson, Jeremy S.; Chabner, Bruce; Castro, Cesar M.] Massachusetts Gen Hosp Canc Ctr, Boston, MA 02114 USA; [Dryden-Peterson, Scott] Botswana Harvard AIDS Inst, Gaborone, Botswana; [Dryden-Peterson, Scott] Brigham &amp; Womens Hosp, Div Infect Dis, 75 Francis St, Boston, MA 02115 USA; [Dryden-Peterson, Scott] Harvard TH Chan Sch Publ Hlth, Boston, MA USA; [Weissleder, Ralph] Harvard Med Sch, Dept Syst Biol, Boston, MA 02115 USA</t>
  </si>
  <si>
    <t>Harvard University; Harvard University Medical Affiliates; Massachusetts General Hospital; Harvard University; Harvard University Medical Affiliates; Massachusetts General Hospital; Harvard University; Harvard University Medical Affiliates; Massachusetts General Hospital; Massachusetts Institute of Technology (MIT); Harvard University; Harvard University Medical Affiliates; Brigham &amp; Women's Hospital; Harvard University; Harvard T.H. Chan School of Public Health; Harvard University; Harvard Medical School</t>
  </si>
  <si>
    <t>Design and clinical validation of a point-of-care device for the diagnosis of lymphoma via contrast-enhanced microholography and machine learning</t>
  </si>
  <si>
    <t>NATURE BIOMEDICAL ENGINEERING</t>
  </si>
  <si>
    <t>PATHOLOGY; CANCER; MICROSCOPY; AFRICA; AIDS; CELL</t>
  </si>
  <si>
    <t>Im, Hyungsoon/A-3178-2009; Abramson, Jeremy/N-5178-2019; Pivovarov, Misha/R-3661-2019; Lee, Hakho/M-9004-2016</t>
  </si>
  <si>
    <t>Hong, Seonki/0000-0003-1440-5167; Dryden-Peterson, Scott/0000-0002-8487-9731; Pathania, Divya/0000-0001-6454-0768; Rohrer, Lucas/0000-0002-0924-7558; Im, Hyungsoon/0000-0002-0626-1346; Lee, Hakho/0000-0002-0087-0909</t>
  </si>
  <si>
    <t>2157-846X</t>
  </si>
  <si>
    <t>NAT BIOMED ENG</t>
  </si>
  <si>
    <t>Nat. Biomed. Eng</t>
  </si>
  <si>
    <t>SEP 2018</t>
  </si>
  <si>
    <t>666</t>
  </si>
  <si>
    <t>10.1038/s41551-018-0265-3</t>
  </si>
  <si>
    <t>http://dx.doi.org/10.1038/s41551-018-0265-3</t>
  </si>
  <si>
    <t>GT2BA</t>
  </si>
  <si>
    <t>30555750</t>
  </si>
  <si>
    <t>WOS:000444282800011</t>
  </si>
  <si>
    <t>Persson, I; Macura, A; Becedas, D; Sjövall, F</t>
  </si>
  <si>
    <t>Purpose: To prospectively validate, in an ICU setting, the prognostic accuracy of the sepsis prediction algorithm NAVOY (R) Sepsis which uses 4 h of input for routinely collected vital parameters, blood gas values, and lab values. Materials and methods: Patients 18 years or older admitted to the ICU at Skane University Hospital Malmo center dot from December 2020 to September 2021 were recruited in the study. A total of 304 patients were randomized into one of two groups: Algorithm group with active sepsis alerts, or Standard of care. NAVOY (R) Sepsis made silent predictions in the Standard of care group, in order to evaluate its performance without disturbing the outcome. The study was blinded, i.e., study personnel did not know to which group patients were randomized. The healthcare provider followed standard practices in assessing possible development of sepsis and intervening accordingly. The patients were followed-up in the study until ICU discharge. Results: NAVOY (R) Sepsis could predict the development of sepsis, according to the Sepsis-3 criteria, three hours before sepsis onset with high performance: accuracy 0.79; sensitivity 0.80; and specificity 0.78. Conclusions: The accuracy, sensitivity, and specificity were all high, validating the prognostic accuracy of NAVOY (R) Sepsis in an ICU setting, including Covid-19 patients.</t>
  </si>
  <si>
    <t>Persson, Inger; Macura, Andreas; Becedas, David; Sjovall, Fredrik</t>
  </si>
  <si>
    <t>Persson, I (corresponding author), Uppsala Univ, Dept Stat, Box 513, SE-75120 Uppsala, Sweden.</t>
  </si>
  <si>
    <t>inger.persson@statistik.uu.se</t>
  </si>
  <si>
    <t>Swedish innovation agency Vinnova; AlgoDx AB; Department of Statistics at Uppsala University</t>
  </si>
  <si>
    <t>Swedish innovation agency Vinnova (Vinnova); AlgoDx AB (HOGANAS AB, Statisticon AB); Department of Statistics at Uppsala University</t>
  </si>
  <si>
    <t>The work was funded by the Swedish innovation agency Vinnova, and co-funded by AlgoDx AB and the Department of Statistics at Uppsala University.</t>
  </si>
  <si>
    <t>[Persson, Inger] Uppsala Univ, Dept Stat, Box 513, SE-75120 Uppsala, Sweden; [Persson, Inger; Macura, Andreas; Becedas, David] AlgoDx AB, Stockholm, Sweden; [Sjovall, Fredrik] Skane Univ Hosp, Dept Intens &amp; Perioperat Med, Malmo, Sweden</t>
  </si>
  <si>
    <t>Uppsala University; Lund University; Skane University Hospital</t>
  </si>
  <si>
    <t>Early prediction of sepsis in intensive care patients using the machine learning algorithm NAVOY® Sepsis, a prospective randomized clinical validation study</t>
  </si>
  <si>
    <t>JOURNAL OF CRITICAL CARE</t>
  </si>
  <si>
    <t>Sepsis; Prediction; Early detection; Machine learning; Software as a medical device; Intensive care unit</t>
  </si>
  <si>
    <t>INTERNATIONAL CONSENSUS DEFINITIONS; RISK</t>
  </si>
  <si>
    <t>/AGI-5321-2022</t>
  </si>
  <si>
    <t>0883-9441</t>
  </si>
  <si>
    <t>1557-8615</t>
  </si>
  <si>
    <t>J CRIT CARE</t>
  </si>
  <si>
    <t>J. Crit. Care</t>
  </si>
  <si>
    <t>154400</t>
  </si>
  <si>
    <t>10.1016/j.jcrc.2023.154400</t>
  </si>
  <si>
    <t>http://dx.doi.org/10.1016/j.jcrc.2023.154400</t>
  </si>
  <si>
    <t>JC6B7</t>
  </si>
  <si>
    <t>38245375</t>
  </si>
  <si>
    <t>WOS:001170985800001</t>
  </si>
  <si>
    <t>Leung, E; Guan, JJ; Zhang, QP; Ching, CC; Yee, H; Liu, YL; Ng, HS; Xu, RC; Tsang, HWH; Lee, AL; Chen, FY</t>
  </si>
  <si>
    <t>Background: Screening for frequent hospitalizations in the community can help prevent super-utilizers from growing in the inpatient population. However, the determinants of frequent hospitalizations have not been systematically examined, their operational definitions have been inconsistent, and screening among community members lacks tools. Nor do we know if what determined frequent hospitalizations before COVID-19 continued to be the determinant of frequent hospitalizations at the height of the pandemic. Hence, the current study aims to identify determinants of frequent hospitalization and their screening items developed from the Comprehensive Geriatric Assessment (CGA), as our 273-item CGA is too lengthy to administer in full in community or primary care settings. The stability of the identified determinants will be examined in terms of the prospective validity of pre-COVID-selected items administered at the height of the pandemic. Methods: Comprehensive Geriatric Assessments (CGAs) were administered between 2016 and 2018 in the homes of 1,611 older adults aged 65+ years. Learning models were deployed to select CGA items to maximize the classification of different operational definitions of frequent hospitalizations, ranging from the most inclusive definition, wherein two or more hospitalizations over 2 years, to the most exclusive, wherein two or more hospitalizations must appear during year two, reflecting different care needs. In addition, the CGA items selected by the best-performing learning model were then developed into a random-forest-based scoring system for assessing frequent hospitalization risk, the validity of which was tested during 2018 and again prospectively between 2022 and 2023 in a sample of 329 older adults recruited from a district adjacent to where the CGAs were initially performed. Results: Seventeen items were selected from the CGA by our best-performing algorithm (DeepBoost), achieving 0.90 AUC in classifying operational definitions of frequent hospitalizations differing in temporal distributions and care needs. The number of medications prescribed and the need for assistance with emptying the bowel, housekeeping, transportation, and laundry were selected using the DeepBoost algorithm under the supervision of all operational definitions of frequent hospitalizations. On the other hand, reliance on walking aids, ability to balance on one's own, history of chronic obstructive pulmonary disease (COPD), and usage of social services were selected in the top 10 by all but the operational definitions that reflect the greatest care needs. The prospective validation of the original risk-scoring system using a sample recruited from a different district during the COVID-19 pandemic achieved an AUC of 0.82 in differentiating those rehospitalized twice or more over 2 years from those who were not. Conclusion: A small subset of CGA items representing one's independence in aspects of (instrumental) activities of daily living, mobility, history of COPD, and social service utilization are sufficient for community members at risk of frequent hospitalization. The determinants of frequent hospitalization represented by the subset of CGA items remain relevant over the course of COVID-19 pandemic and across sociogeography.</t>
  </si>
  <si>
    <t>Leung, Eman; Guan, Jingjing; Zhang, Qingpeng; Ching, Chun Cheung; Yee, Hiliary; Liu, Yilin; Ng, Hang Sau; Xu, Richard; Tsang, Hector Wing Hong; Lee, Albert; Chen, Frank Youhua</t>
  </si>
  <si>
    <t>Chen, FY (corresponding author), City Univ Hong Kong, Dept Management Sci, Kowloon, Hong Kong, Peoples R China.</t>
  </si>
  <si>
    <t>youhchen@cityu.edu.hk</t>
  </si>
  <si>
    <t>Strategic Public Policy Research Funding Scheme [S2019.A4.015.19S]; Home Affairs Department of HKSAR; Sino International Industrial Limited's charitable donation</t>
  </si>
  <si>
    <t>Strategic Public Policy Research Funding Scheme; Home Affairs Department of HKSAR; Sino International Industrial Limited's charitable donation</t>
  </si>
  <si>
    <t>The author(s) declare that financial support was received for the research, authorship, and/or publication of this article. This work was supported by the Strategic Public Policy Research Funding Scheme (project number S2019.A4.015.19S) awarded to Professors Albert Lee and Eman Leung, Community Involvement Fund, Home Affairs Department of HKSAR awarded to Professors Eman Leung and Albert Lee, and the Sino International Industrial Limited's charitable donation awarded to Professor Frank Chen. The funders only provided financial support and had not interfered with how the research is being conducted or presented.</t>
  </si>
  <si>
    <t>[Leung, Eman; Chen, Frank Youhua] City Univ Hong Kong, Dept Management Sci, Kowloon, Hong Kong, Peoples R China; [Leung, Eman; Guan, Jingjing; Ching, Chun Cheung; Liu, Yilin; Lee, Albert] Chinese Univ Hong Kong, JC Sch Publ Hlth &amp; Primary Care, Shatin, Hong Kong, Peoples R China; [Guan, Jingjing] Epitelligence, Hong Kong, Peoples R China; [Zhang, Qingpeng] Univ Hong Kong, HKU Musketeers Fdn Inst Data Sci, Dept Pharmacol &amp; Pharm, Pokfulam, Hong Kong, Peoples R China; [Yee, Hiliary; Xu, Richard; Tsang, Hector Wing Hong; Lee, Albert] Hong Kong Polytech Univ, Dept Rehabil Sci, Hung Hom, Kowloon, Hong Kong, Peoples R China; [Ng, Hang Sau] People Serv Ctr, Kowloon, Hong Kong, Peoples R China; [Tsang, Hector Wing Hong; Lee, Albert] Hong Kong Polytech Univ, Mental Hlth Res Ctr, Hung Hom, Kowloon, Hong Kong, Peoples R China</t>
  </si>
  <si>
    <t>City University of Hong Kong; Chinese University of Hong Kong; University of Hong Kong; Hong Kong Polytechnic University; Hong Kong Polytechnic University</t>
  </si>
  <si>
    <t>Screening for frequent hospitalization risk among community-dwelling older adult between 2016 and 2023: machine learning-driven item selection, scoring system development, and prospective validation</t>
  </si>
  <si>
    <t>FRONTIERS IN PUBLIC HEALTH</t>
  </si>
  <si>
    <t>public health: preventive medicine; health risk assessment; COVID-19; patient readmission; data science; artificial intelligence: machine learning and deep learning</t>
  </si>
  <si>
    <t>GERIATRIC ASSESSMENT ACGA; ADMINISTRATIVE DATA; ADMISSION; PEOPLE; READMISSIONS; INSTRUMENT; FAILURE; PATIENT; HEALTH</t>
  </si>
  <si>
    <t>GUAN, Jingjing/GLR-0876-2022; CHEN, Youhua Frank/K-9156-2015; Xu, Richard Huan/IZD-7268-2023; Zhang, Qingpeng/D-4682-2011</t>
  </si>
  <si>
    <t>GUAN, Jingjing/0000-0002-9911-2293; CHEN, Youhua Frank/0000-0003-4707-9361; Xu, Richard Huan/0000-0002-4720-5172</t>
  </si>
  <si>
    <t>2296-2565</t>
  </si>
  <si>
    <t>FRONT PUBLIC HEALTH</t>
  </si>
  <si>
    <t>Front. Public Health</t>
  </si>
  <si>
    <t>NOV 27 2024</t>
  </si>
  <si>
    <t>1413529</t>
  </si>
  <si>
    <t>10.3389/fpubh.2024.1413529</t>
  </si>
  <si>
    <t>http://dx.doi.org/10.3389/fpubh.2024.1413529</t>
  </si>
  <si>
    <t>P1L9Y</t>
  </si>
  <si>
    <t>39664532</t>
  </si>
  <si>
    <t>WOS:001375624400001</t>
  </si>
  <si>
    <t>Oliver, M; Renou, A; Allou, N; Moscatelli, L; Ferdynus, C; Allyn, J</t>
  </si>
  <si>
    <t>Background Chest radiographs are routinely performed in intensive care unit (ICU) to confirm the correct position of an endotracheal tube (ETT) relative to the carina. However, their interpretation is often challenging and requires substantial time and expertise. The aim of this study was to propose an externally validated deep learning model with uncertainty quantification and image segmentation for the automated assessment of ETT placement on ICU chest radiographs.Methods The CarinaNet model was constructed by applying transfer learning to the RetinaNet model using an internal dataset of ICU chest radiographs. The accuracy of the model in predicting the position of the ETT tip and carina was externally validated using a dataset of 200 images extracted from the MIMIC-CXR database. Uncertainty quantification was performed using the level of confidence in the ETT-carina distance prediction. Segmentation of the ETT was carried out using edge detection and pixel clustering. Results The interrater agreement was 0.18 cm for the ETT tip position, 0.58 cm for the carina position, and 0.60 cm for the ETT-carina distance. The mean absolute error of the model on the external test set was 0.51 cm for the ETT tip position prediction, 0.61 cm for the carina position prediction, and 0.89 cm for the ETT-carina distance prediction. The assessment of ETT placement was improved by complementing the human interpretation of chest radiographs with the CarinaNet model.Conclusions The CarinaNet model is an efficient and generalizable deep learning algorithm for the automated assessment of ETT placement on ICU chest radiographs. Uncertainty quantification can bring the attention of intensivists to chest radiographs that require an experienced human interpretation. Image segmentation provides intensivists with chest radiographs that are quickly interpretable and allows them to immediately assess the validity of model predictions. The CarinaNet model is ready to be evaluated in clinical studies.</t>
  </si>
  <si>
    <t>Oliver, Matthieu; Renou, Amelie; Allou, Nicolas; Moscatelli, Lucas; Ferdynus, Cyril; Allyn, Jerome</t>
  </si>
  <si>
    <t>Oliver, M (corresponding author), Reun Univ Hosp, Methodol Support Unit, St Denis, France.; Oliver, M (corresponding author), Reun Univ Hosp, Clin Informat Dept, St Denis, France.</t>
  </si>
  <si>
    <t>matthieu.oliver@chu-reunion.fr</t>
  </si>
  <si>
    <t>[Oliver, Matthieu; Allou, Nicolas; Ferdynus, Cyril; Allyn, Jerome] Reun Univ Hosp, Methodol Support Unit, St Denis, France; [Renou, Amelie; Allou, Nicolas; Allyn, Jerome] Reun Univ Hosp, Intens Care Unit, St Denis, France; [Oliver, Matthieu; Allou, Nicolas; Ferdynus, Cyril; Allyn, Jerome] Reun Univ Hosp, Clin Informat Dept, St Denis, France; [Moscatelli, Lucas] Reun Univ Hosp, Radiol, St Denis, France; [Ferdynus, Cyril] INSERM, Clin Res Dept, CIC 1410, F-97410 St Pierre, France</t>
  </si>
  <si>
    <t>Institut National de la Sante et de la Recherche Medicale (Inserm)</t>
  </si>
  <si>
    <t>Image augmentation and automated measurement of endotracheal-tube-to-carina distance on chest radiographs in intensive care unit using a deep learning model with external validation</t>
  </si>
  <si>
    <t>Intensive care unit; Chest radiograph; RetinaNet; Deep learning; Image processing</t>
  </si>
  <si>
    <t>SEGMENTATION; GUIDELINES; FUTURE</t>
  </si>
  <si>
    <t>ferdynus, cyril/AFV-1963-2022</t>
  </si>
  <si>
    <t>JAN 25 2023</t>
  </si>
  <si>
    <t>10.1186/s13054-023-04320-0</t>
  </si>
  <si>
    <t>http://dx.doi.org/10.1186/s13054-023-04320-0</t>
  </si>
  <si>
    <t>8K1IA</t>
  </si>
  <si>
    <t>36698191</t>
  </si>
  <si>
    <t>WOS:000922860900002</t>
  </si>
  <si>
    <t>Kwong, JCC; Khondker, A; Meng, E; Taylor, N; Kuk, C; Perlis, N; Kulkarni, GS; Hamilton, RJ; Fleshner, NE; Finelli, A; van der Kwast, TH; Ali, A; Jamal, M; Papanikolaou, F; Short, T; Srigley, JR; Colinet, V; Peltier, A; Diamand, R; Lefebvre, Y; Mandoorah, Q; Sanchez-Salas, R; Macek, P; Cathelineau, X; Eklund, M; Johnson, AEW; Feifer, A; Zlotta, AR</t>
  </si>
  <si>
    <t>Background Accurate prediction of side-specific extraprostatic extension (ssEPE) is essential for performing nervesparing surgery to mitigate treatment-related side-effects such as impotence and incontinence in patients with localised prostate cancer. Artificial intelligence (AI) might provide robust and personalised ssEPE predictions to better inform nerve-sparing strategy during radical prostatectomy. We aimed to develop, externally validate, and perform an algorithmic audit of an AI-based Side-specific Extra-Prostatic Extension Risk Assessment tool (SEPERA).Methods Each prostatic lobe was treated as an individual case such that each patient contributed two cases to the overall cohort. SEPERA was trained on 1022 cases from a community hospital network (Trillium Health Partners; Mississauga, ON, Canada) between 2010 and 2020. Subsequently, SEPERA was externally validated on 3914 cases across three academic centres: Princess Margaret Cancer Centre (Toronto, ON, Canada) from 2008 to 2020; L'Institut Mutualiste Montsouris (Paris, France) from 2010 to 2020; and Jules Bordet Institute (Brussels, Belgium) from 2015 to 2020. Model performance was characterised by area under the receiver operating characteristic curve (AUROC), area under the precision recall curve (AUPRC), calibration, and net benefit. SEPERA was compared against contemporary nomograms (ie, Sayyid nomogram, Soeterik nomogram [non-MRI and MRI]), as well as a separate logistic regression model using the same variables included in SEPERA. An algorithmic audit was performed to assess model bias and identify common patient characteristics among predictive errors.Findings Overall, 2468 patients comprising 4936 cases (ie, prostatic lobes) were included in this study. SEPERA was well calibrated and had the best performance across all validation cohorts (pooled AUROC of 0 center dot 77 [95% CI 0 center dot 75-0 center dot 78] and pooled AUPRC of 0 center dot 61 [0 center dot 58-0 center dot 63]). In patients with pathological ssEPE despite benign ipsilateral biopsies, SEPERA correctly predicted ssEPE in 72 (68%) of 106 cases compared with the other models (47 [44%] in the logistic regression model, none in the Sayyid model, 13 [12%] in the Soeterik non-MRI model, and five [5%] in the Soeterik MRI model). SEPERA had higher net benefit than the other models to predict ssEPE, enabling more patients to safely undergo nerve-sparing. In the algorithmic audit, no evidence of model bias was observed, with no significant difference in AUROC when stratified by race, biopsy year, age, biopsy type (systematic only vs systematic and MRItargeted biopsy), biopsy location (academic vs community), and D'Amico risk group. According to the audit, the most common errors were false positives, particularly for older patients with high-risk disease. No aggressive tumours (ie, grade &gt;2 or high-risk disease) were found among false negatives.Interpretation We demonstrated the accuracy, safety, and generalisability of using SEPERA to personalise nervesparing approaches during radical prostatectomy. Copyright (c) 2023 The Author(s). Published by Elsevier Ltd. This is an Open Access article under the CC BY-NC-ND 4.0 license.</t>
  </si>
  <si>
    <t>Kwong, Jethro C. C.; Khondker, Adree; Meng, Eric; Taylor, Nicholas; Kuk, Cynthia; Perlis, Nathan; Kulkarni, Girish S.; Hamilton, Robert J.; Fleshner, Neil E.; Finelli, Antonio; van der Kwast, Theodorus H.; Ali, Amna; Jamal, Munir; Papanikolaou, Frank; Short, Thomas; Srigley, John R.; Colinet, Valentin; Peltier, Alexandre; Diamand, Romain; Lefebvre, Yolene; Mandoorah, Qusay; Sanchez-Salas, Rafael; Macek, Petr; Cathelineau, Xavier; Eklund, Martin; Johnson, Alistair E. W.; Feifer, Andrew; Zlotta, Alexandre R.</t>
  </si>
  <si>
    <t>Zlotta, AR (corresponding author), Sinai Hlth Syst, Mt Sinai Hosp, Dept Surg, Div Urol, Toronto, ON M5T 3L9, Canada.</t>
  </si>
  <si>
    <t>alexandre.zlotta@sinaihealth.ca</t>
  </si>
  <si>
    <t>University of Toronto Surgeon Scientist Training Program</t>
  </si>
  <si>
    <t>JCCK is supported by the University of Toronto Surgeon Scientist Training Program.</t>
  </si>
  <si>
    <t>[Kwong, Jethro C. C.; Perlis, Nathan; Kulkarni, Girish S.; Hamilton, Robert J.; Fleshner, Neil E.; Finelli, Antonio; Jamal, Munir; Papanikolaou, Frank; Short, Thomas; Feifer, Andrew; Zlotta, Alexandre R.] Univ Toronto, Dept Surg, Div Urol, Toronto, ON, Canada; [van der Kwast, Theodorus H.; Srigley, John R.] Univ Toronto, Dept Lab Med &amp; Pathobiol, Toronto, ON, Canada; [Kwong, Jethro C. C.; Perlis, Nathan; Kulkarni, Girish S.; Hamilton, Robert J.; Fleshner, Neil E.; Finelli, Antonio; Zlotta, Alexandre R.] Univ Hlth Network, Princess Margaret Canc Ctr, Div Urol, Dept Surg, Toronto, ON, Canada; [Kwong, Jethro C. C.; Kulkarni, Girish S.; Johnson, Alistair E. W.] Univ Toronto, Temerty Ctr Res &amp; Educ Med, Toronto, ON, Canada; [Khondker, Adree; Taylor, Nicholas] Univ Toronto, Temerty Fac Med, Toronto, ON, Canada; [Meng, Eric] Queens Univ, Fac Med, Kingston, ON, Canada; [Kuk, Cynthia; Zlotta, Alexandre R.] Sinai Hlth Syst, Mt Sinai Hosp, Dept Surg, Div Urol, Toronto, ON M5T 3L9, Canada; [van der Kwast, Theodorus H.] Univ Hlth Network, Princess Margaret Canc Ctr, Lab Med Program, Toronto, ON, Canada; [Ali, Amna; Feifer, Andrew] Trillium Hlth Partners, Inst Better Hlth, Mississauga, ON, Canada; [Colinet, Valentin; Peltier, Alexandre; Diamand, Romain] Jules Bordet Inst, Dept Surg, Div Urol, Brussels, Belgium; [Lefebvre, Yolene] Jules Bordet Inst, Dept Med Imagery, Brussels, Belgium; [Mandoorah, Qusay; Sanchez-Salas, Rafael; Macek, Petr; Cathelineau, Xavier] Inst Mutualiste Montsouris, Div Urol, Dept Surg, Paris, France; [Eklund, Martin] Karolinska Inst, Dept Med Epidemiol &amp; Biostat, Stockholm, Sweden; [Johnson, Alistair E. W.] Univ Toronto, Dalla Lana Sch Publ Hlth, Div Biostat, Toronto, ON, Canada; [Johnson, Alistair E. W.] Vector Inst, Toronto, ON, Canada</t>
  </si>
  <si>
    <t>University of Toronto; University of Toronto; University of Toronto; University Health Network Toronto; Princess Margaret Cancer Centre; University of Toronto; Queens University - Canada; University of Toronto; Trillium Health Partners; Karolinska Institutet; University of Toronto; Vector Institute for Artificial Intelligence</t>
  </si>
  <si>
    <t>Development, multi-institutional external validation, and algorithmic audit of an artificial intelligence-based Side-specific Extra-Prostatic Extension Risk Assessment tool (SEPERA) for patients undergoing radical prostatectomy: a retrospective cohort study</t>
  </si>
  <si>
    <t>EXTRAPROSTATIC EXTENSION; PREDICTION; NOMOGRAM; CANCER</t>
  </si>
  <si>
    <t>Zlotta, Alexandre/ABE-4468-2021; Macek, Petr/A-9517-2012</t>
  </si>
  <si>
    <t>E435</t>
  </si>
  <si>
    <t>E445</t>
  </si>
  <si>
    <t>10.1016/S2589-7500(23)00067-5</t>
  </si>
  <si>
    <t>http://dx.doi.org/10.1016/S2589-7500(23)00067-5</t>
  </si>
  <si>
    <t>GE8RW</t>
  </si>
  <si>
    <t>37211455</t>
  </si>
  <si>
    <t>WOS:001734730300001</t>
  </si>
  <si>
    <t>Yang, PY; Lin, H; Li, M; Lei, J; Richard, SA; Lan, ZG</t>
  </si>
  <si>
    <t>Introduction: Posterior fossa tumor (PFT) survivors are prone to develop cerebellar cognitive affective syndrome (CCAS) as a major neurocognitive late effect, profoundly impacting quality of life, psychosocial adaptation, and long-term survivorship. Reliable early predictive tools for this survivorship outcome remain lacking. Objective: This study aimed to construct a predictive model to enable early risk stratification for medium-term cognitive dysfunction-a critical survivorship outcome-in children after PFT surgery, thereby supporting timely survivorship care planning and personalized psychosocial intervention. Methods: A multicenter retrospective study was conducted with two cohorts: a derivation cohort in 3 institutions from 2015 to 2020 and an external validation cohort in an independent institution from 2021 to 2023. Preoperative multimodal data such as fMRI, DTI, tumor characteristics, and factors were collected. Medium-term cognitive dysfunction (primary outcome) was diagnosed via standardized neuropsychological scales at 12 months postoperatively. Random forest (RF) and LASSO regression were used for model construction. Performance was evaluated by AUC, accuracy, sensitivity, specificity, calibration curves (Hosmer-Lemeshow test), and clinical decision curve analysis (DCA). A nomogram was established for clinical application. Results: In the derivation cohort, 172 (28.7%) children developed cognitive dysfunction. LASSO regression identified 8 key predictors: preoperative SCP FA value, tumor volume &gt;= 15 cm(3), midline tumor location, suboccipital midline approach, radiotherapy, preoperative fMRI prefrontal abnormal activation, age &lt; 6 years, and medulloblastoma histology. The RF model outperformed LASSO (derivation AUC = 0.887, 95% CI:0.87-0.93 vs. LASSO AUC = 0.776, 95% CI:0.75-0.80) and maintained stable performance in external validation (AUC = 0.840). Calibration curves showed good consistency between predicted and actual probabilities in both derivation (chi(2) = 8.32, P = 0.401) and external validation (chi(2) = 7.89, P = 0.32) cohorts. Conclusion: The RF-based model and its derived nomogram effectively predict medium-term cognitive dysfunction in pediatric PFT survivors, with robust performance in external validation. This tool supports early survivorship risk stratification and personalized psychosocial intervention for pediatric PFT survivors, advancing precision care in psycho-oncology.</t>
  </si>
  <si>
    <t>Yang, Panyi; Lin, Hao; Li, Min; Lei, Jun; Richard, Seidu A.; Lan, Zhigang</t>
  </si>
  <si>
    <t>Lan, ZG (corresponding author), Sichuan Univ, West China Hosp, Dept Neurosurg, Chengdu, Peoples R China.</t>
  </si>
  <si>
    <t>158075478@qq.com</t>
  </si>
  <si>
    <t>[Yang, Panyi] Sichuan Univ, West China Hosp, Dept Pediat Surg, Chengdu, Peoples R China; [Lin, Hao] North Sichuan Med Coll, Sch Nursing, Nanchong, Peoples R China; [Li, Min] Chongqing Med Univ, Childrens Hosp, Dept Radiol, Chongqing, Peoples R China; [Lei, Jun] Xi An Jiao Tong Univ, Xian Childrens Hosp, Dept Nursing, Xian, Peoples R China; [Richard, Seidu A.; Lan, Zhigang] Sichuan Univ, West China Hosp, Dept Neurosurg, Chengdu, Peoples R China; [Richard, Seidu A.] CK Tedam Univ Technol &amp; Appl Sci CKT UTAS, Sch Chem &amp; Biochem Sci, Dept Biochem &amp; Forens Sci, Navrongo, Ghana</t>
  </si>
  <si>
    <t>Sichuan University; North Sichuan Medical University; Chongqing Medical University; Xi'an Jiaotong University; Sichuan University</t>
  </si>
  <si>
    <t>Development and External Validation of a Machine Learning-Enhanced Nomogram to Stratify Risk of Early-Onset Cognitive Impairment Following Pediatric Posterior Fossa Surgery: A Multicenter Retrospective Study</t>
  </si>
  <si>
    <t>PSYCHO-ONCOLOGY</t>
  </si>
  <si>
    <t>cognitive dysfunction; neuropsychological intervention; nomogram; pediatric cancer survivorship; posterior fossa tumor; predictive model; psycho-oncology; quality of life; risk stratification; survivorship care planning</t>
  </si>
  <si>
    <t>CARD SORTING TEST; BRAIN-TUMOR; NORMATIVE DATA; CHILDREN; HYDROCEPHALUS; SURVIVORS; VOLUME</t>
  </si>
  <si>
    <t>yang, Panyi/KWU-2231-2024; Seidu A., Richard/H-7590-2017</t>
  </si>
  <si>
    <t>1057-9249</t>
  </si>
  <si>
    <t>1099-1611</t>
  </si>
  <si>
    <t>Psycho-Oncol.</t>
  </si>
  <si>
    <t>JUN 21 2026</t>
  </si>
  <si>
    <t>e70528</t>
  </si>
  <si>
    <t>10.1002/pon.70528</t>
  </si>
  <si>
    <t>http://dx.doi.org/10.1002/pon.70528</t>
  </si>
  <si>
    <t>Oncology; Psychology; Psychology, Multidisciplinary; Social Sciences, Biomedical</t>
  </si>
  <si>
    <t>Oncology; Psychology; Biomedical Social Sciences</t>
  </si>
  <si>
    <t>JT9QU</t>
  </si>
  <si>
    <t>42323732</t>
  </si>
  <si>
    <t>WOS:001797901900001</t>
  </si>
  <si>
    <t>Li, Q; Yan, SC; Yang, WR; Du, Z; Cheng, M; Chen, RW; Shao, QK; Tian, Y; Sheng, MC; Peng, W; Wu, YY</t>
  </si>
  <si>
    <t>Objective To develop and validate machine learning (ML)-based models to predict lymph node metastasis (LNM) in patients with gastric cancer (GC).Design Retrospective cohort study.Setting Second Affiliated Hospital of Soochow University.Participants A total of 500 inpatients from the Second Affiliated Hospital of Soochow University, collected retrospectively between 1 April 2018 and 31 March 2023, were used as the training set, while 824 Asian patients from the Surveillance, Epidemiology and End Results database comprised the external validation set.Main outcome measures Prediction models were developed using multiple ML algorithms, including logistic regression, support vector machine, k-nearest neighbours, naive Bayes, decision tree (DT), gradient boosting DT, random forest and artificial neural network (ANN). The predictive value of these models was validated and evaluated through receiver operating characteristic curves, precision-recall (PR) curves, calibration curves, decision curve analysis and accuracy metrics.Results Among the ML algorithms, the ANN outperformed others, achieving the highest accuracy (0.722; 95% CI: 0.692 to 0.751), precision (0.732; 95% CI: 0.694 to 0.776), F1 score (0.733; 95% CI: 0.695 to 0.773), specificity (0.728; 95% CI: 0.684 to 0.770) and area under the PR curve (0.781; 95% CI: 0.740 to 0.821) in the external validation results. Moreover, it demonstrated superior calibration and clinical utility. Shapley Additive Explanations analysis identified the depth of invasion, tumour size and Lauren classification as the most influential predictors of LNM in patients with GC. Furthermore, a user-friendly web application was developed to provide individual prediction results.Conclusions This study introduces an accurate, reliable and clinically applicable approach for predicting the risk of LNM in patients with GC. The model demonstrates its potential to enhance the personalised management of GC in diverse populations, supported by external validation and an accessible web application for practical use.</t>
  </si>
  <si>
    <t>Li, Qian; Yan, Shangcheng; Yang, Weiran; Du, Zhuan; Cheng, Ming; Chen, Renwei; Shao, Qiankun; Tian, Yuan; Sheng, Mengchao; Peng, Wei; Wu, Yongyou</t>
  </si>
  <si>
    <t>Wu, YY (corresponding author), Soochow Univ, Affiliated Hosp 2, Dept Gastrointestinal Surg, Suzhou, Jiangsu, Peoples R China.</t>
  </si>
  <si>
    <t>2319034398@qq.com; 377020939@qq.com; pengwei_11636@126.com; duzhuan@163.com; ChenRenwei2000@outlook.com; shengmengchao1@163.com; wyoyo111@163.com; Chengming0707@sina.com; shangchengyan@hotmail.com; 15530528277@163.com; weiran.yang@rwth-aachen.de</t>
  </si>
  <si>
    <t>Clinical Key Disease Diagnosis and Treatment Technique Project of Suzhou [LCZX202310]; Soochow University Second Hospital Medical New Technology Special Assistance Plan Project [23ZL002]</t>
  </si>
  <si>
    <t>Clinical Key Disease Diagnosis and Treatment Technique Project of Suzhou; Soochow University Second Hospital Medical New Technology Special Assistance Plan Project</t>
  </si>
  <si>
    <t>This study was funded by Clinical Key Disease Diagnosis and Treatment Technique Project of Suzhou (LCZX202310); Soochow University Second Hospital Medical New Technology Special Assistance Plan Project (23ZL002).</t>
  </si>
  <si>
    <t>[Li, Qian; Du, Zhuan; Cheng, Ming; Chen, Renwei; Shao, Qiankun; Tian, Yuan; Sheng, Mengchao; Peng, Wei; Wu, Yongyou] Soochow Univ, Affiliated Hosp 2, Dept Gastrointestinal Surg, Suzhou, Jiangsu, Peoples R China; [Yan, Shangcheng] Chinese Acad Med Sci &amp; Peking Union Med Coll, Peking Union Med Coll Hosp, Dept Gen Surg, Beijing, Peoples R China; [Yang, Weiran] German Sport Univ Cologne, Inst Exercise Training &amp; Sport Informat, Cologne, Germany</t>
  </si>
  <si>
    <t>Soochow University - China; Chinese Academy of Medical Sciences - Peking Union Medical College; Peking Union Medical College; Peking Union Medical College Hospital; German Sport University Cologne</t>
  </si>
  <si>
    <t>Machine learning models for prediction of lymph node metastasis in patients with gastric cancer: a Chinese single-centre study with external validation in an Asian American population</t>
  </si>
  <si>
    <t>ONCOLOGY; Gastrointestinal tumours; Machine Learning</t>
  </si>
  <si>
    <t>RISK-FACTORS</t>
  </si>
  <si>
    <t>Shao, Qiankun/JTT-1642-2023; Yan, Shangcheng/IUO-0951-2023; Chen, Renwei/I-7557-2013; Yang, Weiran/LSJ-2376-2024</t>
  </si>
  <si>
    <t>e098476</t>
  </si>
  <si>
    <t>10.1136/bmjopen-2024-098476</t>
  </si>
  <si>
    <t>http://dx.doi.org/10.1136/bmjopen-2024-098476</t>
  </si>
  <si>
    <t>0NZ6A</t>
  </si>
  <si>
    <t>40132850</t>
  </si>
  <si>
    <t>WOS:001451908500001</t>
  </si>
  <si>
    <t>Perkins, ZB; Yet, B; Sharrock, A; Rickard, R; Marsh, W; Rasmussen, TE; Tai, NRM</t>
  </si>
  <si>
    <t>Objectives: Estimating the likely success of limb revascularization in patients with lower-extremity arterial trauma is central to decisions between attempting limb salvage and amputation. However, the projected outcome is often unclear at the time these decisions need to be made, making them difficult and threatening sound judgement. The objective of this study was to develop and validate a prediction model that can quantify an individual patient's risk of failed revascularization.Methods: A BN prognostic model was developed using domain knowledge and data from the US joint trauma system. Performance (discrimination, calibration, and accuracy) was tested using ten-fold cross validation and externally validated on data from the UK Joint Theatre Trauma Registry. BN performance was compared to the mangled extremity severity score.Results: Rates of amputation performed because of nonviable limb tissue were 12.2% and 19.6% in the US joint trauma system (n = 508) and UK Joint Theatre Trauma Registry (n = 51) populations respectively. A 10-predictor BN accurately predicted failed revascularization: area under the receiver operating characteristic curve (AUROC) 0.95, calibration slope 1.96, Brier score (BS) 0.05, and Brier skill score 0.50. The model maintained excellent performance in an external validation population: AUROC 0.97, calibration slope 1.72, Brier score 0.08, Brier skill score 0.58, and had significantly better performance than mangled extremity severity score at predicting the need for amputation [AUROC 0.95 (0.92-0.98) vs 0.74 (0.67-0.80); P &lt; 0.0001].Conclusions: A BN (https://www.traumamodels.com) can accurately predict the outcome of limb revascularization at the time of initial wound evaluation. This information may complement clinical judgement, support rational and shared treatment decisions, and establish sensible treatment expectations.</t>
  </si>
  <si>
    <t>Perkins, Zane B.; Yet, Barbaros; Sharrock, Anna; Rickard, Rory; Marsh, William; Rasmussen, Todd E.; Tai, Nigel R. M.</t>
  </si>
  <si>
    <t>Perkins, ZB (corresponding author), Queen Mary Univ London, Ctr Trauma Sci, London, England.</t>
  </si>
  <si>
    <t>zane.perkins@nhs.net</t>
  </si>
  <si>
    <t>Precision Trauma Care Research Award from the Combat Casualty Care Research Program of the US Army Medical Research and Materiel Command [DM180044]; Academic Department of Military Surgery &amp; Trauma (ADMST), Royal Centre for Defence Medicine, UK</t>
  </si>
  <si>
    <t>Precision Trauma Care Research Award from the Combat Casualty Care Research Program of the US Army Medical Research and Materiel Command; Academic Department of Military Surgery &amp; Trauma (ADMST), Royal Centre for Defence Medicine, UK</t>
  </si>
  <si>
    <t>This work was supported in part by a Precision Trauma Care Research Award from the Combat Casualty Care Research Program of the US Army Medical Research and Materiel Command (DM180044), and the Academic Department of Military Surgery &amp; Trauma (ADMST), Royal Centre for Defence Medicine, UK.</t>
  </si>
  <si>
    <t>[Perkins, Zane B.; Tai, Nigel R. M.] Queen Mary Univ London, Ctr Trauma Sci, London, England; [Yet, Barbaros; Marsh, William] Queen Mary Univ London, Sch Elect Engn &amp; Comp Sci, London, England; [Sharrock, Anna; Rickard, Rory; Tai, Nigel R. M.] Royal Ctr Def Med, Acad Dept Mil Surg &amp; Trauma, Birmingham, W Midlands, England; [Rasmussen, Todd E.] Uniformed Serv Univ Hlth Sci, Bethesda, MD 20814 USA</t>
  </si>
  <si>
    <t>University of London; Queen Mary University London; University of London; Queen Mary University London; Royal Centre for Defence Medicine; Uniformed Services University of the Health Sciences - USA</t>
  </si>
  <si>
    <t>Predicting the Outcome of Limb Revascularization in Patients With Lower-extremity Arterial Trauma Development and External Validation of a Supervised Machine-learning Algorithm to Support Surgical Decisions</t>
  </si>
  <si>
    <t>decision-support; lower-extremity arterial trauma; risk prediction</t>
  </si>
  <si>
    <t>PROGNOSTIC-FACTORS; VASCULAR INJURY; SEVERITY SCORE; MANAGEMENT; AMPUTATION; MEDICINE; SALVAGE; TRIALS; SYSTEM; TIME</t>
  </si>
  <si>
    <t>Perkins, Zane/AAC-6949-2019; Marsh, David/JCE-1503-2023; Rasmussen, Todd/Y-2122-2019; Yet, Barbaros/L-8355-2018</t>
  </si>
  <si>
    <t>Perkins, Zane/0000-0003-4807-8803; Yet, Barbaros/0000-0003-4058-2677</t>
  </si>
  <si>
    <t>272</t>
  </si>
  <si>
    <t>564</t>
  </si>
  <si>
    <t>572</t>
  </si>
  <si>
    <t>10.1097/SLA.0000000000004132</t>
  </si>
  <si>
    <t>http://dx.doi.org/10.1097/SLA.0000000000004132</t>
  </si>
  <si>
    <t>RM1CZ</t>
  </si>
  <si>
    <t>32657917</t>
  </si>
  <si>
    <t>WOS:000639399600014</t>
  </si>
  <si>
    <t>Charman, SJ; Okwose, NC; Groenewegen, A; Del Franco, A; Tafelmeier, M; Preveden, A; Sebastian, CG; Fuller, AS; Sinclair, D; Edwards, D; Nelissen, AP; Malitas, P; Zisaki, A; Darba, J; Bosnic, Z; Vracar, P; Barlocco, F; Fotiadis, D; Banerjee, P; Macgowan, GA; Fernandez, O; Zamorano, J; Bravo, MJB; Maier, LS; Olivotto, I; Rutten, FH; Mant, J; Velicki, L; Seferovic, PM; Filipovic, N; Jakovljevic, DG; STRATIFYHF investigators</t>
  </si>
  <si>
    <t>Introduction Heart failure (HF) is a complex clinical syndrome. Accurate risk stratification and early diagnosis of HF are challenging as its signs and symptoms are non-specific. We propose to address this global challenge by developing the STRATIFYHF artificial intelligence-driven decision support system (DSS), which uses novel analytical methods in determining the risk, diagnosis and prognosis of HF. The primary aim of the present study is to collect prospective clinical data to validate the STRATIFYHF DSS (in terms of diagnostic accuracy, sensitivity and specificity) as a tool to predict the risk, diagnosis and progression of HF. The secondary outcomes are the demographic and clinical predictors of risk, diagnosis and progression of HF.Methods and analysis STRATIFYHF is a prospective, multicentre, longitudinal study that will recruit up to 1600 individuals (n=800 suspected/at risk of HF and n=800 diagnosed with HF) aged &gt;= 45 years old, with up to 24 months of follow-up observations. Individuals suspected of HF will be divided into two categories based on current definitions and predefined inclusion criteria. All participants will have their medical history recorded, along with data on physical examination (signs and symptoms), blood tests including serum natriuretic peptides levels, ECG and echocardiogram results, as well as demographic, socioeconomic and lifestyle data, and use of complete novel technologies (cardiac output response to stress test and voice recognition biomarkers). All measurements will be recorded at baseline and at 12-month follow-up, with medical history and hospitalisation also recorded at 24-month follow-up. Cardiovascular MRI assessment will be completed in a subset of participants (n=20-40) from eligible clinical centres only at baseline. Each clinical centre will recruit a subset of participants (n=30) who will complete a 6-month home-based monitoring of clinical characteristics and accelerometry (wrist-worn monitor) to determine the feasibility and acceptability of the STRATIFYHF mobile application. Focus groups and semistructured interviews will be conducted with up to 15 healthcare professionals and up to 20 study participants (10 at risk of HF and 10 diagnosed with HF) to explore the needs of patients and healthcare professionals prior to the development of the STRATIFYHF DSS and to evaluate the acceptability of this mobile application.Ethics and dissemination Ethical approval has been granted by the East Midlands - Leicester Central Research Ethics Committee (24/EM/0101). Dissemination activities will include journal publications and presentations at conferences, as well as development of training materials and delivery of focused training on the STRATIFYHF DSS and mobile application. We will develop and propose policy guidelines for integration of the STRATIFYHF DSS and mobile application into the standard of care in the HF care pathway.Trial registration number NCT06377319.</t>
  </si>
  <si>
    <t>Charman, Sarah Jane; Okwose, Nduka C.; Groenewegen, Amy; Del Franco, Annamaria; Tafelmeier, Maria; Preveden, Andrej; Sebastian, Cristina Garcia; Fuller, Amy S.; Sinclair, David; Edwards, Duncan; Nelissen, Anne Pauline; Malitas, Petros; Zisaki, Aikaterini; Darba, Josep; Bosnic, Zoran; Vracar, Petar; Barlocco, Fausto; Fotiadis, Dimitris; Banerjee, Prithwish; Macgowan, Guy A.; Fernandez, Oscar; Zamorano, Jose; Bravo, Marta Jimenez-Blanco; Maier, Lars S.; Olivotto, Iacopo; Rutten, Frans H.; Mant, Jonathan; Velicki, Lazar; Seferovic, Petar M.; Filipovic, Nenad; Jakovljevic, Djordje G.; STRATIFYHF investigators</t>
  </si>
  <si>
    <t>Jakovljevic, DG (corresponding author), Newcastle Univ, Translat &amp; Clin Res Inst, Newcastle Upon Tyne, England.; Jakovljevic, DG (corresponding author), Newcastle Tyne Hosp NHS Fdn Trust, Newcastle Upon Tyne, England.; Jakovljevic, DG (corresponding author), Coventry Univ Coventry Campus, Ctr Hlth &amp; Life Sci, Coventry, England.; Jakovljevic, DG (corresponding author), Univ Hosp Coventry &amp; Warwickshire NHS Trust, Coventry, England.</t>
  </si>
  <si>
    <t>Maria.Tafelmeier@klinik.uni-regensburg.de; david.r.sinclair@newcastle.ac.uk; Zoran.Bosnic@fri.uni-lj.si; ae2713@coventry.ac.uk; ad6707@coventry.ac.uk; iacopo.olivotto@unifi.it; jm677@medschl.cam.ac.uk; a.preveden@gmail.com; sarah.charman@newcastle.ac.uk; fica@kg.ac.rs; f.h.rutten@umcutrecht.nl; Lars.Maier@klinik.uni-regensburg.de; pnmalitas@pknmsolutions.ch; aikaterini.zisaki@pknmsolutions.ch; Petar.Vracar@fri.uni-lj.si; ad5287@coventry.ac.uk; cristina.garcias01@gmail.com; martajbb@gmail.com; dae31@medschl.cam.ac.uk; prithwish.banerjee@uhcw.nhs.uk; annamaria.delfranco@gmail.com; A.P.Nelissen@umcutrecht.nl; fausto.barlocco@unifi.it; guy.macgowan@nhs.net; a.groenewegen-11@umcutrecht.nl; lazar.velicki@ikvbv.ns.ac.rs; jdarba@bcnhealth.com; zamorano@secardiologia.es; Dimitris.Fotiadis.30@gmail.com; seferovic.petar@gmail.com; oscar.fernandez@nhs.net</t>
  </si>
  <si>
    <t>European Union [101080905, 23.00202]; Federal Department of Economic Affairs, Education and Research (EAER); State Secretariat for Education, Research and Innovation (SERI); Finance Research and Innovation/European Framework Programmes, for Suisse Confederation; UK Research and Innovation [10073472]</t>
  </si>
  <si>
    <t>European Union (European Union (EU)); Federal Department of Economic Affairs, Education and Research (EAER); State Secretariat for Education, Research and Innovation (SERI); Finance Research and Innovation/European Framework Programmes, for Suisse Confederation; UK Research and Innovation (UK Research &amp; Innovation (UKRI))</t>
  </si>
  <si>
    <t>The study received funding from the European Union's Horizon Europe research and innovation programme under grant agreement number 101080905, under the legal agreement as per STRATIFYHF SERI No 23.00202 with the Federal Department of Economic Affairs, Education and Research (EAER), State Secretariat for Education, Research and Innovation (SERI), and Finance Research and Innovation/European Framework Programmes, for Suisse Confederation and UK Research and Innovation grant award with reference number 10073472. The funders have no role/influence in the design of the study, prospective data collection, analyses, interpretation of data and drafting of the manuscript.</t>
  </si>
  <si>
    <t>[Charman, Sarah Jane; Jakovljevic, Djordje G.] Newcastle Univ, Translat &amp; Clin Res Inst, Newcastle Upon Tyne, England; [Charman, Sarah Jane; Macgowan, Guy A.; Fernandez, Oscar; Jakovljevic, Djordje G.] Newcastle Tyne Hosp NHS Fdn Trust, Newcastle Upon Tyne, England; [Okwose, Nduka C.; Fuller, Amy S.; Jakovljevic, Djordje G.] Coventry Univ Coventry Campus, Ctr Hlth &amp; Life Sci, Coventry, England; [Okwose, Nduka C.; Fuller, Amy S.; Jakovljevic, Djordje G.] Univ Hosp Coventry &amp; Warwickshire NHS Trust, Coventry, England; [Groenewegen, Amy; Nelissen, Anne Pauline; Rutten, Frans H.] Univ Med Ctr Utrecht, Julius Ctr Hlth Sci &amp; Primary Care, Dept Gen Practice, Utrecht, Netherlands; [Del Franco, Annamaria; Barlocco, Fausto] Careggi Univ Hosp, Florence, Italy; [Tafelmeier, Maria; Maier, Lars S.] Univ Hosp Regensburg, Dept Internal Med 2, Regensburg, Germany; [Preveden, Andrej; Velicki, Lazar] Univ Novi Sad, Fac Med, Novi Sad, Serbia; [Preveden, Andrej; Velicki, Lazar] Inst Cardiovasc Dis Vojvodina, Sremska Kamen, Serbia; [Sebastian, Cristina Garcia; Zamorano, Jose; Bravo, Marta Jimenez-Blanco] Hosp Univ Ramon &amp; Cajal, Madrid, Spain; [Sinclair, David] Newcastle Univ, Populat Hlth Sci Inst, Newcastle Upon Tyne, England; [Edwards, Duncan; Mant, Jonathan] Univ Cambridge, Dept Publ Hlth &amp; Primary Care, Primary Care Unit, Cambridge, England; [Malitas, Petros; Zisaki, Aikaterini] AquaVis Engn, Vaud, Switzerland; [Darba, Josep] Univ Barcelona, Dept Econ, Barcelona, Spain; [Bosnic, Zoran; Vracar, Petar] Univ Ljubljana, Fac Comp &amp; Informat Sci, Ljubljana, Slovenia; [Fotiadis, Dimitris] Fdn Res &amp; Technol Hellas, Hellas, Greece; [Banerjee, Prithwish] Univ Hosp Coventry &amp; Warwickshire NHS Trust, Coventry, England; [Macgowan, Guy A.] Newcastle Univ, Biosci Inst, Newcastle Upon Tyne, England; [Zamorano, Jose; Bravo, Marta Jimenez-Blanco] Inst Salud Carlos III, Ctr Invest Biomed Red CIBER CV, Madrid, Spain; [Olivotto, Iacopo] Univ Firenze, Expt &amp; Clin Med, Florence, Italy; [Seferovic, Petar M.] Univ Belgrade, Fac Med, Belgrade, Serbia; [Filipovic, Nenad] BioIRC, Res &amp; Dev Ctr Bioengn, Kragujevac, Serbia; [Filipovic, Nenad] Univ Kragujevac, Fac Mech Engn, Kragujevac, Serbia</t>
  </si>
  <si>
    <t>Newcastle University - UK; Newcastle Upon Tyne Hospitals NHS Foundation Trust; University of Warwick; Utrecht University; Utrecht University Medical Center; University of Florence; Azienda Ospedaliero Universitaria Careggi; University of Regensburg; University of Novi Sad; Hospital Universitario Ramon y Cajal; Newcastle University - UK; University of Cambridge; University of Barcelona; University of Ljubljana; Foundation for Research &amp; Technology - Hellas (FORTH); University of Warwick; Newcastle University - UK; Instituto de Salud Carlos III; University of Florence; University of Belgrade; University of Kragujevac</t>
  </si>
  <si>
    <t>Clinical validation of an artificial intelligence-based decision support system for diagnosis and risk stratification of heart failure (STRATIFYHF): a protocol for a prospective, multicentre longitudinal study</t>
  </si>
  <si>
    <t>Heart failure; Risk management; Artificial Intelligence; Clinical Decision-Making</t>
  </si>
  <si>
    <t>CARDIAC-OUTPUT; PRIMARY-CARE; BIOREACTANCE METHODS; EUROPEAN-SOCIETY; ACCURACY; BIOIMPEDANCE; ASSOCIATION; GUIDELINES; MANAGEMENT; CARDIOLOGY</t>
  </si>
  <si>
    <t>Banerjee, Prithwish/AFD-7587-2022; Velicki, Lazar/R-8001-2019; Maier, Lars/AAQ-8313-2021; Olivotto, Iacopo/AAC-5950-2022; Okwose, Nduka/AAA-7497-2020; Nelissen, Anne/LKN-6150-2024; Garcia Sebastian, Cristina/KFQ-4197-2024; Filipovic, Nenad/GSN-0499-2022</t>
  </si>
  <si>
    <t>Edwards, Duncan/0000-0003-1500-2108; Zisaki, Aikaterini/0009-0004-2292-3831; Groenewegen, Amy/0000-0003-2393-1927; Charman, Sarah/0000-0002-3029-7672; Sinclair, David R/0000-0002-3468-7475; Jakovljevic, Djordje/0000-0003-2686-6542; Fuller, Amy/0009-0008-1871-178X; Okwose, Nduka/0000-0003-0145-2538; Del Franco, Annamaria/0000-0003-1405-9436; MacGowan, Guy/0000-0002-2685-4165; Gonzalez-Fernandez, Oscar/0000-0003-3069-6101</t>
  </si>
  <si>
    <t>e091793</t>
  </si>
  <si>
    <t>10.1136/bmjopen-2024-091793</t>
  </si>
  <si>
    <t>http://dx.doi.org/10.1136/bmjopen-2024-091793</t>
  </si>
  <si>
    <t>R4X8U</t>
  </si>
  <si>
    <t>39773784</t>
  </si>
  <si>
    <t>WOS:001391507100001</t>
  </si>
  <si>
    <t>Tseng, SC; Lien, CE; Lee, CH; Tu, KC; Lin, CH; Hsiao, AY; Teng, S; Chiang, HH; Ke, LY; Han, CL; Lee, YC; Huang, AC; Yang, DJ; Tsai, CW; Chen, KH</t>
  </si>
  <si>
    <t>Screening for osteoporosis is crucial for early detection and prevention, yet it faces challenges due to the low accuracy of calcaneal quantitative ultrasound (QUS) and limited access to dual-energy X-ray absorptiometry (DXA) scans. Recent advances in AI offer a promising solution through opportunistic screening using existing medical images. This study aims to utilize deep learning techniques to develop a model that analyzes chest X-ray (CXR) images for osteoporosis screening. This study included the AI model development stage and the clinical validation stage. In the AI model development stage, the combined dataset of 5122 paired CXR images and DXA reports from the patients aged 20 to 98 years at a medical center was collected. The images were enhanced and filtered for hardware retention such as pedicle screws, bone cement, artificial intervertebral discs or severe deformity in target level of T12 and L1. The dataset was then separated into training, validating, and testing datasets for model training and performance validation. In the clinical validation stage, we collected 440 paired CXR images and DXA reports from both the TCVGH and Joy Clinic, including 304 pared data from TCVGH and 136 paired data from Joy Clinic. The pre-clinical test yielded an area under the curve (AUC) of 0.940, while the clinical validation showed an AUC of 0.946. Pearson's correlation coefficient was 0.88. The model demonstrated an overall accuracy, sensitivity, and specificity of 89.0%, 88.7%, and 89.4%, respectively. This study proposes an AI model for opportunistic osteoporosis screening through CXR, demonstrating good performance and suggesting its potential for broad adoption in preliminary screening among high-risk populations.</t>
  </si>
  <si>
    <t>Tseng, Sheng-Chieh; Lien, Chia-En; Lee, Cheng-Hung; Tu, Kao-Chang; Lin, Chia-Hui; Hsiao, Amy Y.; Teng, Shin; Chiang, Hsiao-Hung; Ke, Liang-Yu; Han, Chun-Lin; Lee, Yen-Cheng; Huang, An-Chih; Yang, Dun-Jhu; Tsai, Chung-Wen; Chen, Kun-Hui</t>
  </si>
  <si>
    <t>Chen, KH (corresponding author), Taichung Vet Gen Hosp, Dept Orthoped Surg, Taichung 40705, Taiwan.; Chen, KH (corresponding author), Natl Chung Hsing Univ, Coll Med, Dept Postbaccalaureate Med, Taichung 402202, Taiwan.; Chen, KH (corresponding author), Providence Univ, Dept Comp Sci &amp; Informat Engn, Taichung 40301, Taiwan.</t>
  </si>
  <si>
    <t>orthochen@gmail.com</t>
  </si>
  <si>
    <t>Acer Medical Inc. [IGA11004]</t>
  </si>
  <si>
    <t>Acer Medical Inc.</t>
  </si>
  <si>
    <t>This research was supported by Acer Medical Inc. under the grant IGA11004.</t>
  </si>
  <si>
    <t>[Tseng, Sheng-Chieh; Lee, Cheng-Hung; Tu, Kao-Chang; Chen, Kun-Hui] Taichung Vet Gen Hosp, Dept Orthoped Surg, Taichung 40705, Taiwan; [Tseng, Sheng-Chieh] Natl Chung Hsing Univ, Rong Hsing Res Ctr Translat Med, Taichung 402202, Taiwan; [Tseng, Sheng-Chieh] Natl Chung Hsing Univ, PhD Program Translat Med, Taichung 402202, Taiwan; [Lien, Chia-En; Hsiao, Amy Y.; Teng, Shin; Chiang, Hsiao-Hung] Acer Med Inc, 7F,86,Sec 1,Xintai 5th Rd Xizhi, New Taipei City 221421, Taiwan; [Lee, Cheng-Hung; Chen, Kun-Hui] Natl Chung Hsing Univ, Coll Med, Dept Postbaccalaureate Med, Taichung 402202, Taiwan; [Tu, Kao-Chang] Natl Chung Hsing Univ, Grad Inst Biomed Engn, Taichung 402202, Taiwan; [Lin, Chia-Hui] Natl Chung Hsing Univ, Dept Comp Sci &amp; Engn, Taichung 402202, Taiwan; [Ke, Liang-Yu; Han, Chun-Lin; Lee, Yen-Cheng; Huang, An-Chih; Yang, Dun-Jhu] Acer Inc, 7F-5,369,Fuxing N Rd, Taipei City 10541, Taiwan; [Tsai, Chung-Wen] Joy Clin, 37 Jilin Rd, Taoyuan City 338120, Taiwan; [Chen, Kun-Hui] Providence Univ, Dept Comp Sci &amp; Informat Engn, Taichung 40301, Taiwan</t>
  </si>
  <si>
    <t>Taichung Veterans General Hospital; National Chung Hsing University; National Chung Hsing University; National Chung Hsing University; National Chung Hsing University; National Chung Hsing University; Providence University - Taiwan</t>
  </si>
  <si>
    <t>Clinical Validation of a Deep Learning-Based Software for Lumbar Bone Mineral Density and T-Score Prediction from Chest X-ray Images</t>
  </si>
  <si>
    <t>osteoporosis; bone mineral density (BMD); chest X-ray; artificial intelligence; deep learning</t>
  </si>
  <si>
    <t>RISK-ASSESSMENT; EARLY-DIAGNOSIS; FRACTURE RISK; OSTEOPOROSIS; ABSORPTIOMETRY; MANAGEMENT; MODEL; QUS</t>
  </si>
  <si>
    <t>HAN, CHUNLIN/LGY-2911-2024</t>
  </si>
  <si>
    <t>Huang, Anchih/0009-0003-6266-2368; Tseng, Sheng-Chieh/0000-0003-0711-293X</t>
  </si>
  <si>
    <t>1208</t>
  </si>
  <si>
    <t>10.3390/diagnostics14121208</t>
  </si>
  <si>
    <t>http://dx.doi.org/10.3390/diagnostics14121208</t>
  </si>
  <si>
    <t>WJ3U3</t>
  </si>
  <si>
    <t>38928624</t>
  </si>
  <si>
    <t>WOS:001254472000001</t>
  </si>
  <si>
    <t>Hu, B; Shi, Z; Lu, L; Miao, ZC; Wang, H; Zhou, Z; Zhang, FD; Wang, RP; Luo, X; Xu, F; Li, S; Fang, XM; Wang, XD; Yan, G; Lv, FJ; Zhang, M; Sun, Q; Cui, GB; Liu, YB; Zhang, S; Pan, CW; Hou, ZB; Liang, HY; Pan, YN; Chen, XX; Li, XR; Zhou, F; Schoepf, UJ; Varga-Szemes, A; Moore, WG; Yu, YZ; Hu, CF; Zhang, LJ</t>
  </si>
  <si>
    <t>Background Artificial intelligence (AI) models in real -world implementation are scarce. Our study aimed to develop a CT angiography (CTA)-based AI model for intracranial aneurysm detection, assess how it helps clinicians improve diagnostic performance, and validate its application in real -world clinical implementation. Methods We developed a deep-learning model using 16 546 head and neck CTA examination images from 14 517 patients at eight Chinese hospitals. Using an adapted, stepwise implementation and evaluation, 120 certified clinicians from 15 geographically different hospitals were recruited. Initially, the AI model was externally validated with images of 900 digital subtraction angiography-verified CTA cases (examinations) and compared with the performance of 24 clinicians who each viewed 300 of these cases (stage 1). Next, as a further external validation a multi-reader multi -case study enrolled 48 clinicians to individually review 298 digital subtraction angiography-verified CTA cases (stage 2). The clinicians reviewed each CTA examination twice (ie, with and without the AI model), separated by a 4-week washout period. Then, a randomised open -label comparison study enrolled 48 clinicians to assess the acceptance and performance of this AI model (stage 3). Finally, the model was prospectively deployed and validated in 1562 real -world clinical CTA cases. Findings The AI model in the internal dataset achieved a patient-level diagnostic sensitivity of 0&lt;middle dot&gt;957 (95% CI 0&lt;middle dot&gt;939-0&lt;middle dot&gt;971) and a higher patient-level diagnostic sensitivity than clinicians (0&lt;middle dot&gt;943 [0&lt;middle dot&gt;921-0&lt;middle dot&gt;961] vs 0&lt;middle dot&gt;658 [0&lt;middle dot&gt;644-0&lt;middle dot&gt;672]; p&lt;0&lt;middle dot&gt;0001) in the external dataset. In the multi-reader multi -case study, the AI-assisted strategy improved clinicians' diagnostic performance both on a per -patient basis (the area under the receiver operating characteristic curves [AUCs]; 0&lt;middle dot&gt;795 [0&lt;middle dot&gt;761-0&lt;middle dot&gt;830] without AI vs 0&lt;middle dot&gt;878 [0&lt;middle dot&gt;850-0&lt;middle dot&gt;906] with AI; p&lt;0&lt;middle dot&gt;0001) and a peraneurysm basis (the area under the weighted alternative free-response receiver operating characteristic curves; 0&lt;middle dot&gt;765 [0&lt;middle dot&gt;732-0&lt;middle dot&gt;799] vs 0&lt;middle dot&gt;865 [0&lt;middle dot&gt;839-0&lt;middle dot&gt;891]; p&lt;0&lt;middle dot&gt;0001). Reading time decreased with the aid of the AI model (87&lt;middle dot&gt;5 s vs 82&lt;middle dot&gt;7 s, p&lt;0&lt;middle dot&gt;0001). In the randomised open -label comparison study, clinicians in the AI-assisted group had a high acceptance of the AI model (92&lt;middle dot&gt;6% adoption rate), and a higher AUC when compared with the control group (0&lt;middle dot&gt;858 [95% CI 0&lt;middle dot&gt;850-0&lt;middle dot&gt;866] vs 0&lt;middle dot&gt;789 [0&lt;middle dot&gt;780-0&lt;middle dot&gt;799]; p&lt;0&lt;middle dot&gt;0001). In the prospective study, the AI model had a 0&lt;middle dot&gt;51% (8/1570) error rate due to poor-quality CTA images and recognition failure. The model had a high negative predictive value of 0&lt;middle dot&gt;998 (0&lt;middle dot&gt;994-1&lt;middle dot&gt;000) and significantly improved the diagnostic performance of clinicians; AUC improved from 0&lt;middle dot&gt;787 (95% CI 0&lt;middle dot&gt;766-0&lt;middle dot&gt;808) to 0&lt;middle dot&gt;909 (0&lt;middle dot&gt;894-0&lt;middle dot&gt;923; p&lt;0&lt;middle dot&gt;0001) and patient-level sensitivity improved from 0&lt;middle dot&gt;590 (0&lt;middle dot&gt;511-0&lt;middle dot&gt;666) to 0&lt;middle dot&gt;825 (0&lt;middle dot&gt;759-0&lt;middle dot&gt;880; p&lt;0&lt;middle dot&gt;0001).Interpretation This AI model demonstrated strong clinical potential for intracranial aneurysm detection with improved clinician diagnostic performance, high acceptance, and practical implementation in real -world clinical cases.</t>
  </si>
  <si>
    <t>Hu, Bin; Shi, Zhao; Lu, Li; Miao, Zhongchang; Wang, Hao; Zhou, Zhen; Zhang, Fandong; Wang, Rongpin; Luo, Xiao; Xu, Feng; Li, Sheng; Fang, Xiangming; Wang, Xiaodong; Yan, Ge; Lv, Fajin; Zhang, Meng; Sun, Qiu; Cui, Guangbin; Liu, Yubao; Zhang, Shu; Pan, Chengwei; Hou, Zhibo; Liang, Huiying; Pan, Yuning; Chen, Xiaoxia; Li, Xiaorong; Zhou, Fei; Schoepf, U. Joseph; Varga-Szemes, Akos; Moore, W. Garrison; Yu, Yizhou; Hu, Chunfeng; Zhang, Long Jiang</t>
  </si>
  <si>
    <t>Zhang, LJ (corresponding author), Nanjing Univ, Jinling Hosp, Affiliated Hosp, Dept Radiol,Med Sch, Nanjing 210002, Peoples R China.</t>
  </si>
  <si>
    <t>kevinzhlj@nju.edu.cn</t>
  </si>
  <si>
    <t>Funding National Natural Science Foundation of China.</t>
  </si>
  <si>
    <t>[Hu, Bin; Shi, Zhao; Zhang, Long Jiang] Nanjing Univ, Jinling Hosp, Affiliated Hosp, Dept Radiol,Med Sch, Nanjing, Peoples R China; [Lu, Li; Hu, Chunfeng] Xuzhou Med Univ, Dept Radiol, Affiliated Hosp, Xuzhou, Jiangsu, Peoples R China; [Miao, Zhongchang] First Peoples Hosp Guannan Cty, Dept Med Imaging, Lianyungang, Jiangsu, Peoples R China; [Wang, Hao; Zhou, Zhen; Zhang, Fandong; Zhang, Shu] Deepwise Artificial Intelligence AI Lab, Beijing, Peoples R China; [Wang, Rongpin] Guizhou Prov Peoples Hosp, Dept Med Imaging, Guiyang, Guizhou, Peoples R China; [Luo, Xiao] Maanshan Peoples Hosp, Dept Radiol, Maanshan, Anhui, Peoples R China; [Xu, Feng] Nanjing Med Univ, Dept Med Imaging, Affiliated Suqian First Peoples Hosp, Suqian, Jiangsu, Peoples R China; [Li, Sheng] Hubei Univ Med, Taihe Hosp, Dept Radiol, Shiyan, Hubei, Peoples R China; [Fang, Xiangming] Nanjing Med Univ, Affiliated Wuxi Peoples Hosp, Dept Med Imaging, Wuxi, Jiangsu, Peoples R China; [Wang, Xiaodong] Ningxia Med Univ, Gen Hosp, Dept Radiol, Yinchuan, Ningxia, Peoples R China; [Yan, Ge] Xi An Jiao Tong Univ, Dept Med Imaging, Affiliated Hosp 1, Xian, Peoples R China; [Lv, Fajin] Chongqing Med Univ, Dept Radiol, Affiliated Hosp 1, Chongqing, Peoples R China; [Zhang, Meng] Sanya Peoples Hosp, Dept Radiol, Sanya, Hainan, Peoples R China; [Sun, Qiu] Lanzhou Univ Second Hosp, Dept Radiol, Lanzhou, Gansu, Peoples R China; [Cui, Guangbin] Fourth Mil Med Univ, Mil Med Univ 4, Tangdu Hosp, Dept Radiol, Xian, Shaanxi, Peoples R China; [Liu, Yubao] Southern Med Univ, Shenzhen Hosp, Med Imaging Ctr, Shenzhen, Guangdong, Peoples R China; [Pan, Chengwei] Beihang Univ, Inst Artificial Intelligence, Beijing, Peoples R China; [Hou, Zhibo] Peking Univ Shougang Hosp, Med Imaging Ctr, Dept Radiol, Beijing, Peoples R China; [Liang, Huiying] Guangdong Prov Peoples Hosp, Med Big Data Ctr, Guangzhou 510317, Peoples R China; [Pan, Yuning] Ningbo First Hosp, Dept Radiol, Ningbo, Zhejiang, Peoples R China; [Chen, Xiaoxia] Chinese Peoples Liberat Army Gen Hosp, Ctr Med Ctr 3, Dept Radiol, Beijing, Peoples R China; [Li, Xiaorong] Gen Hosp Southern Theater Command, Dept Radiol, PLA, Guangzhou, Guangdong, Peoples R China; [Zhou, Fei] Cent Hosp Jilin City, Dept Radiol, Jilin, Peoples R China; [Schoepf, U. Joseph; Varga-Szemes, Akos; Moore, W. Garrison] Med Univ South Carolina, Dept Radiol &amp; Radiol Sci, Div Cardiovasc Imaging, Charleston, SC USA; [Yu, Yizhou] Univ Hong Kong, Dept Comp Sci, Hong Kong, Peoples R China; [Zhang, Long Jiang] Nanjing Univ, Jinling Hosp, Affiliated Hosp, Dept Radiol,Med Sch, Nanjing 210002, Peoples R China</t>
  </si>
  <si>
    <t>Nanjing University; Xuzhou Medical University; Nanjing Medical University; Hubei University of Medicine; Nanjing Medical University; Ningxia Medical University; Xi'an Jiaotong University; Chongqing Medical University; Air Force Medical University; Southern Medical University - China; Beihang University; Peking University; Guangdong Academy of Medical Sciences &amp; Guangdong General Hospital; Ningbo University; Chinese People's Liberation Army General Hospital; Southern Theater Command General Hospital; Medical University of South Carolina; University of Hong Kong; Nanjing University</t>
  </si>
  <si>
    <t>China Aneursym AI Project Grp</t>
  </si>
  <si>
    <t>A deep-learning model for intracranial aneurysm detection on CT angiography images in China: a stepwise, multicentre, early-stage clinical validation study</t>
  </si>
  <si>
    <t>HEALTH-CARE PROFESSIONALS; MANAGEMENT; DIAGNOSIS; PREVALENCE; GUIDELINES; ACCURACY; HISTORY</t>
  </si>
  <si>
    <t>Hu, Bin/HDO-5077-2022; Varga-Szemes, Akos/AAI-9849-2020; Zhang, Long Jiang/MYA-8242-2025; Xu, Feng/AFN-9478-2022; Luo, Xiao/IYS-9183-2023</t>
  </si>
  <si>
    <t>Hu, Bin/0000-0002-6074-4322; Zhang, Long Jiang/0000-0002-6664-7224; Luo, Xiao/0000-0001-9807-0725</t>
  </si>
  <si>
    <t>e261</t>
  </si>
  <si>
    <t>e271</t>
  </si>
  <si>
    <t>10.1016/S2589-7500(23)00268-6</t>
  </si>
  <si>
    <t>http://dx.doi.org/10.1016/S2589-7500(23)00268-6</t>
  </si>
  <si>
    <t>RO2D9</t>
  </si>
  <si>
    <t>38519154</t>
  </si>
  <si>
    <t>WOS:001228530300001</t>
  </si>
  <si>
    <t>Goens, C; Apey, C; San Martín, T; Bustíos, N; Lira, MJ; Pozdeyev, N</t>
  </si>
  <si>
    <t>Introduction Ultrasound evaluation of thyroid nodules shows significant interobserver variability, contributing to the overutilization of fine-needle aspiration biopsy (FNA). Standardized systems such as TI-RADS aim to reduce this variability; however, their performance in real-world clinical practice remains heterogeneous. Artificial intelligence (AI) has emerged as a potential tool to support clinical decision-making in this setting.Objective To evaluate the clinical performance of an artificial intelligence model for recommending FNA in thyroid nodules and to compare it with ACR TI-RADS and Horvath TI-RADS classifications applied by specialists.Materials and methods A retrospective cross-sectional study evaluating the clinical performance of an artificial intelligence model for FNA recommendation was conducted in adult patients who underwent thyroid ultrasound and FNA between January and December 2021. FNA recommendations generated by an AI model were compared with those issued by an expert radiologist and an expert endocrinologist using ACR TI-RADS and Horvath TI-RADS systems. The reference standard was cytology according to the Bethesda System, considering Bethesda &gt;= III as a positive result, as an operational definition aligned with clinical decision-making for further diagnostic evaluation. Diagnostic performance metrics and concordance were calculated.Results A total of 101 patients were included (89.1% women), with a median age of 61 years and a median nodule size of 2.3 cm (IQR: 1.6-3.3). The AI model showed a sensitivity of 0.88 and a specificity of 0.41. Horvath TI-RADS, applied by an expert radiologist, demonstrated a sensitivity of 0.82 and a specificity of 0.69. Concordance between AI and TI-RADS-based methods were moderate.Conclusion In a real-world clinical setting, the AI model demonstrated performance comparable to that of human specialists for recommending FNA in thyroid nodules. These findings support its potential role as a complementary decision-support tool, particularly in settings with variability in ultrasound interpretation.</t>
  </si>
  <si>
    <t>Goens, Cristina; Apey, Camilo; San Martin, Tomas; Bustios, Nicole; Lira, Maria Jesus; Pozdeyev, Nikita</t>
  </si>
  <si>
    <t>Goens, C (corresponding author), Hosp Dra Eloisa Diaz, Endocrinol Dept, Santiago, Chile.; Goens, C (corresponding author), Univ Finis Terrae, Fac Med, Dept Internal Med, Santiago, Chile.</t>
  </si>
  <si>
    <t>mcristina.goens@hospitallaflorida.cl</t>
  </si>
  <si>
    <t>[Goens, Cristina; Bustios, Nicole] Hosp Dra Eloisa Diaz, Endocrinol Dept, Santiago, Chile; [Goens, Cristina] Univ Finis Terrae, Fac Med, Dept Internal Med, Santiago, Chile; [Apey, Camilo] Hosp Dra Eloisa Diaz, Radiol Dept, Santiago, Chile; [Apey, Camilo] Clin Alemana Santiago, Dept Radiol, Santiago, Chile; [San Martin, Tomas] Clin Santa Maria, Dept Med Oncol, Santiago, Chile; [Lira, Maria Jesus] Pontificia Univ Catolica Chile, Dept Orthoped &amp; Traumatol, Santiago, Chile; [Pozdeyev, Nikita] Univ Colorado, Sch Med, Dept Biomed Informat, Div Endocrinol Diabet &amp; Metab, Aurora, CO USA</t>
  </si>
  <si>
    <t>Universidad Finis Terrae; Clinica Alemana; Pontificia Universidad Catolica de Chile; University of Colorado System; University of Colorado Anschutz</t>
  </si>
  <si>
    <t>Clinical validation of an artificial intelligence model for thyroid fine-needle aspiration biopsy indication: comparison with TI-RADS systems and human specialists in a Chilean public hospital</t>
  </si>
  <si>
    <t>Artificial intelligence; biopsy; fine-needle; diagnostic imaging; risk assessment; thyroid nodule</t>
  </si>
  <si>
    <t>ASSOCIATION MANAGEMENT GUIDELINES; ADULT PATIENTS; CANCER; INCIDENTALOMAS; NODULES</t>
  </si>
  <si>
    <t>Lira, Maria Jesus/GVR-8310-2022</t>
  </si>
  <si>
    <t>1809473</t>
  </si>
  <si>
    <t>10.3389/fendo.2026.1809473</t>
  </si>
  <si>
    <t>http://dx.doi.org/10.3389/fendo.2026.1809473</t>
  </si>
  <si>
    <t>II3YQ</t>
  </si>
  <si>
    <t>42199792</t>
  </si>
  <si>
    <t>WOS:001772411700001</t>
  </si>
  <si>
    <t>Yen, HK; Ogink, PT; Huang, CC; Groot, OQ; Su, CC; Chen, SF; Chen, CW; Karhade, AV; Peng, KP; Lin, WH; Chiang, HS; Yang, JJ; Dai, SH; Yen, MH; Verlaan, JJ; Schwab, JH; Wong, TH; Yang, SH; Hu, MH</t>
  </si>
  <si>
    <t>BACKGROUND CONTEXT: Preoperative prediction of prolonged postoperative opioid prescription helps identify patients for increased surveillance after surgery. The SORG machine learning model has been developed and successfully tested using 5,413 patients from the United States (US) to predict the risk of prolonged opioid prescription after surgery for lumbar disc herniation. However, external validation is an often-overlooked element in the process of incorporating prediction models in current clinical practice. This cannot be stressed enough in prediction models where medicolegal and cultural differences may play a major role. PURPOSE: The authors aimed to investigate the generalizability of the US citizens prediction model SORG to a Taiwanese cohort. STUDY DESIGN: Retrospective study at a large academic medical center in Taiwan. PATIENT SAMPLE: Of 1,316 patients who were 20 years or older undergoing initial operative management for lumbar disc herniation between 2010 and 2018. OUTCOME MEASURES: The primary outcome of interest was prolonged opioid prescription defined as continuing opioid prescription to at least 90 to 180 days after the first surgery for lumbar disc herniation at our institution. METHODS: Baseline characteristics were compared between the external validation cohort and the original developmental cohorts. Discrimination (area under the receiver operating characteristic curve and the area under the precision-recall curve), calibration, overall performance (Brier score), and decision curve analysis were used to assess the performance of the SORG ML algorithm in the validation cohort. This study had no funding source or conflict of interests. RESULTS: Overall, 1,316 patients were identified with sustained postoperative opioid prescription in 41 (3.1%) patients. The validation cohort differed from the development cohort on several variables including 93% of Taiwanese patients receiving NSAIDS preoperatively compared with 22% of US citizens patients, while 30% of Taiwanese patients received opioids versus 25% in the US. Despite these differences, the SORG prediction model retained good discrimination (area under the receiver operating characteristic curve of 0.76 and the area under the precision-recall curve of 0.33) and good overall performance (Brier score of 0.028 compared with null model Brier score of 0.030) while somewhat overestimating the chance of prolonged opioid use (calibration slope of 1.07 and calibration intercept of-0.87). Decision-curve analysis showed the SORG model was suitable for clinical use. CONCLUSIONS: Despite differences at baseline and a very strict opioid policy, the SORG algorithm for prolonged opioid use after surgery for lumbar disc herniation has good discriminative abilities and good overall performance in a Han Chinese patient group in Taiwan. This freely available digital application can be used to identify high-risk patients and tailor prevention policies for these patients that may mitigate the long-term adverse consequence of opioid dependence: https:// sorg-apps.shinyapps.io/lumbardiscopioid/. (c) 2022 Elsevier Inc. All rights reserved.</t>
  </si>
  <si>
    <t>Yen, Hung-Kuan; Ogink, Paul T.; Huang, Chuan-Ching; Groot, Olivier Q.; Su, Chih-Chi; Chen, Shin-Fu; Chen, Chih-Wei; V. Karhade, Aditya; Peng, Kuang-Ping; Lin, Wei-Hsin; Chiang, HongSen; Yang, Jiun-Jen; Dai, Shih-Hsiang; Yen, Mao-Hsu; Verlaan, Jorrit-Jan; Schwab, Joseph H.; Wong, Tze-Hong; Yang, Shu-Hua; Hu, Ming-Hsiao</t>
  </si>
  <si>
    <t>Hu, MH (corresponding author), Natl Taiwan Univ Hosp, Dept Orthopaed Surg, 1 Jen Ai Rd, Taipei, Taiwan.; Hu, MH (corresponding author), Coll Med, 1 Jen Ai Rd, Taipei, Taiwan.</t>
  </si>
  <si>
    <t>[Yen, Hung-Kuan; Huang, Chuan-Ching; Chen, Chih-Wei; Peng, Kuang-Ping; Lin, Wei-Hsin; Chiang, HongSen; Yen, Mao-Hsu; Yang, Shu-Hua; Hu, Ming-Hsiao] Natl Taiwan Univ Hosp, Dept Orthopaed Surg, Taiwan Address 7,Zhongshan S Rd, Taipei City, Taiwan; [Yen, Hung-Kuan; Peng, Kuang-Ping; Wong, Tze-Hong] Natl Taiwan Univ Hosp, Dept Med Educ, Hsin Chu Branch, Taiwan Address 25,Ln 442,Sec 1,Jingguo Rd, Hsinchu, Taiwan; [Yen, Hung-Kuan] Natl Taiwan Univ Hosp, Dept Orthopaed Surg, Hsin Chu Branch, Taiwan Address 25,Ln 442,Sec 1,Jingguo Rd, Hsinchu, Taiwan; [Ogink, Paul T.; Groot, Olivier Q.; Verlaan, Jorrit-Jan] Univ Med Ctr Utrecht, Dept Orthopaed, Netherlands Address Heidelberglaan 100, NL-3584 CX Utrecht, Netherlands; [Groot, Olivier Q.; V. Karhade, Aditya; Schwab, Joseph H.] Massachusetts Gen Hosp, Dept Orthopaed Surg, Address Yawkey Bldg,55 Fruit St, Boston, MA USA; [Su, Chih-Chi; Chen, Shin-Fu; Yang, Jiun-Jen] Natl Taiwan Univ Hosp, Dept Med Educ, Taiwan Address 7,Zhongshan S Rd, Taipei City, Taiwan; [Dai, Shih-Hsiang] Natl Taiwan Univ, Dept Int Business, Taiwan Address 1,Sec 4,Roosevelt Rd, Taipei City, Taiwan; [Yen, Mao-Hsu] Natl Taiwan Ocean Univ, Dept Comp Sci &amp; Engn, Taiwan Addres 2,Beining Rd, Keelung City 202301, Taiwan; [Hu, Ming-Hsiao] Natl Taiwan Univ Hosp, Dept Orthopaed Surg, 1 Jen Ai Rd, Taipei, Taiwan; [Hu, Ming-Hsiao] Coll Med, 1 Jen Ai Rd, Taipei, Taiwan</t>
  </si>
  <si>
    <t>National Taiwan University; National Taiwan University Hospital; National Taiwan University Hospital; National Taiwan University; National Taiwan University Hospital; National Taiwan University Hospital; National Taiwan University; National Taiwan University Hospital; National Taiwan University Hospital; Utrecht University; Utrecht University Medical Center; Massachusetts General Hospital; Harvard University; Harvard University Medical Affiliates; Massachusetts General Hospital; National Taiwan University; National Taiwan University Hospital; National Taiwan University Hospital; National Taiwan University; National Taiwan Ocean University; National Taiwan University; National Taiwan University Hospital; National Taiwan University Hospital</t>
  </si>
  <si>
    <t>A machine learning algorithm for predicting prolonged postoperative opioid prescription after lumbar disc herniation surgery. An external validation study using 1,316 patients from a Taiwanese cohort</t>
  </si>
  <si>
    <t>Opioid prescription; Lumbar disc herniation surgery; Machine learning; External validation; Asian cohort</t>
  </si>
  <si>
    <t>NONCANCER PAIN; ANALGESIC USE; CONSUMPTION; RISK; BENZODIAZEPINES; CURVE</t>
  </si>
  <si>
    <t>CHEN, CHIH-WEI/0000-0002-9309-5824; HUITRON, EFREN/0009-0008-2046-3359; Yang, Jiun-Jen/0000-0002-3116-3510; Schwab, Joseph/0000-0002-2059-7559; Huang, Chuan-Ching/0000-0002-8184-9860; Yen, Hung-Kuan/0000-0003-4381-2220; YANG, SHU-HUA/0000-0002-9879-0164; LIN, WEI-HSIN/0000-0001-6291-392X; Chiang, Hongsen/0000-0001-8781-5146; HU, MING-HSIAO/0000-0001-8920-2052; Karhade, Aditya/0000-0002-6026-4361</t>
  </si>
  <si>
    <t>1119</t>
  </si>
  <si>
    <t>1130</t>
  </si>
  <si>
    <t>10.1016/j.spinee.2022.02.009</t>
  </si>
  <si>
    <t>http://dx.doi.org/10.1016/j.spinee.2022.02.009</t>
  </si>
  <si>
    <t>2L5GK</t>
  </si>
  <si>
    <t>35202784</t>
  </si>
  <si>
    <t>WOS:000817045100007</t>
  </si>
  <si>
    <t>Xue, M; Liu, SF; Zhang, XQ; Zhang, ZX; Niu, WQ</t>
  </si>
  <si>
    <t>Background The multifactorial mechanisms driving childhood obesity, a global public health challenge, are yet to be fully elucidated. We aimed to develop and externally validate three widely applied machine learning models alongside logistic regression in 2-18-year-old children and adolescents in Beijing and Tangshan to predict obesity risk. As a further step, we wanted to interpret the optimised model and translate it into a web-based tool to inform clinical decision-making. Methods We analysed data of 19 024 (training/testing) and 2410 (external validation) children and adolescents from Beijing and Tangshan, respectively. Using a set of factors including demographic, familial, socioeconomic, lifestyle, and perinatal variables, we developed four models (light gradient boosting machine, random forest, eXtreme gradient boosting (XGBoost), and logistic regression) and compared their predictive performance. After validation, we selected an optimised model and interpreted it using SHapley Additive exPlanations (SHAP) analysis. Then, we developed an online calculator with interpretable visualisations to enable real-time risk assessment. Results The XGBoost model exhibited superior performance, with an area under the receiver operating characteristic curve (AUROC) of 0.875 on the external validation set, significantly outperforming the logistic regression model (AUROC = 0.718). To identify the minimal feature subset that maintained model efficacy, we incrementally incorporated predictors in the descending order of SHAP importance values while assessing key performance metrics (accuracy, AUROC, and F-beta score). This SHAP-based analysis identified nine key predictors of childhood obesity: birth length, paternal body mass index (BMI), maternal BMI, sleep duration, physical activity, birth weight, maternal age at delivery, delivery mode, and gestational age. The deployed online tool provides individualised risk probabilities and SHAP-derived explanations. Conclusions The XGBoost model in our study was the superior ensemble learning method for predicting childhood obesity. The digital tool integrates this model and can help clinical practitioners determine individuals' risk of childhood obesity.</t>
  </si>
  <si>
    <t>Xue, Mei; Liu, Shufang; Zhang, Xiaoqian; Zhang, Zhinxin; Niu, Wenquan</t>
  </si>
  <si>
    <t>Zhang, ZX (corresponding author), China Japan Friendship Hosp, Inst Clin Med Sci, 2 Yinghua East St, Beijing, Peoples R China.; Niu, WQ (corresponding author), Capital Inst Paediat, Ctr Evidence Based Med, 2 Yabao Rd, Beijing, Peoples R China.</t>
  </si>
  <si>
    <t>zhangzhixin032@163.com; niuwenquan_shcn@163.com</t>
  </si>
  <si>
    <t>National Natural Science Foundation of China [42371429]; Capital's Funds for Health Improvement and Research [2024-2-1133]; Public Service Development and Reform Pilot Project of Beijing Medical Research Institute</t>
  </si>
  <si>
    <t>National Natural Science Foundation of China (National Natural Science Foundation of China (NSFC)); Capital's Funds for Health Improvement and Research; Public Service Development and Reform Pilot Project of Beijing Medical Research Institute</t>
  </si>
  <si>
    <t>Funding: This work was supported by the National Natural Science Foundation of China (grant number: 42371429) , the Capital's Funds for Health Improvement and Research (grant number: 2024-2-1133) , and the Public Service Development and Reform Pilot Project of Beijing Medical Research Institute (WN) .</t>
  </si>
  <si>
    <t>[Xue, Mei] Beijing Univ Chinese Med, Grad Sch, Beijing, Peoples R China; [Xue, Mei; Liu, Shufang] China Japan Friendship Hosp, Dept Pediat, Beijing, Peoples R China; [Zhang, Xiaoqian] Capital Med Univ, Beijing Childrens Hosp, Natl Ctr Childrens Hlth, Dept Tradit Chinese Med, Beijing, Peoples R China; [Zhang, Zhinxin] China Japan Friendship Hosp, Inst Clin Med Sci, 2 Yinghua East St, Beijing, Peoples R China; [Niu, Wenquan] Capital Med Univ, Capital Inst Pediat, Ctr Evidence Based Med, Capital Ctr Childrens Hlth, Beijing, Peoples R China</t>
  </si>
  <si>
    <t>Beijing University of Chinese Medicine; China-Japan Friendship Hospital; Capital Medical University; China-Japan Friendship Hospital; Capital Institute of Pediatrics (CIP); Capital Medical University</t>
  </si>
  <si>
    <t>Development and external validation of an interpretable machine learning-based model for obesity risk prediction in 2-18-year-old children and adolescents in Beijing and Tangshan</t>
  </si>
  <si>
    <t>JOURNAL OF GLOBAL HEALTH</t>
  </si>
  <si>
    <t>Chinese Medicine; Beijing; China; Capital Medicine University; National; China-Japan Friendship Hospital; `Joint senior authorship.</t>
  </si>
  <si>
    <t>CHILDHOOD OBESITY; INFANT GROWTH; SLEEP; FETAL; AGE</t>
  </si>
  <si>
    <t>INT SOC GLOBAL HEALTH</t>
  </si>
  <si>
    <t>EDINBURGH</t>
  </si>
  <si>
    <t>CALEDONIAN EXCHANGE, 19A CANNING ST, EDINBURGH, Lothian, ENGLAND</t>
  </si>
  <si>
    <t>2047-2978</t>
  </si>
  <si>
    <t>2047-2986</t>
  </si>
  <si>
    <t>J GLOB HEALTH</t>
  </si>
  <si>
    <t>J. Glob. Health</t>
  </si>
  <si>
    <t>04031</t>
  </si>
  <si>
    <t>10.7189/jogh.16.04031</t>
  </si>
  <si>
    <t>http://dx.doi.org/10.7189/jogh.16.04031</t>
  </si>
  <si>
    <t>CJ7ND</t>
  </si>
  <si>
    <t>41543512</t>
  </si>
  <si>
    <t>WOS:001667434600001</t>
  </si>
  <si>
    <t>Gu, Y; Xu, WM; Xu, J; Sun, Y; Xin, J; Ma, MX</t>
  </si>
  <si>
    <t>Objective This study aimed to create and validate a machine learning (ML) model for predicting the risk of multidrug-resistant (MDR) infection in critically ill patients with acute exacerbation of chronic obstructive pulmonary disease (AECOPD) admitted to the intensive care unit (ICU).Methods Data from patients diagnosed with AECOPD were retrospectively extracted from the Medical Information Mart for Intensive Care-IV (MIMIC-IV) database. A total of 1,018 patients were split at a 7:3 ratio into a training set (n = 712) for model development and an internal validation set (n = 306). MDR occurrence served as the outcome. Features were selected with the Boruta algorithm and least absolute shrinkage and selection operator (LASSO). Five ML algorithms-XGBoost, support vector machine (SVM), LightGBM, CatBoost, and Gaussian na &amp; iuml;ve Bayes (NB)-were trained with 10-fold cross-validation. Model performance was evaluated by the area under the receiver operating characteristic curve (AUC), accuracy, sensitivity, specificity, F1 score, calibration plot, decision curve, and clinical impact curve. An external validation cohort of 324 AECOPD patients admitted to the Affiliated Hospital of Jiangsu University between January 2024 and October 2025 was collected. The best-performing model was interpreted with Shapley Additive exPlanations (SHAP) to clarify feature importance and decision logic, and a nomogram was constructed to increase readability.Results Boruta identified SpO(2), RBC, hemoglobin, hematocrit, blood urea nitrogen, creatinine, Nbpd, and Nbpm as significant predictors. The LightGBM outperformed the other algorithms: in the internal validation set, it achieved 78.9% accuracy, 90.5% sensitivity, 87.3% specificity, 60.5% F1 score, and an AUC of 0.966 (95% CI 0.951-0.981); in the external validation set, it reached 74.4% accuracy, 71.1% sensitivity, 77.8% specificity, 58.7% F1 score, and an AUC of 0.926 (95% CI 0.895-0.958). SHAP analysis indicated that hematocrit and SpO(2) were the primary drivers of model decisions. Interactive and dynamic nomograms were successfully developed.Conclusion Multidrug-resistant occurrence in AECOPD patients was associated with SpO(2), RBC, hemoglobin, hematocrit, blood urea nitrogen, creatinine, Nbpd, and Nbpm. The LightGBM model demonstrated good discriminative ability but limited sensitivity for detecting positive cases, offering potential value as a rule-out screening tool for MDR risk in critically ill AECOPD patients admitted to ICU.</t>
  </si>
  <si>
    <t>Gu, Yu; Xu, Weiming; Xu, Jing; Sun, Yan; Xin, Jiang; Ma, Minxuan</t>
  </si>
  <si>
    <t>Xin, J (corresponding author), Yangzhou Univ, Baoying Peoples Hosp, Dept Clin Med, Baoying Clin Med Coll, Yangzhou, Jiangsu, Peoples R China.; Ma, MX (corresponding author), Jiangsu Univ, Dept Hosp Acquired Infect Control, Affiliated Hosp, Zhenjiang, Jiangsu, Peoples R China.</t>
  </si>
  <si>
    <t>339214272@qq.com; xinj0127@gmail.com</t>
  </si>
  <si>
    <t>[Gu, Yu; Xu, Weiming; Xu, Jing; Sun, Yan] Jiangsu Univ, Affiliated Hosp, Dept Clin Lab, Zhenjiang, Jiangsu, Peoples R China; [Xin, Jiang] Yangzhou Univ, Baoying Peoples Hosp, Dept Clin Med, Baoying Clin Med Coll, Yangzhou, Jiangsu, Peoples R China; [Ma, Minxuan] Jiangsu Univ, Dept Hosp Acquired Infect Control, Affiliated Hosp, Zhenjiang, Jiangsu, Peoples R China</t>
  </si>
  <si>
    <t>Jiangsu University; Yangzhou University; Jiangsu University</t>
  </si>
  <si>
    <t>Construction and internal-external validation of a machine learning-based risk prediction model for multidrug resistance in ICU patients with acute exacerbation of chronic obstructive pulmonary disease</t>
  </si>
  <si>
    <t>AECOPD; LightGBM; machine earning; multidrug resistance; prediction model</t>
  </si>
  <si>
    <t>OUTCOMES</t>
  </si>
  <si>
    <t>MAY 7 2026</t>
  </si>
  <si>
    <t>1806672</t>
  </si>
  <si>
    <t>10.3389/fmed.2026.1806672</t>
  </si>
  <si>
    <t>http://dx.doi.org/10.3389/fmed.2026.1806672</t>
  </si>
  <si>
    <t>IG2NP</t>
  </si>
  <si>
    <t>42180772</t>
  </si>
  <si>
    <t>WOS:001770961800001</t>
  </si>
  <si>
    <t>Yang, CY; Shao, YF; Jiang, CY; Zhang, RM; Wang, J; Chen, XL; Zeng, YY; An, Q; Peng, N; Wang, X; Zhou, B; Wang, JH; Wang, L</t>
  </si>
  <si>
    <t>Background/Objectives: Individual responses to recombinant human growth hormone (rhGH) therapy in children with idiopathic short stature (ISS) vary substantially, limiting pretreatment decision-making. This study aimed to develop and externally validate an interpretable machine learning model for predicting suboptimal 12-month growth response to rhGH therapy. Methods: In this retrospective dual-center study, 901 children from Center 1 were used for model development and internal testing, and 51 children from Center 2 formed an independent external validation cohort. Routinely collected baseline demographic, laboratory, hormonal, radiographic, and family-history variables were used to develop multiple machine learning models. A soft-voting ensemble classifier was constructed and interpreted using SHapley Additive exPlanations (SHAP). The primary outcome was suboptimal growth response, defined as failure to achieve a height gain of at least 0.5 standard deviation score after 12 months of treatment. Results: The optimized ensemble model showed strong discrimination in the internal test set, with an area under the receiver operating characteristic curve of 0.927, and maintained robust performance in the external validation cohort, with an AUC of 0.897. SHAP analysis identified luteinizing hormone, body mass index, TW3 RUS bone age, and insulin-like growth factor 1 as the leading contributors to predicted suboptimal-response risk. Conclusions: An interpretable ensemble machine learning model based on routinely available pretreatment data can predict suboptimal short-term rhGH response in children with ISS and may support individualized risk stratification in pediatric endocrine practice. Clinical trial registration was not required because this was a retrospective analysis.</t>
  </si>
  <si>
    <t>Yang, Chuanyu; Shao, Yifeng; Jiang, Chengyang; Zhang, Runmin; Wang, Jian; Chen, Xinlin; Zeng, Yuyuan; An, Qi; Peng, Nan; Wang, Xi; Zhou, Bo; Wang, Jianhong; Wang, Lin</t>
  </si>
  <si>
    <t>Wang, L (corresponding author), Chinese Acad Med Sci &amp; Peking Union Med Coll, Capital Inst Pediat, Beijing 100020, Peoples R China.; Wang, L (corresponding author), Capital Med Univ, Capital Ctr Childrens Hlth, Dept Child Hlth Care, Beijing 100020, Peoples R China.</t>
  </si>
  <si>
    <t>zhangrm50@chinaunicom.cn; b2024032010@student.pumc.edu.cn; anqi20190220@163.com; yangchuanyu1234@163.com; child811117@163.com; b2023032011@student.pumc.edu.cn; bobo-0207@hotmail.com; pengnan_727@163.com; wja03073@btch.edu.cn; 15910683272@163.com; jiangchengyang1@163.com; carolin_wang@bjmu.edu.cn; xinlin_chen@student.pumc.edu.cn</t>
  </si>
  <si>
    <t>Capital Health Development [2024-1-1131]; New Quality Foundation of Capital Institute of Pediatrics [XZYC-2025-07]; High-level Public Health Talents Training Plan [AL-02-19]</t>
  </si>
  <si>
    <t>Capital Health Development; New Quality Foundation of Capital Institute of Pediatrics; High-level Public Health Talents Training Plan</t>
  </si>
  <si>
    <t>This study was funded by the Special Research Project of Capital Health Development (2024-1-1131), High-level Public Health Talents Training Plan (AL-02-19), and New Quality Foundation of Capital Institute of Pediatrics (XZYC-2025-07). The APC was funded by the same funding sources. The funders had no role in the design of the study; in the collection, analyses, or interpretation of data; in the writing of the manuscript; or in the decision to publish the results.</t>
  </si>
  <si>
    <t>[Yang, Chuanyu; Shao, Yifeng; Jiang, Chengyang; Chen, Xinlin; Zeng, Yuyuan; Peng, Nan; Wang, Lin] Chinese Acad Med Sci &amp; Peking Union Med Coll, Capital Inst Pediat, Beijing 100020, Peoples R China; [Yang, Chuanyu; Chen, Xinlin; Zeng, Yuyuan; An, Qi; Peng, Nan; Wang, Xi; Zhou, Bo; Wang, Jianhong; Wang, Lin] Capital Med Univ, Capital Ctr Childrens Hlth, Dept Child Hlth Care, Beijing 100020, Peoples R China; [Shao, Yifeng; Jiang, Chengyang] Capital Med Univ, Capital Ctr Childrens Hlth, Dept Gen Surg, Beijing 100020, Peoples R China; [Zhang, Runmin] China United Network Commun Grp, Beijing Branch, Beijing 100009, Peoples R China; [Wang, Jian] Tsinghua Univ, Tsinghua Med, Beijing Tsinghua Changgung Hosp, Sch Clin Med,Dept Pediat, Beijing 102218, Peoples R China</t>
  </si>
  <si>
    <t>Capital Institute of Pediatrics (CIP); Chinese Academy of Medical Sciences - Peking Union Medical College; Peking Union Medical College; Capital Medical University; Capital Medical University; Tsinghua University</t>
  </si>
  <si>
    <t>Interpretable Machine Learning for Predicting Suboptimal 12-Month Growth Response to Recombinant Human Growth Hormone in Children with Idiopathic Short Stature: A Dual-Center External Validation Study</t>
  </si>
  <si>
    <t>idiopathic short stature; machine learning; clinical prediction model; recombinant human growth hormone; interpretability</t>
  </si>
  <si>
    <t>2227</t>
  </si>
  <si>
    <t>10.3390/diagnostics16142227</t>
  </si>
  <si>
    <t>http://dx.doi.org/10.3390/diagnostics16142227</t>
  </si>
  <si>
    <t>LU0ZY</t>
  </si>
  <si>
    <t>42510090</t>
  </si>
  <si>
    <t>WOS:001833257900001</t>
  </si>
  <si>
    <t>Yang, JH; Chung, Y; Rhee, SJ; Park, K; Kim, MJ; Lee, H; Song, Y; Lee, SY; Shim, SH; Moon, JJ; Cho, SJ; Kim, SG; Kim, MH; Lee, J; Kang, WS; Park, CHK; Won, S; Ahn, YM</t>
  </si>
  <si>
    <t>Despite previous efforts to build statistical models for predicting the risk of suicidal behavior using machinelearning analysis, a high-accuracy model can lead to overfitting. Furthermore, internal validation cannot completely address this problem. In this study, we created models for predicting the occurrence of suicide attempts among Koreans at high risk of suicide, and we verified these models in an independent cohort. We performed logistic and penalized regression for suicide attempts within 6 months among suicidal ideators and attempters in The Korean Cohort for the Model Predicting a Suicide and Suicide-related Behavior (K-COMPASS). We then validated the models in a test cohort. Our findings indicated that several factors significantly predicted suicide attempts in the models, including young age, suicidal ideation, previous suicidal attempts, anxiety, alcohol abuse, stress, and impulsivity. The area under the curve and positive predictive values were 0.941 and 0.484 after variable selection and 0.751 and 0.084 in the test cohort. The corresponding values for the penalized regression model were 0.943 and 0.524 in the original training cohort and 0.794 and 0.115 in the test cohort. The prediction model constructed through a prospective cohort study of the suicide high-risk group showed satisfactory accuracy even in the test cohort. The accuracy with penalized regression was greater than that with the "classical" logistic model.</t>
  </si>
  <si>
    <t>Yang, Jeong Hun; Chung, Yuree; Rhee, Sang Jin; Park, Kyungtaek; Kim, Min Ji; Lee, Hyunju; Song, Yoojin; Lee, Sang Yeol; Shim, Se-Hoon; Moon, Jung-Joon; Cho, Seong-Jin; Kim, Shin Gyeom; Kim, Min-Hyuk; Lee, Jinhee; Kang, Won Sub; Park, C. Hyung Keun; Won, Sungho; Ahn, Yong Min</t>
  </si>
  <si>
    <t>Won, S (corresponding author), RexSoft Inc, 1 Kwanak Ro, Seoul, South Korea.; Ahn, YM (corresponding author), Seoul Natl Univ, Seoul Natl Univ Hosp, Inst Human Behav Med, Dept Neuropsychiat, 28 Yongon Dong, Seoul 110744, South Korea.; Won, S (corresponding author), Seoul Natl Univ, Inst Hlth &amp; Environm, Dept Publ Hlth Sci, 1 Kwanak Ro, Seoul 151742, South Korea.</t>
  </si>
  <si>
    <t>aym@snu.ac.kr; won1@snu.ac.kr</t>
  </si>
  <si>
    <t>R&amp;D project - National Center for Mental Health [HM15C1039, HL19C0020, MHER22B02]</t>
  </si>
  <si>
    <t>R&amp;D project - National Center for Mental Health</t>
  </si>
  <si>
    <t>This research was supported by a grant for the R&amp;D project, funded by the National Center for Mental Health (grant number: HM15C1039, HL19C0020, MHER22B02) . The funding source had no involvement in the study design, the collection, analysis, and interpretation of data, the writing of the report, and the decision to submit the article for publication.</t>
  </si>
  <si>
    <t>[Yang, Jeong Hun] Chungnam Natl Univ, Dept Psychiat, Sejong Hosp, Sejong, South Korea; [Yang, Jeong Hun; Kim, Min Ji; Song, Yoojin; Ahn, Yong Min] Seoul Natl Univ, Dept Psychiat, Coll Med, Seoul, South Korea; [Chung, Yuree; Won, Sungho] Seoul Natl Univ, Dept Publ Hlth Sci, Seoul, South Korea; [Rhee, Sang Jin; Lee, Hyunju; Ahn, Yong Min] Seoul Natl Univ Hosp, Dept Neuropsychiat, Seoul, South Korea; [Park, Kyungtaek; Won, Sungho] Seoul Natl Univ, Inst Hlth &amp; Environm, Seoul, South Korea; [Song, Yoojin] Kangwon Natl Univ Hosp, Dept Psychiat, Chunchon, South Korea; [Lee, Sang Yeol] Wonkwang Univ Hosp, Dept Psychiat, Iksan, South Korea; [Shim, Se-Hoon] Soon Chun Hyang Univ, Cheonan Hosp, Dept Psychiat, Cheonan, South Korea; [Moon, Jung-Joon] Inje Univ, Coll Med, Busan Paik Hosp, Coll Med, Pusan, South Korea; [Cho, Seong-Jin] Gachon Univ, Dept Psychiat, Gil Med Ctr, Incheon, South Korea; [Kim, Shin Gyeom] Soon Chun Hyang Univ, Dept Neuropsychiat, Bucheon Hosp, Bucheon, South Korea; [Kim, Min-Hyuk; Lee, Jinhee] Yonsei Univ, Dept Psychiat, Wonju Coll Med, Wonju, South Korea; [Kang, Won Sub] Kyung Hee Univ Hosp, Dept Psychiat, Seoul, South Korea; [Park, C. Hyung Keun] Asan Med Ctr, Dept Psychiat, Seoul, South Korea; [Won, Sungho] RexSoft Inc, 1 Kwanak Ro, Seoul, South Korea</t>
  </si>
  <si>
    <t>Chungnam National University; Chungnam National University Hospital; Seoul National University (SNU); Seoul National University (SNU); Seoul National University (SNU); Seoul National University Hospital; Seoul National University (SNU); Kangwon National University; Kangwon National University Hospital; Wonkwang University; Soonchunhyang University; Inje University; Gachon University; Soonchunhyang University; Yonsei University; Yonsei University Health System; Kyung Hee University; Kyung Hee University Hospital; University of Ulsan; Asan Medical Center</t>
  </si>
  <si>
    <t>Development and external validation of a logistic and a penalized logistic model using machine-learning techniques to predict suicide attempts: A multicenter prospective cohort study in Korea</t>
  </si>
  <si>
    <t>JOURNAL OF PSYCHIATRIC RESEARCH</t>
  </si>
  <si>
    <t>Suicide; Prediction model; Suicide-attempt; Cohort; Penalized regression model</t>
  </si>
  <si>
    <t>RISK-FACTORS; METAANALYSIS; INDIVIDUALS; REPETITION; BEHAVIORS; STRESS</t>
  </si>
  <si>
    <t>Kim, Min Ji/AAQ-2339-2020; Kang, Won/AAK-1542-2020; Park, Christopher/L-6074-2017; Kim, Min-Hyuk/ITV-2946-2023</t>
  </si>
  <si>
    <t>Rhee, Sang Jin/0000-0001-6221-5953; Kim, Min Ji/0000-0002-6153-8811; Lee, Jinhee/0000-0003-4255-1831</t>
  </si>
  <si>
    <t>0022-3956</t>
  </si>
  <si>
    <t>1879-1379</t>
  </si>
  <si>
    <t>J PSYCHIATR RES</t>
  </si>
  <si>
    <t>J. Psychiatr. Res.</t>
  </si>
  <si>
    <t>442</t>
  </si>
  <si>
    <t>451</t>
  </si>
  <si>
    <t>10.1016/j.jpsychires.2024.06.003</t>
  </si>
  <si>
    <t>http://dx.doi.org/10.1016/j.jpsychires.2024.06.003</t>
  </si>
  <si>
    <t>YZ7I3</t>
  </si>
  <si>
    <t>38981238</t>
  </si>
  <si>
    <t>WOS:001272370700001</t>
  </si>
  <si>
    <t>Zappala, S; Alfieri, F; Ancona, A; Taccone, FS; Maviglia, R; Cauda, V; Finazzi, S; Dell'Anna, AM</t>
  </si>
  <si>
    <t>Background The aim of this retrospective cohort study was to develop and validate on multiple international datasets a real-time machine learning model able to accurately predict persistent acute kidney injury (AKI) in the intensive care unit (ICU).Methods We selected adult patients admitted to ICU classified as AKI stage 2 or 3 as defined by the "Kidney Disease: Improving Global Outcomes" criteria. The primary endpoint was the ability to predict AKI stage 3 lasting for at least 72 h while in the ICU. An explainable tree regressor was trained and calibrated on two tertiary, urban, academic, single-center databases and externally validated on two multi-centers databases.Results A total of 7759 ICU patients were enrolled for analysis. The incidence of persistent stage 3 AKI varied from 11 to 6% in the development and internal validation cohorts, respectively and 19% in external validation cohorts. The model achieved area under the receiver operating characteristic curve of 0.94 (95% CI 0.92-0.95) in the US external validation cohort and 0.85 (95% CI 0.83-0.88) in the Italian external validation cohort.Conclusions A machine learning approach fed with the proper data pipeline can accurately predict onset of Persistent AKI Stage 3 during ICU patient stay in retrospective, multi-centric and international datasets. This model has the potential to improve management of AKI episodes in ICU if implemented in clinical practice.</t>
  </si>
  <si>
    <t>Zappala, Simone; Alfieri, Francesca; Ancona, Andrea; Taccone, Fabio Silvio; Maviglia, Riccardo; Cauda, Valentina; Finazzi, Stefano; Dell'Anna, Antonio Maria</t>
  </si>
  <si>
    <t>Dell'Anna, AM (corresponding author), Fdn Policlin Univ Agostino Gemelli IRCCS, Dept Anesthesia Intens Care &amp; Emergency Med, I-00168 Rome, Italy.</t>
  </si>
  <si>
    <t>antoniomaria.dellanna@policlinicogemelli.it</t>
  </si>
  <si>
    <t>[Zappala, Simone; Alfieri, Francesca; Ancona, Andrea; Cauda, Valentina] U Care Med Srl, Corso Castelfidardo 30A, I-10129 Turin, Italy; [Taccone, Fabio Silvio] Univ Libre Bruxelles ULB, Hop Univ Bruxelles HUB, Dept Intens Care, Route Lennik 808, B-1070 Brussels, Belgium; [Maviglia, Riccardo; Dell'Anna, Antonio Maria] Fdn Policlin Univ Agostino Gemelli IRCCS, Dept Anesthesia Intens Care &amp; Emergency Med, I-00168 Rome, Italy; [Cauda, Valentina] Politecn Torino, Dept Appl Sci &amp; Technol, Cso Duca Abruzzi 24, I-10129 Turin, Italy; [Finazzi, Stefano] Ist Ric Farmacol Mario Negri IRCCS, Clin Data Sci Lab, Via Stezzano 87, I-24126 Bergamo, BG, Italy</t>
  </si>
  <si>
    <t>Universite Libre de Bruxelles; Catholic University of the Sacred Heart; IRCCS Policlinico Gemelli; Polytechnic University of Turin; Istituto di Ricerche Farmacologiche Mario Negri IRCCS</t>
  </si>
  <si>
    <t>Development and external validation of a machine learning model for the prediction of persistent acute kidney injury stage 3 in multi-centric, multi-national intensive care cohorts</t>
  </si>
  <si>
    <t>Artificial intelligence; Acute kidney injury; Biomarker; Intensive care unit</t>
  </si>
  <si>
    <t>Finazzi, Stefano/AAC-1377-2019; Cauda, Valentina/W-6630-2019; /AAK-9195-2020; /ABD-1945-2020</t>
  </si>
  <si>
    <t>Finazzi, Stefano/0000-0002-3525-3249; Roiguez Saavea, Claudia Milena/0009-0007-1073-0823</t>
  </si>
  <si>
    <t>JUN 4 2024</t>
  </si>
  <si>
    <t>189</t>
  </si>
  <si>
    <t>10.1186/s13054-024-04954-8</t>
  </si>
  <si>
    <t>http://dx.doi.org/10.1186/s13054-024-04954-8</t>
  </si>
  <si>
    <t>TB0M6</t>
  </si>
  <si>
    <t>38834995</t>
  </si>
  <si>
    <t>WOS:001238679700001</t>
  </si>
  <si>
    <t>Choi, KS; Park, C; Lee, JY; Lee, KH; Jeon, YH; Hwang, I; Yoo, RE; Yun, TJ; Lee, MJ; Jung, KH; Kang, KM</t>
  </si>
  <si>
    <t>Objective: To prospectively evaluate the effect of accelerated deep learning-based reconstruction (Accel-DL) on improving brain magnetic resonance imaging (MRI) quality and reducing scan time compared to that in conventional MRI.&lt;br /&gt; Materials and Methods: This study included 150 participants (51 male; mean age 57.3 +/- 16.2 years). Each group of 50 participants was scanned using one of three 3T scanners from three different vendors. Conventional and Accel-DL MRI images were obtained from each participant and compared using 2D T1- and T2-weighted and 3D gradient-echo sequences. Accel-DL acquisition was achieved using optimized scan parameters to reduce the scan time, with the acquired images reconstructed using U-Net-based software to transform low-quality, undersampled k-space data into high-quality images. The scan times of Accel-DL and conventional MRI methods were compared. Four neuroradiologists assessed the overall image quality, structural delineation, and artifacts using Likert scale (5- and 3-point scales). Inter-reader agreement was assessed using Fleiss' kappa coefficient. Signal-to-noise ratio (SNR) and contrast-to-noise ratio (CNR) were calculated, and volumetric quantification of regional structures and white matter hyperintensities (WMHs) was performed. Results: Accel-DL showed a mean scan time reduction of 39.4% (range, 24.2%-51.3%). Accel-DL improved overall image quality (3.78 +/- 0.71 vs. 3.36 +/- 0.61, P &lt; 0.001), structure delineation (2.47 +/- 0.61 vs. 2.35 +/- 0.62, P &lt; 0.001), and artifacts (3.73 +/- 0.72 vs. 3.71 +/- 0.69, P = 0.016). Inter-reader agreement was fair to substantial (kappa = 0.34-0.50). SNR and CNR increased in Accel-DL (82.0 +/- 23.1 vs. 31.4 +/- 10.8, P = 0.02; 12.4 +/- 4.1 vs. 4.4 +/- 11.2, P = 0.02). Bland-Altman plots revealed no significant differences in the volumetric measurements of 98.2% of the relevant regions, except in the deep gray matter, including the thalamus. Five of the six lesion categories showed no significant differences in WMH segmentation, except for leukocortical lesions (r = 0.64 +/- 0.29). Conclusion: Accel-DL substantially reduced the scan time and improved the quality of brain MRI in both spin-echo and gradient- echo sequences without compromising volumetry, including lesion quantification.</t>
  </si>
  <si>
    <t>Choi, Kyu Sung; Park, Chanrim; Lee, Ji Ye; Lee, Kyung Hoon; Jeon, Young Hun; Hwang, Inpyeong; Yoo, Roh Eul; Yun, Tae Jin; Lee, Mi Ji; Jung, Keun-Hwa; Kang, Koung Mi</t>
  </si>
  <si>
    <t>Kang, KM (corresponding author), Seoul Natl Univ, Seoul Natl Univ Hosp, Coll Med, Dept Radiol, 101 Daehak Ro, Seoul 03080, South Korea.</t>
  </si>
  <si>
    <t>we3001@gmail.com</t>
  </si>
  <si>
    <t>SNUH Research Fund; Korea Medical Device Development Fund - Korea government (the Ministry of Science and ICT); Korea Medical Device Development Fund - Korea government (Ministry of Trade, Industry and Energy); Korea Medical Device Development Fund - Korea government (the Ministry of Health Welfare); Korea Medical Device Development Fund - Korea government (Ministry of Food and Drug Safety) [9991006735, KMDF_ PR_20200901_0062]; National Research Foundation of Korea (NRF) - Korea government (MSIT) [2021R1C1C1006407]; AIRS Medical Inc [06- 2021-2210]</t>
  </si>
  <si>
    <t>SNUH Research Fund; Korea Medical Device Development Fund - Korea government (the Ministry of Science and ICT) (Ministry of Science &amp; ICT (MMSTI)); Korea Medical Device Development Fund - Korea government (Ministry of Trade, Industry and Energy); Korea Medical Device Development Fund - Korea government (the Ministry of Health Welfare); Korea Medical Device Development Fund - Korea government (Ministry of Food and Drug Safety); National Research Foundation of Korea (NRF) - Korea government (MSIT) (National Research Foundation of Korea, Ministry of Science &amp; ICT (MMSTI)); AIRS Medical Inc</t>
  </si>
  <si>
    <t>This study was supported by grants from the SNUH Research Fund (No. 03-2023-0330) , the Korea Medical Device Development Fund grant funded by the Korea government (the Ministry of Science and ICT, the Ministry of Trade, Industry and Energy, the Ministry of Health &amp; Welfare, the Ministry of Food and Drug Safety) (No. 9991006735, KMDF_ PR_20200901_0062) , and the National Research Foundation of Korea (NRF) grant funded by the Korea government (MSIT) (No. 2021R1C1C1006407) . This study received technical support and a research grant (Grant No. 06- 2021-2210) from AIRS Medical Inc. The funding source had no role in the study design, data collection, data analysis, data interpretation, writing of the manuscript, or decision to submit it for publication.</t>
  </si>
  <si>
    <t>[Choi, Kyu Sung; Park, Chanrim; Lee, Ji Ye; Lee, Kyung Hoon; Jeon, Young Hun; Hwang, Inpyeong; Yoo, Roh Eul; Yun, Tae Jin; Kang, Koung Mi] Seoul Natl Univ Hosp, Dept Radiol, Seoul, South Korea; [Choi, Kyu Sung; Lee, Ji Ye; Hwang, Inpyeong; Yoo, Roh Eul; Yun, Tae Jin; Kang, Koung Mi] Seoul Natl Univ, Coll Med, Dept Radiol, Seoul, South Korea; [Lee, Mi Ji; Jung, Keun-Hwa] Seoul Natl Univ Hosp, Dept Neurol, Seoul, South Korea; [Park, Chanrim] Seoul Natl Univ Hosp, Biomed Res Inst, Seoul, South Korea; [Lee, Kyung Hoon] Sungkyunkwan Univ, Kangbuk Samsung Hosp, Sch Med, Dept Radiol, Seoul, South Korea; [Kang, Koung Mi] Seoul Natl Univ, Seoul Natl Univ Hosp, Coll Med, Dept Radiol, 101 Daehak Ro, Seoul 03080, South Korea</t>
  </si>
  <si>
    <t>Seoul National University (SNU); Seoul National University Hospital; Seoul National University (SNU); Seoul National University Hospital; Seoul National University (SNU); Seoul National University Hospital; Seoul National University (SNU); Seoul National University Hospital; Sungkyunkwan University (SKKU); Samsung Medical Center; Samsung Kangbuk Hospital; Seoul National University (SNU); Seoul National University Hospital</t>
  </si>
  <si>
    <t>Prospective Evaluation of Accelerated Brain MRI Using Deep Learning-Based Reconstruction: Simultaneous Application to 2D Spin-Echo and 3D Gradient-Echo Sequences</t>
  </si>
  <si>
    <t>Deep learning; Artifacts; Signal-to-noise ratio; Image reconstruction; Volumetric analysis</t>
  </si>
  <si>
    <t>ITERATIVE RECONSTRUCTION</t>
  </si>
  <si>
    <t>Lee, Ji Ye/ABA-7830-2021; Yoo, Roh-Eul/HNJ-3333-2023; Lee, Kyung Hoon/PGF-6168-2026</t>
  </si>
  <si>
    <t>Lee, Mi Ji/0000-0003-1364-1969; Jung, Keun-Hwa/0000-0003-1433-8005; Lee, Ji Ye/0000-0002-3929-6254; Yun, Tae Jin/0000-0001-8441-4574; Jeon, Young Hun/0000-0001-7672-3932; Hwang, Inpyeong/0000-0002-1291-8973; Park, Chanrim/0009-0000-2661-7111; Choi, Kyu Sung/0000-0002-5175-3307; Kang, Koung Mi/0000-0001-9643-2008</t>
  </si>
  <si>
    <t>10.3348/kjr.2024.0653</t>
  </si>
  <si>
    <t>http://dx.doi.org/10.3348/kjr.2024.0653</t>
  </si>
  <si>
    <t>R3C6J</t>
  </si>
  <si>
    <t>39780631</t>
  </si>
  <si>
    <t>WOS:001390274300007</t>
  </si>
  <si>
    <t>Nesheli, SJ; Rouhi, S; Motamedi, A; Rashidi, M; Salamat, F; Mardani, S; Bijari, S; Kheirkhahzadeh, M; Rezaeijo, SM</t>
  </si>
  <si>
    <t>Background: Diabetic retinopathy (DR) severity is graded from the type and distribution of retinal lesions, yet most automated methods address grading or lesion analysis in isolation. This study develops one framework that performs lesion segmentation, lesion detection, and DR grading together, evaluated within and across datasets. Methods: A hierarchical multi-task network with a shared ResNet-50 encoder and a feature pyramid feeds three heads, in which a cross-task attention module conditions the grading representation on the predicted lesion features. The three losses are combined by homoscedastic uncertainty weighting under a progressive three-stage schedule that fits the partial-label structure of the data. The model was developed on DDR (13,673 images, 757 with lesion annotation) using stratified five-fold cross-validation over three seeds, and evaluated without tuning on the independent IDRiD dataset. Results are reported for the training, validation, and test splits, with 95 percent bootstrap confidence intervals, paired significance tests, calibration, and an ablation. Results: On the DDR test split, the model reached a mean lesion-segmentation Dice of 0.535, a detection means average precision at intersection over union (IoU) 0.5 of 0.289, a grading accuracy of 0.823, and a quadratic weighted kappa of 0.858, with a referable-DR sensitivity of 0.928 and a vision-threatening-DR sensitivity of 0.871. On the external IDRiD set, segmentation Dice was 0.489 and grading accuracy and kappa were 0.781 and 0.821, quantifying the reduction under domain shift; the external segmentation estimates in particular rest on only 81 images and are indicative rather than definitive. In the ablation, removing the cross-task attention produced the largest single-component reduction in grading performance, while collapsing the framework to single-task training lowered it further. Conclusions: Jointly learning lesion localization and grading, with external validation and calibration, produces a transparent framework whose grading is accompanied by lesion-level evidence. However, external performance declines moderately (Dice: 0.535 -&gt; 0.489), and the small external segmentation sample (n = 81) limits generalizability claims. Prospective validation on larger multi-ethnic cohorts is needed before clinical use.</t>
  </si>
  <si>
    <t>Nesheli, Shabnam Jafarpoor; Rouhi, Saleh; Motamedi, Alireza; Rashidi, Maryam; Salamat, Fatemeh; Mardani, Sara; Bijari, Salar; Kheirkhahzadeh, Masoumeh; Rezaeijo, Seyed Masoud</t>
  </si>
  <si>
    <t>Rezaeijo, SM (corresponding author), Ahvaz Jundishapur Univ Med Sci, Fac Med, Dept Med Phys, Ahvaz, Iran.</t>
  </si>
  <si>
    <t>rezaei-sm@ajums.ac.ir</t>
  </si>
  <si>
    <t>[Nesheli, Shabnam Jafarpoor] ACECR, Iranian Res Inst Elect Engn IRIEE, Dept Elect Engn, Tehran, Iran; [Rouhi, Saleh] Kermanshah Univ Med Sci, Fac Med, Dept Med Phys, Kermanshah, Iran; [Motamedi, Alireza] Tabriz Univ Med Sci, Student Res Comm, Tabriz, Iran; [Rashidi, Maryam] Tabriz Univ Med Sci, Sch Med, Dept Med Phys, Tabriz, Iran; [Salamat, Fatemeh] Iran Univ Med Sci, Sch Med, Med Phys Dept, Tehran, Iran; [Mardani, Sara] Amirkabir Univ Technol Tehran, Dept Elect Engn, Tehran, Iran; [Bijari, Salar] Kurdistan Univ Med Sci, Fac Paramed Sci, Dept Radiol, Sanandaj, Iran; [Kheirkhahzadeh, Masoumeh] Shahid Chamran Univ Ahvaz, Fac Math Sci &amp; Comp, Dept Comp Sci &amp; Appl Math, Ahvaz, Iran; [Rezaeijo, Seyed Masoud] Ahvaz Jundishapur Univ Med Sci, Fac Med, Dept Med Phys, Ahvaz, Iran</t>
  </si>
  <si>
    <t>Joint multi-task deep learning with cross-task attention for simultaneous lesion segmentation, detection, and severity grading of diabetic retinopathy on fundus images: An external validation study</t>
  </si>
  <si>
    <t>PHOTODIAGNOSIS AND PHOTODYNAMIC THERAPY</t>
  </si>
  <si>
    <t>Diabetic retinopathy; Multi-task learning; Lesion segmentation; Image grading; External validation; Fundus imaging</t>
  </si>
  <si>
    <t>rouhi, saleh/0009-0001-2313-1068</t>
  </si>
  <si>
    <t>1572-1000</t>
  </si>
  <si>
    <t>1873-1597</t>
  </si>
  <si>
    <t>PHOTODIAGN PHOTODYN</t>
  </si>
  <si>
    <t>Photodiagnosis Photodyn. Ther.</t>
  </si>
  <si>
    <t>105600</t>
  </si>
  <si>
    <t>10.1016/j.pdpdt.2026.105600</t>
  </si>
  <si>
    <t>http://dx.doi.org/10.1016/j.pdpdt.2026.105600</t>
  </si>
  <si>
    <t>MU6LG</t>
  </si>
  <si>
    <t>42537861</t>
  </si>
  <si>
    <t>WOS:001851275500001</t>
  </si>
  <si>
    <t>Chen, JJ; Lu, ZZ; Jing, YX; Nong, XM; Qin, Y; Huang, JY; Lin, N; Wei, J</t>
  </si>
  <si>
    <t>Background: Respiratory syncytial virus (RSV) is a leading cause of severe lower respiratory infections in children, yet biomarkers for assessing disease severity remain limited. Herein, we investigated the differential expression biomarkers between RSV infected hospitalized patients, healthy groups and RSV infected outpatients. Methods: Two publicly available transcriptomic datasets (GSE77087 and GSE188427) were retrieved from the Gene Expression Omnibus (GEO) database. The GSE77087 dataset comprised peripheral blood samples from 81 children with confirmed RSV infection (61 hospitalized and 20 outpatient) and 23 healthy controls. The GSE188427 dataset included 147 RSV-infected children (113 hospitalized and 34 outpatient) and 51 healthy controls. Genes with |log2 fold change (logFC)| &gt; 0 and false discovery rate (FDR) &lt; 0.05 were considered differentially expressed. Overlapping DEGs between the two datasets were identified using the VennDiagram package. Gene Ontology (GO) and Kyoto Encyclopedia of Genes and Genomes (KEGG) pathway enrichment analyses were conducted on the intersecting DEGs via the clusterProfiler package, with terms deemed significant at FDR &lt; 0.05.The CIBERSORT algorithm was applied to estimate the relative proportions of 22 immune cell types in 228 RSV-infected samples. Potential drug interactions for hug genes were predicted using the Drug-Gene Interaction Database (DGIdb). Competing endogenous RNA (ceRNA) networks were constructed using the SpongeScan database to identify lncRNAs interacting with the target miRNAs. Networks were visualized using Cytoscape (v3.10.1).Finally, Machine Learning-Based Biomarker Selection and hub gene identification and validation Results: Differential gene expression analysis revealed 81 overlapping genes between hospitalized and outpatient RSV-infected children. Machine learning models, particularly SVM (area under the curve, AUC = 0.950), prioritized CD79A and GADD45A as key predictors of hospitalization. CD79A was significantly downregulated in severe cases, correlating with impaired B-cell responses and cytotoxic immunity, while GADD45A, upregulated in severe infections, linked to oxidative stress and neutrophil-driven inflammation. Immune cell profiling highlighted distinct infiltration patterns, with severe cases showing elevated na &amp; iuml;ve B cells and M0 macrophages versus activated NK cells and M1 macrophages in mild cases. Clinical validation in 92 children confirmed CD79A suppression and GADD45A elevation in severe RSV (p &lt; 0.001), aligning with younger age, lower weight, and respiratory distress. Functional enrichment implicated endoplasmic reticulum stress and neutrophil extracellular traps in disease progression. Drug-target predictions and ceRNA networks further revealed therapeutic potential. Conclusion: These findings establish CD79A and GADD45A as clinically actionable biomarkers for RSV severity, offering insights into immune dysregulation and guiding personalized management strategies.</t>
  </si>
  <si>
    <t>Chen, Juan Juan; Lu, Zhang Ze; Jing, Yu Xin; Nong, Xing Mei; Qin, Yi; Huang, Jin Yang; Lin, Na; Wei, Jie</t>
  </si>
  <si>
    <t>Huang, JY; Lin, N (corresponding author), Youjiang Med Univ Nationalities, Dept Pediat, Affiliated Hosp, Baise, Guangxi, Peoples R China.; Wei, J (corresponding author), Guangxi Med Univ, Dept Gastroenterol, Affiliated Hosp 1, Nanning, Guangxi, Peoples R China.</t>
  </si>
  <si>
    <t>2069564626@qq.com; 15606856716@163.com; linna7766328@163.com</t>
  </si>
  <si>
    <t>[Chen, Juan Juan; Nong, Xing Mei; Qin, Yi; Huang, Jin Yang; Lin, Na] Youjiang Med Univ Nationalities, Dept Pediat, Affiliated Hosp, Baise, Guangxi, Peoples R China; [Lu, Zhang Ze; Jing, Yu Xin] Baise Peoples Hosp, Dept Urol, Baise, Guangxi, Peoples R China; [Wei, Jie] Guangxi Med Univ, Dept Gastroenterol, Affiliated Hosp 1, Nanning, Guangxi, Peoples R China</t>
  </si>
  <si>
    <t>Youjiang Medical University for Nationalities; Guangxi Medical University</t>
  </si>
  <si>
    <t>CD79A and GADD45A as novel immune-related biomarkers for respiratory syncytial virus severity in children: an integrated machine learning analysis and clinical validation</t>
  </si>
  <si>
    <t>FRONTIERS IN IMMUNOLOGY</t>
  </si>
  <si>
    <t>RSV; biomarkers; CD79A and GADD45A; machine learning; severity assessment</t>
  </si>
  <si>
    <t>CELLS; INFECTION</t>
  </si>
  <si>
    <t>Na, Lin/HGC-6193-2022; Huang, Jinyang/IQX-0902-2023</t>
  </si>
  <si>
    <t>1664-3224</t>
  </si>
  <si>
    <t>FRONT IMMUNOL</t>
  </si>
  <si>
    <t>Front. Immunol.</t>
  </si>
  <si>
    <t>1609183</t>
  </si>
  <si>
    <t>10.3389/fimmu.2025.1609183</t>
  </si>
  <si>
    <t>http://dx.doi.org/10.3389/fimmu.2025.1609183</t>
  </si>
  <si>
    <t>4ZS1F</t>
  </si>
  <si>
    <t>40677720</t>
  </si>
  <si>
    <t>WOS:001530515100001</t>
  </si>
  <si>
    <t>Li, YQ; Li, P; Wang, RX; Li, Y; Hsi, WC; Zhang, Q</t>
  </si>
  <si>
    <t>Objective. To develop a machine learning-enhanced normal tissue complication probability (NTCP) model for predicting late sciatic nerve toxicity (LSNT) in sacrococcygeal chordoma (SC) and locally recurrent rectal cancer (LRRC) patients undergoing carbon-ion radiotherapy (CIRT). Methods. This dual-modeling study analyzed 106 CIRT-treated SC/LRRC patients. Notice that the unit of Gy is the relative biological effectiveness -weighted dose with local effect model version I in this study for the prescription of our CIRT treatments. The hybrid framework integrated the Lyman-Kutcher-Burman model with generalized machine learning. Radiation dosimetry (the equivalent uniform dose (EUD), the uniform dose over the sciatic nerve for a 50% complication probability [TD50], the parameter for the volume effect of the organ [n], the slop steepness of the dose response curve [m]) and biological parameters were analyzed through univariate/multivariate regression. Model performance was validated using the area under the receiver operating characteristic area under the curve, sensitivity, and specificity metrics. Results. 16.9% (18/106) over all patients developed grade &gt;= 1 LSNT with no grade &gt;= 4 toxicity. Stratified outcome analysis across various subgroups revealed significant variations, especially that pathological subtype of re-irradiated rectal cancer exhibited manifested 15.6% G2 toxicity. We first successfully obtained coefficients for the NTCP models with univariate analysis by utilizing the correlation between significant variations of stratified outcome and TD50. We then establish an NTCP model by machine learning-enhanced multivariate analysis that allow identifying the critical dose-volume thresholds of V-62, V-64, and D-3cc to correlate dose-dependent progression of G1, G2, ad G3 toxicities, respectively. Significance. EUD &gt; 61.1 Gy significantly elevates G1 LSNT risk. Our center recommends: V-62 &lt;= 6.2%, V-64 &lt;= 4.69%, D-3cc &lt;= 32.3 Gy to balance tumor control and neuroprotection in CIRT planning. The n/m parameters provide critical insights into individual radiation sensitivity gradients across toxicity grades with machine learning-enhanced NTCP modeling for LSNT prediction in CIRT.</t>
  </si>
  <si>
    <t>Li, Yongqiang; Li, Ping; Wang, Ruoxi; Li, Yao; Hsi, Wenchien; Zhang, Qing</t>
  </si>
  <si>
    <t>Zhang, Q (corresponding author), Fudan Univ, Canc Hosp, Shanghai Proton &amp; Heavy Ion Ctr, Dept Radiat Oncol, Shanghai 201321, Peoples R China.; Zhang, Q (corresponding author), Shanghai Key Lab Radiat Oncol, Shanghai 201321, Peoples R China.; Zhang, Q (corresponding author), Shanghai Engn Res Ctr Proton &amp; Heavy Ion Radiat Th, Shanghai 201321, Peoples R China.; Hsi, WC (corresponding author), Univ Arkansas Med Sci, Dept Radiat Oncol, 3900 West Capital Ave, Little Rock, AR 72205 USA.</t>
  </si>
  <si>
    <t>wenchien.hsi@outlook.com; qing.zhang@sphic.org.cn</t>
  </si>
  <si>
    <t>Pudong New area Health Commission foundation; Shanghai Municipal Health Bureau [202140028]</t>
  </si>
  <si>
    <t>Pudong New area Health Commission foundation; Shanghai Municipal Health Bureau</t>
  </si>
  <si>
    <t>We acknowledge the financial support from the Pudong New Area Health Commission Foundation (Grant Number PW2021A-41 and PW2024A-40) and the Shanghai Municipal Health Bureau (Grant Number 202140028).</t>
  </si>
  <si>
    <t>[Li, Yongqiang; Li, Yao] Fudan Univ, Canc Hosp, Shanghai Proton &amp; Heavy Ion Ctr, Dept Med Phys, Shanghai 201321, Peoples R China; [Li, Ping; Zhang, Qing] Fudan Univ, Canc Hosp, Shanghai Proton &amp; Heavy Ion Ctr, Dept Radiat Oncol, Shanghai 201321, Peoples R China; [Li, Yongqiang; Li, Ping; Li, Yao; Zhang, Qing] Shanghai Key Lab Radiat Oncol, Shanghai 201321, Peoples R China; [Li, Yongqiang; Li, Ping; Li, Yao; Zhang, Qing] Shanghai Engn Res Ctr Proton &amp; Heavy Ion Radiat Th, Shanghai 201321, Peoples R China; [Wang, Ruoxi] Beijing Canc Hosp &amp; Inst, Minist Educ Beijing, Dept Radiat Oncol, Key Lab Carcinogenesis &amp; Translat Res, Beijing, Peoples R China; [Hsi, Wenchien] Univ Arkansas Med Sci, Dept Radiat Oncol, 3900 West Capital Ave, Little Rock, AR 72205 USA</t>
  </si>
  <si>
    <t>Fudan University; Fudan University; University of Arkansas Medical Sciences; University of Arkansas System; University of Arkansas Medical Sciences</t>
  </si>
  <si>
    <t>Machine learning-enhanced normal tissue complication probability modeling for late sciatic nerve toxicity prediction in carbon-ion radiotherapy: model development and clinical validation</t>
  </si>
  <si>
    <t>PHYSICS IN MEDICINE AND BIOLOGY</t>
  </si>
  <si>
    <t>late sciatic nerve toxicity (LSNT); sacrococcygeal chordomas (SC) or locally recurrent rectal cancer (LRRC); normal-tissue-complication-probability (NTCP) model; carbon-ion radiotherapy (CIRT); machine learning- enhanced prediction</t>
  </si>
  <si>
    <t>RADIATION-THERAPY; SACRAL CHORDOMA; PARAMETERS; HEAD</t>
  </si>
  <si>
    <t>WANG, Ruoxi/0000-0002-3988-3731</t>
  </si>
  <si>
    <t>TEMPLE CIRCUS, TEMPLE WAY, BRISTOL BS1 6BE, ENGLAND</t>
  </si>
  <si>
    <t>0031-9155</t>
  </si>
  <si>
    <t>1361-6560</t>
  </si>
  <si>
    <t>PHYS MED BIOL</t>
  </si>
  <si>
    <t>Phys. Med. Biol.</t>
  </si>
  <si>
    <t>NOV 2 2025</t>
  </si>
  <si>
    <t>215002</t>
  </si>
  <si>
    <t>10.1088/1361-6560/ae110d</t>
  </si>
  <si>
    <t>http://dx.doi.org/10.1088/1361-6560/ae110d</t>
  </si>
  <si>
    <t>Engineering, Biomedical; Radiology, Nuclear Medicine &amp; Medical Imaging</t>
  </si>
  <si>
    <t>Engineering; Radiology, Nuclear Medicine &amp; Medical Imaging</t>
  </si>
  <si>
    <t>8VI7Y</t>
  </si>
  <si>
    <t>41061729</t>
  </si>
  <si>
    <t>WOS:001598221500001</t>
  </si>
  <si>
    <t>Sepehri, S; Tankyevych, O; Upadhaya, T; Visvikis, D; Hatt, M; Le Rest, CC</t>
  </si>
  <si>
    <t>Machine learning (ML) algorithms for selecting and combining radiomic features into multiparametric prediction models have become popular; however, it has been shown that large variations in performance can be obtained by relying on different approaches. The purpose of this study was to evaluate the potential benefit of combining different algorithms into an improved consensus for the final prediction, as it has been shown in other fields. Methods: The evaluation was carried out in the context of the use of radiomics from F-18-FDG PET/CT images for predicting outcome in stage II-III Non-Small Cell Lung Cancer. A cohort of 138 patients was exploited for the present analysis. Eighty-seven patients had been previously recruited retrospectively for another study and were used here for training and internal validation. We also used data from prospectively recruited patients (n = 51) for testing. Three different machine learning pipelines relying on embedded feature selection were trained to predict overall survival (OS) as a binary classification: Support Vector machines (SVMs), Random Forests (RFs), and Logistic Regression (LR). Two different clinical endpoints were investigated: median OS or OS shorter than 6 months. The fusion of the three approaches was implemented using two different strategies: majority voting on the binary outputs or averaging of the output probabilities. Results: Our results confirm previous findings, highlighting that different ML pipelines select different sets of features and reach different classification performances (accuracy in the testing set ranging between 63% and 67% for median OS, and between 75% and 80% for OS &lt; 6 months). Generating a consensus improved the performance for both endpoints; with the probabilities averaging strategy outperforming the majority voting (accuracy of 78% vs. 71% for median OS and 89 vs. 84% for OS &lt; 6 months). Overall, the performance of these radiomic-based models outperformed the standard clinical staging in both endpoints (accuracy of 58% and 53% accuracy in the testing set for each endpoint). Conclusion: Although obtained in a small cohort of patients, our results suggest that a consensus of machine learning algorithms can improve performance in the context of radiomics. The resulting prognostic stratification in the prospective testing cohort is higher than when relying on the clinical stage. This could be of interest for clinical practice as it could help to identify patients with higher risk amongst stage II and III patients, who could benefit from intensified treatment and/or more frequent follow-up after treatment.</t>
  </si>
  <si>
    <t>Sepehri, Shima; Tankyevych, Olena; Upadhaya, Taman; Visvikis, Dimitris; Hatt, Mathieu; Le Rest, Catherine Cheze</t>
  </si>
  <si>
    <t>Hatt, M (corresponding author), Univ Brest, INSERM, LaTIM, UMR 1101, F-29200 Brest, France.</t>
  </si>
  <si>
    <t>Mathieu.hatt@inserm.fr; tamanupadhaya@gmail.com; sh_sepehri_ee@yahoo.com; dimitris@univ-brest.fr; tankyevych@gmail.com; catherine.cheze-le-rest@chu-poitiers.fr</t>
  </si>
  <si>
    <t>French Ministry of Research; INCa; DGOS through a grant in the PRINCE project (PRTK-2015) [R16063NN]</t>
  </si>
  <si>
    <t>French Ministry of Research (Ministry of Higher Education, Research &amp; Innovation (MESRI)); INCa (Institut National du Cancer (INCA) France); DGOS through a grant in the PRINCE project (PRTK-2015)</t>
  </si>
  <si>
    <t>This work was partially funded by the French Ministry of Research (PhD grant, S. Sepehri) and supported by INCa and DGOS through a grant in the PRINCE project (PRTK-2015, #R16063NN).</t>
  </si>
  <si>
    <t>[Sepehri, Shima; Tankyevych, Olena; Visvikis, Dimitris; Hatt, Mathieu; Le Rest, Catherine Cheze] Univ Brest, INSERM, LaTIM, UMR 1101, F-29200 Brest, France; [Tankyevych, Olena; Upadhaya, Taman; Le Rest, Catherine Cheze] CHU Miletrie, Nucl Med Dept, F-86021 Poitiers, France</t>
  </si>
  <si>
    <t>Institut National de la Sante et de la Recherche Medicale (Inserm); Universite de Bretagne Occidentale; CHU Poitiers; Universite de Poitiers</t>
  </si>
  <si>
    <t>Comparison and Fusion of Machine Learning Algorithms for Prospective Validation of PET/CT Radiomic Features Prognostic Value in Stage II-III Non-Small Cell Lung Cancer</t>
  </si>
  <si>
    <t>machine learning; prospective study; non-small cell lung cancer; prognosis; radiomics</t>
  </si>
  <si>
    <t>VISVIKIS, Dimitris/AAM-7868-2021; hatt, mathieu/M-8917-2017; Upadhaya, Taman/W-7783-2019</t>
  </si>
  <si>
    <t>VISVIKIS, Dimitris/0000-0003-0831-3637; cheze le rest, catherine/0000-0001-9779-9135; hatt, mathieu/0000-0002-8938-8667; Tankyevych, Olena/0009-0009-3310-4184</t>
  </si>
  <si>
    <t>675</t>
  </si>
  <si>
    <t>10.3390/diagnostics11040675</t>
  </si>
  <si>
    <t>http://dx.doi.org/10.3390/diagnostics11040675</t>
  </si>
  <si>
    <t>RR3IM</t>
  </si>
  <si>
    <t>33918681</t>
  </si>
  <si>
    <t>WOS:000642996400001</t>
  </si>
  <si>
    <t>Hadjidimitriou, S; Pagourelias, E; Apostolidis, G; Dimaridis, I; Charisis, V; Bakogiannis, C; Hadjileontiadis, L; Vassilikos, V</t>
  </si>
  <si>
    <t>Background: Echocardiography (ECHO) is a type of ultrasonographic procedure for examining the cardiac function and morphology, with functional parameters of the left ventricle (LV), such as the ejection fraction (EF) and global longitudinal strain (GLS), being important indicators. Estimation of LV-EF and LV-GLS is performed either manually or semiautomatically by cardiologists and requires a nonnegligible amount of time, while estimation accuracy depends on scan quality and the clinician's experience in ECHO, leading to considerable measurement variability.Objective: The aim of this study is to externally validate the clinical performance of a trained artificial intelligence (AI)-based tool that automatically estimates LV-EF and LV-GLS from transthoracic ECHO scans and to produce preliminary evidence regarding its utility. Methods: This is a prospective cohort study conducted in 2 phases. ECHO scans will be collected from 120 participants referred for ECHO examination based on routine clinical practice in the Hippokration General Hospital, Thessaloniki, Greece. During the first phase, 60 scans will be processed by 15 cardiologists of different experience levels and the AI-based tool to determine whether the latter is noninferior in LV-EF and LV-GLS estimation accuracy (primary outcomes) compared to cardiologists. Secondary outcomes include the time required for estimation and Bland-Altman plots and intraclass correlation coefficients to assess measurement reliability for both the AI and cardiologists. In the second phase, the rest of the scans will be examined by the same cardiologists with and without the AI-based tool to primarily evaluate whether the combination of the cardiologist and the tool is superior in terms of correctness of LV function diagnosis (normal or abnormal) to the cardiologist's routine examination practice, accounting for the cardiologist's level of ECHO experience. Secondary outcomes include time to diagnosis and the system usability scale score. Reference LV-EF and LV-GLS measurements and LV function diagnoses will be provided by a panel of 3 expert cardiologists.Results: Recruitment started in September 2022, and data collection is ongoing. The results of the first phase are expected to be available by summer 2023, while the study will conclude in May 2024, with the end of the second phase.Conclusions: This study will provide external evidence regarding the clinical performance and utility of the AI-based tool based on prospectively collected ECHO scans in the routine clinical setting, thus reflecting real-world clinical scenarios. The study protocol may be useful to investigators conducting similar research.International Registered Report Identifier (IRRID): DERR1-10.2196/44650</t>
  </si>
  <si>
    <t>Hadjidimitriou, Stelios; Pagourelias, Efstathios; Apostolidis, Georgios; Dimaridis, Ioannis; Charisis, Vasileios; Bakogiannis, Constantinos; Hadjileontiadis, Leontios; Vassilikos, Vassilios</t>
  </si>
  <si>
    <t>Hadjidimitriou, S (corresponding author), Aristotle Univ Thessaloniki, Dept Elect &amp; Comp Engn, Thessaloniki, Greece.; Hadjidimitriou, S (corresponding author), Aristotle Univ Thessaloniki, Fac Engn, Dept Elect &amp; Comp Engn, Univ Campus,Bldg D,6th Fl, Gr-54124 Thessaloniki, Greece.</t>
  </si>
  <si>
    <t>stelios.hadjidimitriou@gmail.com</t>
  </si>
  <si>
    <t>European Union [101016834]; H2020 - Industrial Leadership [101016834] Funding Source: H2020 - Industrial Leadership</t>
  </si>
  <si>
    <t>European Union (European Union (EU)); H2020 - Industrial Leadership (European Union (EU), H2020 - Industrial Leadership)</t>
  </si>
  <si>
    <t>This work is part of the HosmartAI-"Hospital Smart development based on AI" project that is funded by the European Union's Horizon 2020 Research and Innovation Programme (grant agreement ID 101016834) .</t>
  </si>
  <si>
    <t>[Hadjidimitriou, Stelios; Apostolidis, Georgios; Dimaridis, Ioannis; Charisis, Vasileios; Hadjileontiadis, Leontios] Aristotle Univ Thessaloniki, Dept Elect &amp; Comp Engn, Thessaloniki, Greece; [Pagourelias, Efstathios; Bakogiannis, Constantinos; Vassilikos, Vassilios] Aristotle Univ Thessaloniki, Hippokrate Hosp, Med Sch, Cardiol Dept 3, Thessaloniki, Greece; [Hadjileontiadis, Leontios] Khalifa Univ, Dept Biomed Engn, Abu Dhabi, U Arab Emirates; [Hadjileontiadis, Leontios] Khalifa Univ, Healthcare Engn Innovat Ctr, Abu Dhabi, U Arab Emirates; [Hadjidimitriou, Stelios] Aristotle Univ Thessaloniki, Fac Engn, Dept Elect &amp; Comp Engn, Univ Campus,Bldg D,6th Fl, Gr-54124 Thessaloniki, Greece</t>
  </si>
  <si>
    <t>Aristotle University of Thessaloniki; Aristotle University of Thessaloniki; Khalifa University of Science &amp; Technology; Khalifa University of Science &amp; Technology; Aristotle University of Thessaloniki</t>
  </si>
  <si>
    <t>Clinical Validation of an Artificial Intelligence-Based Tool for Automatic Estimation of Left Ventricular Ejection Fraction and Strain in Echocardiography: Protocol for a Two-Phase Prospective Cohort Study</t>
  </si>
  <si>
    <t>artificial intelligence; clinical validation; computer-aided diagnosis; echocardiography; ejection fraction; global longitudinal strain; left ventricle; prospective cohort design; ultrasound</t>
  </si>
  <si>
    <t>HEART-FAILURE</t>
  </si>
  <si>
    <t>Bakogiannis, Constantinos/ACI-6824-2022; Hadjileontiadis, Leontios/AAF-3448-2020; Pagourelias, Efstathios/J-6573-2013</t>
  </si>
  <si>
    <t>Hadjidimitriou, Stelios/0000-0002-3676-6556; Bakogiannis, Constantinos/0000-0002-1132-9835; Hadjileontiadis, Leontios/0000-0002-9932-9302; Apostolidis, Georgios/0000-0002-8683-0229; Charisis, Vasileios/0000-0001-8007-2343; Dimaridis, Ioannis/0000-0002-6973-3689; Pagourelias, Efstathios/0000-0003-0189-8353</t>
  </si>
  <si>
    <t>e44650</t>
  </si>
  <si>
    <t>10.2196/44650</t>
  </si>
  <si>
    <t>http://dx.doi.org/10.2196/44650</t>
  </si>
  <si>
    <t>K3BU9</t>
  </si>
  <si>
    <t>36912875</t>
  </si>
  <si>
    <t>WOS:001015233200010</t>
  </si>
  <si>
    <t>Xu, YP; Lei, T; Yang, Z; Guo, H; Zhu, L; Wang, JL; Liu, H; Liang, TH; Lin, QL; Yao, G; Yao, ZQ; Liu, J</t>
  </si>
  <si>
    <t>Background: Sepsis complicated by acute respiratory failure (ARF) is a common and severe condition among patients admitted to the intensive care unit (ICU), associated with high mortality. Accurate prediction of shortterm outcomes is crucial for optimizing clinical decisions and treatment strategies. Therefore, we aimed to develop and validate an interpretable machine learning (ML) model to predict the 28-day mortality risk in ICU patients with sepsis complicated by ARF. Methods: This retrospective study included ICU patients with sepsis complicated by ARF from the Medical Information Mart for Intensive Care IV (MIMIC-IV, v3.1) database as the training cohort, and patients from the eICU-CRD (v2.0) database as the external validation cohort. Candidate predictors were initially identified based on clinical guidelines and expert consensus, and the Boruta algorithm was applied to determine the optimal feature set. Seven ML algorithms, namely random forest, XGBoost, logistic regression, AdaBoost, gradient boosting, CatBoost, and neural network, were compared. Model performance was evaluated using the area under the receiver operating characteristic curve (AUC), accuracy, sensitivity, specificity, positive predictive value, and negative predictive value. To enhance interpretability, feature importance was assessed using SHapley Additive exPlanations (SHAP) analysis. These results were integrated to construct a practical prognostic prediction platform. Results: The training cohort (2975 deaths) comprised 12,597 ICU patients with sepsis complicated by ARF from the MIMIC-IV (v3.1) database, while 890 patients from the eICU-CRD (v2.0) database (102 deaths) were included for external validation. Among the ML models, XGBoost achieved the best performance in the training cohort (AUC: 0.812; accuracy: 0.772; sensitivity: 0.605; specificity: 0.823). In the external validation cohort, XGBoost demonstrated good generalizability (AUC: 0.714). SHAP analysis identified PaO2, alanine aminotransferase, albumin, age, Acute Physiology Score (APS) III, lactate, urine output, and respiratory rate as the most influential predictors of 28-day mortality. Accordingly, a short-term mortality prediction platform was developed. Conclusions: We successfully developed an efficient, interpretable predictive model based on the XGBoost algorithm, accurately predicting 28-day mortality risk for ICU patients with sepsis complicated by ARF. Demonstrating stable performance and strong generalizability, this model holds promise as a clinical decision-support tool for the early identification of high-risk patients and optimization of personalized treatments.</t>
  </si>
  <si>
    <t>Xu, Yunpeng; Lei, Ting; Yang, Zi; Guo, Hong; Zhu, Lei; Wang, Jianlin; Liu, Hao; Liang, Tianhu; Lin, Qinglin; Yao, Guang; Yao, Zhiqiang; Liu, Jian</t>
  </si>
  <si>
    <t>Liu, J (corresponding author), Lanzhou Univ, Clin Med Coll 1, Lanzhou, Gansu, Peoples R China.; Yang, Z (corresponding author), Lanzhou Univ, Informat Ctr, Hosp 1, Lanzhou, Gansu, Peoples R China.; Guo, H; Liu, J (corresponding author), Gansu Prov Cent Hosp, Gansu Prov Matern &amp; Child Hlth Hosp, Dept Crit Care Med, Lanzhou, Gansu, Peoples R China.</t>
  </si>
  <si>
    <t>medecinliujian@163.com; guohong980324@163.com</t>
  </si>
  <si>
    <t>National Natural Science Foundation of China [82460379]; Gansu Provincial Science and Technology Program (Joint Scientific Research Fund Major Project) [24JRRA934]; Gansu Provincial Science and Technology Program (Key RD Project) [23YFGA0037]; Natural Science Foundation of Gansu Province [22JR5RA1064]; Gansu Provincial Science and Technology Program [26JRRA340]; Basic Research Project of the First Hospital of Lanzhou University [ldyyyn2025-10]</t>
  </si>
  <si>
    <t>National Natural Science Foundation of China (National Natural Science Foundation of China (NSFC)); Gansu Provincial Science and Technology Program (Joint Scientific Research Fund Major Project); Gansu Provincial Science and Technology Program (Key RD Project); Natural Science Foundation of Gansu Province (National Natural Science Foundation of Gansu Province); Gansu Provincial Science and Technology Program; Basic Research Project of the First Hospital of Lanzhou University</t>
  </si>
  <si>
    <t>This work was supported by the National Natural Science Foundation of China (no. 82460379 , to J. Liu) ; the Gansu Provincial Science and Technology Program (Joint Scientific Research Fund Major Project , no. 24JRRA934 to J. Liu) ; the Gansu Provincial Science and Technology Program (Key R&amp;D Project, no. 23YFGA0037 to J. Wang) ; and the Natural Science Foundation of Gansu Province (no. 22JR5RA1064, to Q. Lin) . The Gansu Provincial Science and Technology Program (no. 26JRRA340, to Z. Yang) ; and the Basic Research Project of the First Hospital of Lanzhou University (no. ldyyyn2025-10, to Z. Yang) .</t>
  </si>
  <si>
    <t>[Xu, Yunpeng; Lei, Ting; Liu, Jian] Lanzhou Univ, Clin Med Coll 1, Lanzhou, Gansu, Peoples R China; [Lei, Ting; Yao, Guang; Yao, Zhiqiang] Lanzhou Univ, Dept Gynecol, Hosp 1, Lanzhou, Gansu, Peoples R China; [Lei, Ting] First Hosp Lanzhou Univ, Branch Ctr Natl Clin Res Ctr Obstet &amp; Gynecol Dis, Dept Gynecol, Lanzhou, Gansu, Peoples R China; [Yang, Zi; Wang, Jianlin; Liu, Hao] Lanzhou Univ, Informat Ctr, Hosp 1, Lanzhou, Gansu, Peoples R China; [Guo, Hong; Liu, Jian] Gansu Prov Cent Hosp, Gansu Prov Matern &amp; Child Hlth Hosp, Dept Crit Care Med, Lanzhou, Gansu, Peoples R China; [Zhu, Lei; Lin, Qinglin] Lanzhou Univ, Dept Crit Care Med, Hosp 1, Lanzhou, Gansu, Peoples R China; [Wang, Jianlin] Gansu Univ Chinese Med, Sch Med Informat Engn, Lanzhou, Gansu, Peoples R China; [Liang, Tianhu] Lanzhou Univ, Res Ctr Clin Med, First Hosp 1, Lanzhou, Gansu, Peoples R China</t>
  </si>
  <si>
    <t>Lanzhou University; Lanzhou University; Lanzhou University; Lanzhou University; Gansu University of Chinese Medicine; Lanzhou University</t>
  </si>
  <si>
    <t>Development and external validation of a machine learning model for predicting the 28-day mortality risk in patients with sepsis complicated by acute respiratory failure in the ICU</t>
  </si>
  <si>
    <t>JOURNAL OF INTENSIVE MEDICINE</t>
  </si>
  <si>
    <t>Sepsis; Respiratory failure; Prediction model; Machine learning</t>
  </si>
  <si>
    <t>ACUTE KIDNEY INJURY; MITOCHONDRIAL DYSFUNCTION</t>
  </si>
  <si>
    <t>Xu, Yunpeng/NXC-7846-2025</t>
  </si>
  <si>
    <t>2097-0250</t>
  </si>
  <si>
    <t>2667-100X</t>
  </si>
  <si>
    <t>J INTENSIV MED</t>
  </si>
  <si>
    <t>J. Intensiv. Med.</t>
  </si>
  <si>
    <t>175</t>
  </si>
  <si>
    <t>10.1016/j.jointm.2025.10.010</t>
  </si>
  <si>
    <t>http://dx.doi.org/10.1016/j.jointm.2025.10.010</t>
  </si>
  <si>
    <t>GX1JH</t>
  </si>
  <si>
    <t>42028136</t>
  </si>
  <si>
    <t>WOS:001747141600001</t>
  </si>
  <si>
    <t>Du, L; Du, JJ; Yang, M; Xu, QQ; Huang, JN; Tan, WX; Xu, TX; Wang, LS; Nie, WB; Zhao, LJ</t>
  </si>
  <si>
    <t>Purpose Cancer-related fatigue (CRF) is the most common symptom in cancer patients and may interfere with patients' daily activities and decrease survival rate. However, the etiology of CRF has not been identified. Diagnosing CRF is challenging. Thus, our study aimed to develop a CRF prediction model in cancer patients, using data that healthcare professionals routinely obtained from electronic health records (EHRs) based on the 3P model and externally validate this model in an independent dataset collected from another hospital.Methods Between April 2022 and September 2022, a cross-sectional study was conducted on adult cancer patients at two first-class tertiary hospitals in China. Data that healthcare professionals routinely obtained from electronic health records (EHRs) based on the 3P model were collected. The outcome measure was according to ICD-10 diagnostic criteria for CRF. Data from one hospital (n = 305) were used for model development and internal validation. An independent data set from another hospital (n = 260) was utilized for external validation. logistic regression, random forest (RF), Naive Bayes (NB), and extreme gradient boosting (XGBoost) were constructed and compared. The model performance was evaluated in terms of both discrimination and calibration.Results The prevalence of CRF in the two centers was 57.9% and 56.1%, respectively. The Random Forest model achieved the highest AUC of 0.86 among the four types of classifiers in the internal validation. The AUC of RF and NB were above 0.7 in the external validation, suggesting that the models also have an acceptable generalization ability.Conclusions The incidence of CRF remains high and deserves more attention. The fatigue prediction model based on the 3P theory can accurately predict the risk of CRF. Nonlinear algorithms such as Random Forest and Naive Bayes are more suitable for diagnosing and evaluating symptoms.</t>
  </si>
  <si>
    <t>Du, Lin; Du, Junjia; Yang, Min; Xu, Qinqin; Huang, Jiannan; Tan, Wenxi; Xu, Tianxin; Wang, Lisheng; Nie, Wenbo; Zhao, Lijing</t>
  </si>
  <si>
    <t>Wang, LS; Nie, WB; Zhao, LJ (corresponding author), Jilin Univ, Sch Nursing, 965 Xinjiang St, Changchun 130021, Jilin, Peoples R China.</t>
  </si>
  <si>
    <t>lishengwang@jlu.edu.cn; niewb@jlu.edu.cn; zhao_lj@jlu.edu.cn</t>
  </si>
  <si>
    <t>This work is supported by the National Natural Science Foundation of China (82102747).</t>
  </si>
  <si>
    <t>[Du, Lin; Xu, Tianxin; Wang, Lisheng; Nie, Wenbo; Zhao, Lijing] Jilin Univ, Sch Nursing, 965 Xinjiang St, Changchun 130021, Jilin, Peoples R China; [Du, Junjia] Jilin Univ, Sch Comp Sci, Changchun 130021, Jilin, Peoples R China; [Yang, Min; Xu, Qinqin] Qinghai Prov Peoples Hosp, Dept Oncol, Xining, Peoples R China; [Huang, Jiannan] Jilin Univ, China Japan Union Hosp, Dept Gastrointestinal Colorectal Surg, Changchun 130031, Jilin, Peoples R China; [Tan, Wenxi] Second Hosp Jilin Univ, Dept Obstet &amp; Gynecol, Changchun 130041, Jilin, Peoples R China</t>
  </si>
  <si>
    <t>Development and external validation of a machine learning-based prediction model for the cancer-related fatigue diagnostic screening in adult cancer patients: a cross-sectional study in China</t>
  </si>
  <si>
    <t>SUPPORTIVE CARE IN CANCER</t>
  </si>
  <si>
    <t>Cancer-related fatigue; Prediction model; Electronic health records; Machine learning</t>
  </si>
  <si>
    <t>QUALITY-OF-LIFE; BREAST-CANCER; BIG DATA; HEALTH; PREVALENCE; RISK; TOXICITIES; RADIATION; ANALYTICS; SURVIVORS</t>
  </si>
  <si>
    <t>Du, Lin/HGC-8163-2022; Xu, Qinqin/I-2202-2019</t>
  </si>
  <si>
    <t>Zhao, Lijing/0000-0002-3190-7399</t>
  </si>
  <si>
    <t>0941-4355</t>
  </si>
  <si>
    <t>1433-7339</t>
  </si>
  <si>
    <t>SUPPORT CARE CANCER</t>
  </si>
  <si>
    <t>Support. Care Cancer</t>
  </si>
  <si>
    <t>10.1007/s00520-022-07570-w</t>
  </si>
  <si>
    <t>http://dx.doi.org/10.1007/s00520-022-07570-w</t>
  </si>
  <si>
    <t>Oncology; Health Care Sciences &amp; Services; Rehabilitation</t>
  </si>
  <si>
    <t>7U1NC</t>
  </si>
  <si>
    <t>36625943</t>
  </si>
  <si>
    <t>WOS:000911901900002</t>
  </si>
  <si>
    <t>Chi, CY; Moghadas-Dastjerdi, H; Winkler, A; Ao, S; Chen, YP; Wang, LW; Su, P; Lin, WS; Tsai, MS; Huang, CH</t>
  </si>
  <si>
    <t>Background: Using deep learning for disease outcome prediction is an approach that has made large advances in recent years. Notwith-standing its excellent performance, clinicians are also interested in learning how input affects prediction. Clinical validation of explainable deep learning models is also as yet unexplored. This study aims to evaluate the performance of Deep SHapley Additive exPlanations (D-SHAP) model in accurately identifying the diagnosis code associated with the highest mortality risk. Methods: Incidences of at least one in-hospital cardiac arrest (IHCA) for 168,693 patients as well as 1,569,478 clinical records were extracted from Taiwan's National Health Insurance Research Database. We propose a D-SHAP model to provide insights into deep learning model predictions. We trained a deep learning model to predict the 30-day mortality likelihoods of IHCA patients and used D-SHAP to see how the diagnosis codes affected the model's predictions. Physicians were asked to annotate a cardiac arrest dataset and provide expert opinions, which we used to validate our proposed method. A 1-to-4-point annotation of each record (current decision) along with four previous records (historical decision) was used to validate the current and historical D-SHAP values. Results: A subset consisting of 402 patients with at least one cardiac arrest record was randomly selected from the IHCA cohort. The median age was 72 years, with mean and standard deviation of 69 +/- 17 years. Results indicated that D-SHAP can identify the cause of mortality based on the diagnosis codes. The top five most important diagnosis codes, namely respiratory failure, sepsis, pneumonia, shock, and acute kidney injury were consistent with the physi-cian's opinion. Some diagnoses, such as urinary tract infection, showed a discrepancy between D-SHAP and clinical judgment due to the lower frequency of the disease and its occurrence in combination with other comorbidities. Conclusions: The D-SHAP framework was found to be an effective tool to explain deep neural networks and identify most of the important diagnoses for predicting patients' 30-day mortality. However, physicians should always carefully consider the structure of the original database and underlying pathophysiology.</t>
  </si>
  <si>
    <t>Chi, Chien -Yu; Moghadas-Dastjerdi, Hadi; Winkler, Adrian; Ao, Shuang; Chen, Yen -Pin; Wang, Liang-Wei; Su, Pei -, I; Lin, Wei-Shu; Tsai, Min-Shan; Huang, Chien-Hua</t>
  </si>
  <si>
    <t>Huang, CH (corresponding author), Natl Taiwan Univ, Dept Emergency Med, Taipei 100, Taiwan.</t>
  </si>
  <si>
    <t>chhuang5940@ntu.edu.tw</t>
  </si>
  <si>
    <t>Ministry of Science and Technology, Taiwan [109-2634-F-002-031]</t>
  </si>
  <si>
    <t>Ministry of Science and Technology, Taiwan (National Science &amp; Technology Council (NSTC) Taiwan)</t>
  </si>
  <si>
    <t>Funding This study was supported by the Ministry of Science and Technology, Taiwan (project: 109-2634-F-002-031) .</t>
  </si>
  <si>
    <t>[Chi, Chien -Yu] Natl Taiwan Univ Hosp, Yunlin Branch, Dept Emergency Med, Yunlin 640, Taiwan; [Moghadas-Dastjerdi, Hadi; Winkler, Adrian; Ao, Shuang] Knowt Res Inc, Toronto, ON M5J 2S1, Canada; [Ao, Shuang; Chen, Yen -Pin; Wang, Liang-Wei; Su, Pei -, I; Lin, Wei-Shu; Tsai, Min-Shan; Huang, Chien-Hua] Natl Taiwan Univ, Dept Emergency Med, Taipei 100, Taiwan</t>
  </si>
  <si>
    <t>National Taiwan University; National Taiwan University Hospital; National Taiwan University Hospital; National Taiwan University; National Taiwan University Hospital</t>
  </si>
  <si>
    <t>Clinical Validation of Explainable Deep Learning Model for Predicting the Mortality of In-Hospital Cardiac Arrest Using Diagnosis Codes of Electronic Health Records</t>
  </si>
  <si>
    <t>in-hospital cardiac arrest; artificial intelligence; explainable deep learning model; SHAP; electronic health record</t>
  </si>
  <si>
    <t>Chi, Chien-Yu/HJH-0077-2022; ao, shuang/KMY-6597-2024; TSAI, MIN-SHAN/AHE-3825-2022</t>
  </si>
  <si>
    <t>HUANG, CHIEN-HUA/0000-0003-2981-4537; TSAI, MIN-SHAN/0000-0002-2862-7572</t>
  </si>
  <si>
    <t>10.31083/j.rcm2409265</t>
  </si>
  <si>
    <t>http://dx.doi.org/10.31083/j.rcm2409265</t>
  </si>
  <si>
    <t>U5HA3</t>
  </si>
  <si>
    <t>39076399</t>
  </si>
  <si>
    <t>WOS:001085096700018</t>
  </si>
  <si>
    <t>Cui, MQ; Zeng, ZL; Chen, SL; Jin, YF; Dong, WJ; Lu, SY; Wang, H; Jiang, JH; Ding, XH; Xu, W; Zhao, TD; Zhao, J; Bai, X; Kang, HH; Li, L; Yang, DW; Ye, HY; He, Y; Wang, HY</t>
  </si>
  <si>
    <t>Objective: This study aims to develop a cascaded deep learning (DL) system based on multiparametric MRI to establish an automated pipeline for the segmentation and classification of small renal masses (SRMs). Materials and Methods: A retrospective collection of SRM patients with pathologically confirmed from three institutions was conducted. MRI data from Institution 1 were randomly divided into a training set and an internal test set. Data from other institutions served as the external test set. A cascaded DL system was developed, incorporating automated segmentation and benign-malignant classification. Diagnostic performance was evaluated using receiver operating characteristic analysis and compared against three radiologists of varying experience. Results: A total of 965 patients with SRM were included. Institution 1 contributed 888 cases, with 712 used for training and 176 as an internal test set; Institutions 2 and 3 provided 77 cases as an external test set. The optimal classification model using automated segmentation labels achieved AUCs of 0.936 and 0.788 on internal and external test sets, respectively. Performance was comparable to models using manual segmentation (internal: 0.936 vs. 0.944, P = 0.671; external: 0.788 vs. 0.832, P = 0.629). On the external test set, the model performed comparably to the senior radiologist, while it significantly outperformed the senior radiologist on the internal test set. The model significantly outperformed the junior radiologist on both test sets. This finding remained consistent in the subgroup of tumors smaller than 3 cm. Conclusion: The cascaded DL system demonstrated robust performance across multiple centers, enabling noninvasive and efficient discrimination of SRM malignancy, showing promise as a clinical support tool.</t>
  </si>
  <si>
    <t>Cui, MengQiu; Zeng, ZiLong; Chen, SiLu; Jin, YunFeng; Dong, WenJia; Lu, ShengYu; Wang, He; Jiang, JiaHui; Ding, XiaoHui; Xu, Wei; Zhao, TengDa; Zhao, Jian; Bai, Xu; Kang, HuanHuan; Li, Lin; Yang, DaWei; Ye, HuiYi; He, Yong; Wang, HaiYi</t>
  </si>
  <si>
    <t>Wang, HY (corresponding author), Chinese Peoples Liberat Army Gen Hosp, Med Ctr 1, Dept Radiol, 28 Fuxing Rd, Beijing 100853, Peoples R China.</t>
  </si>
  <si>
    <t>wanghaiyi301@outlook.com</t>
  </si>
  <si>
    <t>National Natural Science Foundation of China [82271951, U24A20755]</t>
  </si>
  <si>
    <t>We acknowledge financial support from the National Natural Science Foundation of China (Grant No. 82271951 and U24A20755) .</t>
  </si>
  <si>
    <t>[Cui, MengQiu; Xu, Wei; Zhao, Jian; Bai, Xu; Kang, HuanHuan; Ye, HuiYi; Wang, HaiYi] Chinese Peoples Liberat Army Gen Hosp, Med Ctr 1, Dept Radiol, 28 Fuxing Rd, Beijing 100853, Peoples R China; [Zeng, ZiLong; Dong, WenJia; Lu, ShengYu] Gannan Med Univ, Sch Med &amp; Informat Engn, 1 Harmony Ave, Ganzhou 341000, Jiangxi, Peoples R China; [Chen, SiLu] Chinese Peoples Liberat Army Gen Hosp, Med Ctr 7, Dept Radiol, 5 Nanmen Cang, Beijing 100853, Peoples R China; [Jin, YunFeng] Tonghua Cent Hosp, Dept CT &amp; MRl, Tonghua 134000, Jilin, Peoples R China; [Wang, He] Peking Univ First Hosp, Radiol Dept, 8 Xishiku Rd, Beijing 100034, Peoples R China; [Jiang, JiaHui; Yang, DaWei] Capital Med Univ, Beijing Friendship Hosp, Dept Radiol, 95 Yongan Rd, Beijing 100050, Peoples R China; [Ding, XiaoHui] Chinese Peoples Liberat Army Gen Hosp, Med Ctr 1, Dept Pathol, 28 Fuxing Rd, Beijing 100853, Peoples R China; [Zhao, TengDa; He, Yong] Beijing Normal Univ, Beijing Key Lab Brain Imaging &amp; Connect, 28 Fuxing Rd, Beijing 100875, Peoples R China; [Li, Lin] Chinese Peoples Liberat Army Gen Hosp, Hosp Management Inst, Dept Innovat Med Res, Outpatient Bldg,28 Fuxing Rd, Beijing 100853, Peoples R China</t>
  </si>
  <si>
    <t>Chinese People's Liberation Army General Hospital; Capital Medical University; Chinese People's Liberation Army General Hospital; Chinese People's Liberation Army General Hospital</t>
  </si>
  <si>
    <t>Construction and clinical validation of a cascaded deep learning system for classification of benign and malignant solid small renal masses based on MRI</t>
  </si>
  <si>
    <t>Small renal mass; Multi-Sequence MRI; Multi-Center; Deep Learning; Segmentation; Classification</t>
  </si>
  <si>
    <t>CLEAR-CELL; TEXTURE ANALYSIS; DIFFERENTIATION; CT; ANGIOMYOLIPOMA; CARCINOMAS; ACCURACY; LIMITS; DUTY; FAT</t>
  </si>
  <si>
    <t>NOV 2026</t>
  </si>
  <si>
    <t>113127</t>
  </si>
  <si>
    <t>10.1016/j.ejrad.2026.113127</t>
  </si>
  <si>
    <t>http://dx.doi.org/10.1016/j.ejrad.2026.113127</t>
  </si>
  <si>
    <t>MI7TF</t>
  </si>
  <si>
    <t>42556272</t>
  </si>
  <si>
    <t>WOS:001843226400001</t>
  </si>
  <si>
    <t>Lee, J; Lee, J; Song, BI</t>
  </si>
  <si>
    <t>Background/Objectives: Accurate diagnosis is essential to avoid unnecessary procedures for thyroid incidentalomas (TIs). Advances in radiomics and machine learning applied to medical imaging offer promise for assessing thyroid nodules. This study utilized radiomics analysis on F-18 FDG PET/CT to improve preoperative differential diagnosis of TIs. Methods: A total of 152 patient cases were retrospectively analyzed and split into training and validation sets (7:3) using stratification and randomization. Results: The least absolute shrinkage and selection operator (LASSO) algorithm identified nine radiomics features from 960 candidates to construct a radiomics signature predictive of malignancy. Performance of the radiomics score was evaluated using receiver operating characteristic (ROC) analysis and area under the curve (AUC). In the training set, the radiomics score achieved an AUC of 0.794 (95% CI: 0.703-0.885, p &lt; 0.001). Validation was performed on internal and external datasets, yielding AUCs of 0.702 (95% CI: 0.547-0.858, p = 0.011) and 0.668 (95% CI: 0.500-0.838, p = 0.043), respectively. Conclusions: These results demonstrate that the selected nine radiomics features effectively differentiate malignant thyroid nodules. Overall, the radiomics model shows potential as a valuable predictive tool for thyroid cancer in patients with TIs, supporting improved preoperative decision-making.</t>
  </si>
  <si>
    <t>Lee, Junchae; Lee, Jinny; Song, Bong-Il</t>
  </si>
  <si>
    <t>Song, BI (corresponding author), Keimyung Univ, Sch Med, Daegu 42601, South Korea.; Song, BI (corresponding author), Keimyung Univ, Dongsan Hosp, Dept Nucl Med, Daegu 42601, South Korea.; Song, BI (corresponding author), Keimyung Univ, Dept Med Informat, Sch Med, Daegu 42601, South Korea.</t>
  </si>
  <si>
    <t>song@dsmc.or.kr; 5596150@stu.kmu.ac.kr; jinnylee3282@gmail.com</t>
  </si>
  <si>
    <t>Bisa Research Grant of Keimyung University</t>
  </si>
  <si>
    <t>This research was supported by the Bisa Research Grant of Keimyung University in 2021.</t>
  </si>
  <si>
    <t>[Lee, Junchae; Song, Bong-Il] Keimyung Univ, Sch Med, Daegu 42601, South Korea; [Lee, Jinny; Song, Bong-Il] Keimyung Univ, Dongsan Hosp, Dept Nucl Med, Daegu 42601, South Korea; [Song, Bong-Il] Keimyung Univ, Dept Med Informat, Sch Med, Daegu 42601, South Korea</t>
  </si>
  <si>
    <t>Keimyung University; Keimyung University; Keimyung University</t>
  </si>
  <si>
    <t>A Machine Learning-Based Radiomics Model for the Differential Diagnosis of Benign and Malignant Thyroid Nodules in F-18 FDG PET/CT: External Validation in the Different Scanner</t>
  </si>
  <si>
    <t>thyroid incidentalomas; radiomics; feature selection; prediction; F-18 FDG PET/CT</t>
  </si>
  <si>
    <t>EMISSION TOMOGRAPHY/COMPUTED TOMOGRAPHY; CANCER; PREVALENCE; RISK; PERFORMANCE; PREDICTION; RECURRENCE</t>
  </si>
  <si>
    <t>junchae, Lee/HSB-6388-2023; Song, Bong-il/LIC-9102-2024</t>
  </si>
  <si>
    <t>Song, Bong-il/0000-0002-3106-6112; Lee, Jinny/0000-0001-5515-1971</t>
  </si>
  <si>
    <t>331</t>
  </si>
  <si>
    <t>10.3390/cancers17020331</t>
  </si>
  <si>
    <t>http://dx.doi.org/10.3390/cancers17020331</t>
  </si>
  <si>
    <t>T5V8S</t>
  </si>
  <si>
    <t>39858111</t>
  </si>
  <si>
    <t>WOS:001405686300001</t>
  </si>
  <si>
    <t>Kim, JH; Kim, JY; Kim, GH; Kang, D; Kim, IJ; Seo, J; Andrews, JR; Park, CM</t>
  </si>
  <si>
    <t>Early identification of pneumonia is essential in patients with acute febrile respiratory illness (FRI). We evaluated the performance and added value of a commercial deep learning (DL) algorithm in detecting pneumonia on chest radiographs (CRs) of patients visiting the emergency department (ED) with acute FRI. This single-centre, retrospective study included 377 consecutive patients who visited the ED and the resulting 387 CRs in August 2018-January 2019. The performance of a DL algorithm in detection of pneumonia on CRs was evaluated based on area under the receiver operating characteristics (AUROC) curves, sensitivity, specificity, negative predictive values (NPVs), and positive predictive values (PPVs). Three ED physicians independently reviewed CRs with observer performance test to detect pneumonia, which was re-evaluated with the algorithm eight weeks later. AUROC, sensitivity, and specificity measurements were compared between "DL algorithm" vs. "physicians-only" and between "physicians-only" vs. "physicians aided with the algorithm". Among 377 patients, 83 (22.0%) had pneumonia. AUROC, sensitivity, specificity, PPV, and NPV of the algorithm for detection of pneumonia on CRs were 0.861, 58.3%, 94.4%, 74.2%, and 89.1%, respectively. For the detection of 'visible pneumonia on CR' (60 CRs from 59 patients), AUROC, sensitivity, specificity, PPV, and NPV were 0.940, 81.7%, 94.4%, 74.2%, and 96.3%, respectively. In the observer performance test, the algorithm performed better than the physicians for pneumonia (AUROC, 0.861 vs. 0.788,p= 0.017; specificity, 94.4% vs. 88.7%,p&lt; 0.0001) and visible pneumonia (AUROC, 0.940 vs. 0.871,p= 0.007; sensitivity, 81.7% vs. 73.9%,p= 0.034; specificity, 94.4% vs. 88.7%,p&lt; 0.0001). Detection of pneumonia (sensitivity, 82.2% vs. 53.2%,p = 0.008; specificity, 98.1% vs. 88.7%;p&lt; 0.0001) and 'visible pneumonia' (sensitivity, 82.2% vs. 73.9%,p= 0.014; specificity, 98.1% vs. 88.7%,p&lt; 0.0001) significantly improved when the algorithm was used by the physicians. Mean reading time for the physicians decreased from 165 to 101 min with the assistance of the algorithm. Thus, the DL algorithm showed a better diagnosis of pneumonia, particularly visible pneumonia on CR, and improved diagnosis by ED physicians in patients with acute FRI.</t>
  </si>
  <si>
    <t>Kim, Jae Hyun; Kim, Jin Young; Kim, Gun Ha; Kang, Donghoon; Kim, In Jung; Seo, Jeongkuk; Andrews, Jason R.; Park, Chang Min</t>
  </si>
  <si>
    <t>Park, CM (corresponding author), Seoul Natl Univ, Dept Radiol, Coll Med, 101 Daehak Ro, Seoul 03080, South Korea.; Park, CM (corresponding author), Seoul Natl Univ, Inst Radiat Med, Coll Med, 101 Daehak Ro, Seoul 03080, South Korea.</t>
  </si>
  <si>
    <t>cmpark.morphius@gmail.com; yyssaa21@gmail.com; lwestsiderl@hanmail.net; jasonandr@gmail.com; idgunkim@gmail.com; jeong-gook@hanmail.net; sginjung@naver.com; etiria@catholic.ac.kr</t>
  </si>
  <si>
    <t>Seoul National University Hospital Research fund [03-2019-0190]</t>
  </si>
  <si>
    <t>Seoul National University Hospital Research fund</t>
  </si>
  <si>
    <t>This work was supported by the Seoul National University Hospital Research fund (03-2019-0190).</t>
  </si>
  <si>
    <t>[Kim, Jae Hyun; Kim, Jin Young; Kim, Gun Ha] Armed Forces Goyang Hosp, Dept Radiol, 215 Hyeeum Ro, Goyang Si 10271, Gyeonggi Do, South Korea; [Kang, Donghoon; Kim, In Jung; Seo, Jeongkuk] Armed Forces Goyang Hosp, Dept Internal Med, 215 Hyeeum Ro, Goyang Si 10271, Gyeonggi Do, South Korea; [Andrews, Jason R.] Stanford Univ, Div Infect Dis &amp; Geog Med, Sch Med, 291 Campus Dr, Stanford, CA 94305 USA; [Park, Chang Min] Seoul Natl Univ, Dept Radiol, Coll Med, 101 Daehak Ro, Seoul 03080, South Korea; [Park, Chang Min] Seoul Natl Univ, Inst Radiat Med, Coll Med, 101 Daehak Ro, Seoul 03080, South Korea</t>
  </si>
  <si>
    <t>Seoul National University (SNU); Seoul National University Hospital</t>
  </si>
  <si>
    <t>Clinical Validation of a Deep Learning Algorithm for Detection of Pneumonia on Chest Radiographs in Emergency Department Patients with Acute Febrile Respiratory Illness</t>
  </si>
  <si>
    <t>acute febrile respiratory illness; emergency department; chest radiograph; artificial intelligence; deep learning algorithm</t>
  </si>
  <si>
    <t>DIABETIC-RETINOPATHY</t>
  </si>
  <si>
    <t>Seo, Jeongkuk/JGD-4249-2023</t>
  </si>
  <si>
    <t>Andrews, Jason/0000-0002-5967-251X; Seo, Jeongkuk/0000-0003-2915-2203; Kim, Jae Hyun/0000-0002-6691-3932; Kang, Donghoon/0000-0002-7278-2174; Park, Chang Min/0000-0003-1884-3738; Kim, Gun Ha/0000-0001-5042-1637</t>
  </si>
  <si>
    <t>10.3390/jcm9061981</t>
  </si>
  <si>
    <t>http://dx.doi.org/10.3390/jcm9061981</t>
  </si>
  <si>
    <t>MR8WS</t>
  </si>
  <si>
    <t>32599874</t>
  </si>
  <si>
    <t>WOS:000553871600001</t>
  </si>
  <si>
    <t>Duan, W; Li, X; Yang, YR; Hu, HR; Yang, JK; Zhang, HX; Wei, YZ; Jia, RL; Long, YB</t>
  </si>
  <si>
    <t>Background Older patients with patellar fractures may be at increased risk of postoperative deep vein thrombosis (DVT) because of trauma, perioperative immobilization, and age-related prothrombotic susceptibility. However, risk-stratification tools tailored to this specific population remain limited. We aimed to develop, internally test, and externally validate an interpretable machine-learning model, based on routinely available early admission data, for predicting imaging-confirmed in-hospital postoperative DVT in older patients with patellar fractures.Methods This retrospective prediction-model study included an internal cohort of 741 patients aged &gt;= 65 years who underwent surgery for patellar fractures between January 2017 and December 2022. The internal cohort was randomly divided into a development set (n = 518) and a held-out internal test set (n = 223). An independent external validation cohort of 273 eligible patients from a separate tertiary hospital was used to evaluate model transportability. A three-step feature-selection pipeline combining variance inflation factor screening, LASSO regression, and recursive feature elimination with cross-validation was used to identify core predictors from routine admission variables. Seven machine-learning algorithms, including reference linear benchmark models, were developed and compared. The final model was externally validated and compared with the preoperative Caprini score as an established clinical VTE risk-assessment benchmark. Model performance was assessed using the area under the receiver operating characteristic curve (AUROC), Brier score, calibration analysis, decision-curve analysis, and bootstrap optimism correction. SHapley Additive exPlanations were used to describe the behavior of the final model.Results In the internal cohort, the overall incidence of imaging-confirmed in-hospital postoperative DVT was 18.5% (137/741). In the external validation cohort, 38 of 273 patients developed DVT. Nine predictors were retained: albumin, platelet count, fibrinogen, sodium, body mass index, total protein, cholinesterase, low-density lipoprotein cholesterol, and hemoglobin. Among the candidate models, XGBoost achieved the highest held-out internal AUROC of 0.927 (95% CI, 0.873-0.969), which was interpreted as internal testing rather than independent validation. Bootstrap optimism correction yielded an optimism-corrected AUROC of 0.904 and an optimism-corrected Brier score of 0.089. In the external validation cohort, the XGBoost model achieved an AUROC of 0.838 (95% CI, 0.758-0.904) and a Brier score of 0.081. Compared with the preoperative Caprini score, XGBoost showed higher AUROC in both the internal test set (0.927 vs. 0.687) and the external validation cohort (0.838 vs. 0.685), with lower Brier scores in both settings. Descriptive analysis of thrombus location showed that distal DVT was the predominant classifiable subtype in both the internal and external cohorts. SHAP analysis indicated that albumin, platelet count, fibrinogen, body mass index, and sodium were among the most influential predictors, but these patterns were interpreted as model-derived associations rather than causal effects or clinical thresholds.Conclusion We developed, internally tested, and externally validated an interpretable XGBoost model based on nine routine early admission variables for predicting imaging-confirmed in-hospital postoperative DVT in older patients with patellar fractures.The model showed higher discrimination and lower prediction error than the preoperative Caprini score in both validation settings; however, because the endpoint was an imaging-ascertained composite outcome and detailed surgical and perioperative management variables were not fully captured, residual perioperative-management confounding cannot be excluded. Therefore, the model should be considered exploratory. Clinically, a high predicted risk should be interpreted as a prompt for closer postoperative surveillance and individualized clinical review, including consideration of repeat duplex ultrasonography when appropriate, verification of thromboprophylaxis adherence, hydration optimization, and reassessment of modifiable risk factors. The model should not be used alone to intensify or extend anticoagulation, change rehabilitation protocols, alter fluid management, or determine other postoperative management decisions. Further multicenter validation, recalibration, and evaluation of clinically meaningful DVT subtypes are required before clinical implementation.</t>
  </si>
  <si>
    <t>Duan, Wei; Li, Xing; Yang, Yuerong; Hu, Haoran; Yang, Jiakai; Zhang, Hongxu; Wei, Yuanzheng; Jia, Ruili; Long, Yubin</t>
  </si>
  <si>
    <t>Long, YB (corresponding author), Baoding First Cent Hosp, Dept Orthoped Surg, Baoding 071000, Hebei, Peoples R China.; Jia, RL (corresponding author), Hebei Med Univ, Baoding Cent Hosp 1, Dept Nephrol, Baoding 071000, Hebei, Peoples R China.</t>
  </si>
  <si>
    <t>jiajia1987872025@163.com; longyubin1987@163.com</t>
  </si>
  <si>
    <t>2025 Baoding Science and Technology Program Self-Funded Project [2541ZF198]</t>
  </si>
  <si>
    <t>2025 Baoding Science and Technology Program Self-Funded Project</t>
  </si>
  <si>
    <t>This research was supported by the 2025 Baoding Science and Technology Program Self-Funded Project (Grant No. 2541ZF198).</t>
  </si>
  <si>
    <t>[Duan, Wei; Hu, Haoran; Yang, Jiakai; Wei, Yuanzheng] Chengde Med Univ, Baoding Cent Hosp 1, Dept Orthoped Surg, Baoding 071000, Hebei, Peoples R China; [Li, Xing; Long, Yubin] Baoding First Cent Hosp, Dept Orthoped Surg, Baoding 071000, Hebei, Peoples R China; [Yang, Yuerong] Chengde Med Univ, Baoding Cent Hosp 1, Dept Ophthalmol, Baoding 071000, Hebei, Peoples R China; [Zhang, Hongxu; Jia, Ruili] Hebei Med Univ, Baoding Cent Hosp 1, Dept Nephrol, Baoding 071000, Hebei, Peoples R China</t>
  </si>
  <si>
    <t>Development, internal testing, and external validation of an interpretable machine-learning model for predicting imaging-confirmed in-hospital postoperative deep vein thrombosis in older patients with patellar fractures</t>
  </si>
  <si>
    <t>Patellar fracture; Deep vein thrombosis; Machine learning; XGBoost; External validation; Caprini score; Older patients</t>
  </si>
  <si>
    <t>JUN 5 2026</t>
  </si>
  <si>
    <t>309</t>
  </si>
  <si>
    <t>10.1186/s12911-026-03616-9</t>
  </si>
  <si>
    <t>http://dx.doi.org/10.1186/s12911-026-03616-9</t>
  </si>
  <si>
    <t>MN0QJ</t>
  </si>
  <si>
    <t>42249366</t>
  </si>
  <si>
    <t>WOS:001846135800001</t>
  </si>
  <si>
    <t>de Groot, TM; Sommerkamp, AA; Thio, QCBS; Karhade, AV; Groot, OQ; Oosterhof, JHF; Ijpma, FFA; VAN Ooijen, PMA; Ploegmakers, JJW; Jutte, PC; Schwab, JH; Doornber, JN</t>
  </si>
  <si>
    <t>Accurate survival prediction of patients with long-bone metastases is challenging, but important for optimizing treatment. The Skeletal Oncology Research Group (SORG) machine learning algorithm (MLA) has been previously developed and internally validated to predict 90-day and 1-year survival. External validation showed promise in the United States and Taiwan. To ensure global generalizability, the algorithm remains to be validated in Europe. We therefore asked: does the SORG-MLA for long-bone metastases accurately predict 90-day and 1-year survival in a European cohort? One-hundred seventy-four patients undergoing surgery for long-bone metastases between 1997-2019 were included at a tertiary referral Orthopaedic Oncology Center in the Netherlands. Model performance measures included discrimination, calibration, overall performance, and decision curve analysis. The SORG-MLA retained reasonable discriminative ability, showing an area under the curve of 0.73 for 90-day mortality and 0.77 for 1-year mortality. However, the calibration analysis demonstrated overestimation of European patients' 90- day mortality (calibration intercept-0.54, slope 0.60). For 1-year mortality (calibration intercept 0.01, slope 0.60) this was not the case. The Brier score predictions were lower than their respective null model (0.13 versus 0.14 for 90-day; 0.20 versus 0.25 for 1-year), suggesting good overall performance of the SORG-MLA for both timepoints. The SORG-MLA showed promise in predicting survival of patients with extremity metastatic disease. However, clinicians should keep in mind that due to differences in patient population, the model tends to underestimate survival in this Dutch cohort. The SORG model can be accessed freely at https://sorg-apps.shinyapps.io/extremitymetssurvival/</t>
  </si>
  <si>
    <t>de Groot, T. M.; Sommerkamp, A. A.; Thio, Q. C. B. S.; Karhade, A. V.; Groot, O. Q.; Oosterhof, J. H. F.; Ijpma, F. F. A.; VAN Ooijen, P. M. A.; Ploegmakers, J. J. W.; Jutte, P. C.; Schwab, J. H.; Doornber, J. N.</t>
  </si>
  <si>
    <t>de Groot, TM (corresponding author), Univ Med Ctr Groningen, Dept Orthopaed Surg, Groningen, Netherlands.</t>
  </si>
  <si>
    <t>t.m.de.groot@umcg.nl</t>
  </si>
  <si>
    <t>[de Groot, T. M.; Sommerkamp, A. A.; Ploegmakers, J. J. W.; Jutte, P. C.; Doornber, J. N.] Univ Groningen, Univ Med Ctr Groningen, Dept Orthopaed, Groningen, Netherlands; [de Groot, T. M.; Sommerkamp, A. A.; Ijpma, F. F. A.; Ploegmakers, J. J. W.; Jutte, P. C.; Doornber, J. N.] Univ Groningen, Univ Med Ctr Groningen, Dept Surg, Groningen, Netherlands; [de Groot, T. M.; Sommerkamp, A. A.; VAN Ooijen, P. M. A.; Ploegmakers, J. J. W.; Jutte, P. C.; Doornber, J. N.] Univ Groningen, Univ Med Ctr Groningen, Data Sci Ctr Hlth, Groningen, Netherlands; [de Groot, T. M.; Thio, Q. C. B. S.; Karhade, A. V.; Groot, O. Q.; Oosterhof, J. H. F.; Schwab, J. H.] Harvard Med Sch, Massachusetts Gen Hosp, Dept Orthopaed Surg, Boston, MA USA</t>
  </si>
  <si>
    <t>University of Groningen; University of Groningen; University of Groningen; Harvard University; Harvard Medical School; Harvard University Medical Affiliates; Massachusetts General Hospital</t>
  </si>
  <si>
    <t>Machine Learning Consortium</t>
  </si>
  <si>
    <t>External validation of the SORG machine learning for 90-day and 1-year mortality in patients suffering from extremity metastatic disease in an European cohort of 174 patients</t>
  </si>
  <si>
    <t>ACTA ORTHOPAEDICA BELGICA</t>
  </si>
  <si>
    <t>PREDICTION; MODEL; RISK</t>
  </si>
  <si>
    <t>van Ooijen, Peter/B-9150-2008; IJpma, Frank/AAH-6350-2019</t>
  </si>
  <si>
    <t>jutte, paul/0000-0002-6022-2807; van Ooijen, Peter/0000-0002-8995-1210; Schwab, Joseph/0000-0002-2059-7559</t>
  </si>
  <si>
    <t>ACTA MEDICA BELGICA</t>
  </si>
  <si>
    <t>BRUSSELS</t>
  </si>
  <si>
    <t>AVENUE WINSTON CHURCHILL, WINSTON CHURCHILL-LAAN, 11 BOX 30, B-1180 BRUSSELS, BELGIUM</t>
  </si>
  <si>
    <t>0001-6462</t>
  </si>
  <si>
    <t>ACTA ORTHOP BELG</t>
  </si>
  <si>
    <t>Acta Orthop. Belg.</t>
  </si>
  <si>
    <t>493</t>
  </si>
  <si>
    <t>10.52628/90.3.12636</t>
  </si>
  <si>
    <t>http://dx.doi.org/10.52628/90.3.12636</t>
  </si>
  <si>
    <t>W8N2D</t>
  </si>
  <si>
    <t>39851022</t>
  </si>
  <si>
    <t>WOS:001421064000016</t>
  </si>
  <si>
    <t>Bronze; Green Submitted; Green Published</t>
  </si>
  <si>
    <t>Liu, J; Li, LH; Zhang, J; Yang, CM; Huang, XQ; Shu, Y; He, XP; Shu, J</t>
  </si>
  <si>
    <t>Background Accurate identification of benign and malignant bile duct dilatation (BDD) is needed to determine its management plan. Conventional imaging evaluation is subjective, whereas deep learning (DL) offers potential for automated objective assessment. Purpose To construct and evaluate DL models and ensemble strategies based on magnetic resonance cholangiopancreatography (MRCP) images for identifying benign and malignant BDD. Study Type Retrospective and prospective. Population A retrospective cohort (n = 378; median age, 60 years [range: 14, 90]; 194 male) from two institutions and a prospective cohort (n = 60; median age, 62.5 years [range: 15, 86]; 30 male) were included. Retrospective data were randomly stratified split into training, validation, and internal test sets (2:1:1) and an independent external test set. Benign cases were downsampled to balance class distribution. Field Strength/Sequence 3 T MRCP (3D turbo spin echo: VISTA and SPACE). Assessment The primary retrospective endpoint was area under the curve (AUC) across DL algorithms and ensembles. Prospectively, the accuracy, sensitivity, and specificity of the model was compared with those of three radiologists. Statistical Tests Group comparisons used Mann-Whitney U and Chi-square tests (p &lt; 0.05). Model performance was evaluated using the Hosmer-Lemeshow test, DeLong's test with Bonferroni correction (alpha = 0.005), and McNemar's test. Results The Xception model achieved AUCs of 0.816 (95% CI, 0.788-0.844) on the internal test set and 0.807 (95% CI, 0.779-0.835) on the external test set. The ensemble model incorporating logistic regression yielded higher patient-level AUCs of 0.890 and 0.885, with good calibration (p = 0.109). No significant differences were observed among the five ensemble strategies (minimum adjusted p = 0.62). In the prospective cohort, the model showed 90.0% accuracy, sensitivity, and specificity, comparable to radiologists (76.7%-86.7%) without a significant difference (p = 0.143, 0.302, and 0.774, respectively). Data Conclusion The Xce-LR model shows potential for automating BDD differentiation using MRCP. Level of Evidence 2. Technical Efficacy Stage 2.</t>
  </si>
  <si>
    <t>Liu, Jiong; Li, Lihong; Zhang, Jing; Yang, Chunmei; Huang, Xinqiao; Shu, Yue; He, Xiaopeng; Shu, Jian</t>
  </si>
  <si>
    <t>Shu, J (corresponding author), Southwest Med Univ, Affiliated Hosp, Dept Radiol, Luzhou, Sichuan, Peoples R China.; Shu, J (corresponding author), Southwest Med Univ, Precis Imaging &amp; Intelligent Anal Key Lab Luzhou, Luzhou 646000, Sichuan, Peoples R China.</t>
  </si>
  <si>
    <t>shujiannc@163.com</t>
  </si>
  <si>
    <t>Sichuan Province Science and Technology Support Program [2024JDRC0045]; National Natural Science Foundation of China [82272077]</t>
  </si>
  <si>
    <t>Sichuan Province Science and Technology Support Program; National Natural Science Foundation of China (National Natural Science Foundation of China (NSFC))</t>
  </si>
  <si>
    <t>We received funding from the National Natural Science Foundation of China (Grant No. 82272077), and the Sichuan Province Science and Technology Program (Grant No. 2024JDRC0045).</t>
  </si>
  <si>
    <t>[Liu, Jiong; Li, Lihong; Zhang, Jing; Yang, Chunmei; Huang, Xinqiao; He, Xiaopeng; Shu, Jian] Southwest Med Univ, Affiliated Hosp, Dept Radiol, Luzhou, Sichuan, Peoples R China; [Liu, Jiong; Li, Lihong; Zhang, Jing; Yang, Chunmei; Huang, Xinqiao; He, Xiaopeng; Shu, Jian] Southwest Med Univ, Precis Imaging &amp; Intelligent Anal Key Lab Luzhou, Luzhou 646000, Sichuan, Peoples R China; [Shu, Yue] Southwest Med Univ, Affiliated Hosp, Dept Oncol, Luzhou, Sichuan, Peoples R China</t>
  </si>
  <si>
    <t>Southwest Medical University; Southwest Medical University; Southwest Medical University</t>
  </si>
  <si>
    <t>Deep Learning for Differentiating Benign From Malignant Bile Duct Dilation on MRCP: Development and Prospective Evaluation of an Xception-Logistic Regression Ensemble Model</t>
  </si>
  <si>
    <t>JOURNAL OF MAGNETIC RESONANCE IMAGING</t>
  </si>
  <si>
    <t>bile duct dilation; deep learning; diagnosis; ensemble model; magnetic resonance cholangiopancreatography</t>
  </si>
  <si>
    <t>Liu, Jiong/PBW-1525-2025</t>
  </si>
  <si>
    <t>Shu, Jian/0000-0002-7386-7217</t>
  </si>
  <si>
    <t>1053-1807</t>
  </si>
  <si>
    <t>1522-2586</t>
  </si>
  <si>
    <t>J MAGN RESON IMAGING</t>
  </si>
  <si>
    <t>J. Magn. Reson. Imaging</t>
  </si>
  <si>
    <t>1011</t>
  </si>
  <si>
    <t>10.1002/jmri.70200</t>
  </si>
  <si>
    <t>http://dx.doi.org/10.1002/jmri.70200</t>
  </si>
  <si>
    <t>ES7TS</t>
  </si>
  <si>
    <t>41348562</t>
  </si>
  <si>
    <t>WOS:001631937800001</t>
  </si>
  <si>
    <t>Yao, HH; Tian, L; Liu, X; Li, SR; Chen, YH; Cao, JZ; Zhang, ZL; Chen, ZH; Feng, ZH; Xu, QH; Zhu, JQ; Wang, YH; Guo, Y; Chen, W; Li, CX; Li, PX; Wang, HJ; Luo, JH</t>
  </si>
  <si>
    <t>PurposeThere are undetectable levels of fat in fat-poor angiomyolipoma. Thus, it is often misdiagnosed as renal cell carcinoma. We aimed to develop and evaluate a multichannel deep learning model for differentiating fat-poor angiomyolipoma (fp-AML) from renal cell carcinoma (RCC).MethodsThis two-center retrospective study included 320 patients from the First Affiliated Hospital of Sun Yat-Sen University (FAHSYSU) and 132 patients from the Sun Yat-Sen University Cancer Center (SYSUCC). Data from patients at FAHSYSU were divided into a development dataset (n = 267) and a hold-out dataset (n = 53). The development dataset was used to obtain the optimal combination of CT modality and input channel. The hold-out dataset and SYSUCC dataset were used for independent internal and external validation, respectively.ResultsIn the development phase, models trained on unenhanced CT images performed significantly better than those trained on enhanced CT images based on the fivefold cross-validation. The best patient-level performance, with an average area under the receiver operating characteristic curve (AUC) of 0.951 &amp; PLUSMN; 0.026 (mean &amp; PLUSMN; SD), was achieved using the "unenhanced CT and 7-channel" model, which was finally selected as the optimal model. In the independent internal and external validation, AUCs of 0.966 (95% CI 0.919-1.000) and 0.898 (95% CI 0.824-0.972), respectively, were obtained using the optimal model. In addition, the performance of this model was better on large tumors (&amp; GE; 40 mm) in both internal and external validation.ConclusionThe promising results suggest that our multichannel deep learning classifier based on unenhanced whole-tumor CT images is a highly useful tool for differentiating fp-AML from RCC.</t>
  </si>
  <si>
    <t>Yao, Haohua; Tian, Li; Liu, Xi; Li, Shurong; Chen, Yuhang; Cao, Jiazheng; Zhang, Zhiling; Chen, Zhenhua; Feng, Zihao; Xu, Quanhui; Zhu, Jiangquan; Wang, Yinghan; Guo, Yan; Chen, Wei; Li, Caixia; Li, Peixing; Wang, Huanjun; Luo, Junhang</t>
  </si>
  <si>
    <t>Luo, JH (corresponding author), Sun Yat Sen Univ, Affiliated Hosp 1, Dept Urol, Guangzhou, Peoples R China.; Wang, HJ (corresponding author), Sun Yat Sen Univ, Affiliated Hosp 1, Dept Radiol, Guangzhou, Peoples R China.</t>
  </si>
  <si>
    <t>wanghj45@mail.sysu.edu.cn; luojunh@mail.sysu.edu.cn</t>
  </si>
  <si>
    <t>National Natural Science Foundation of China [82373433, 81725016, 81872094, 82272862, 81902576]; National Key Research and Development Program of China [2016YFC0902600]; Guangzhou Science and Technology Projects [202201010910]</t>
  </si>
  <si>
    <t>National Natural Science Foundation of China (National Natural Science Foundation of China (NSFC)); National Key Research and Development Program of China (National Key Research &amp; Development Program of China); Guangzhou Science and Technology Projects</t>
  </si>
  <si>
    <t>This work was supported in part by the National Natural Science Foundation of China (award number: 82373433, 81725016, 81872094, 82272862, 81902576), the National Key Research and Development Program of China (award number: 2016YFC0902600) and the Guangzhou Science and Technology Projects (award number: 202201010910).</t>
  </si>
  <si>
    <t>[Yao, Haohua; Liu, Xi; Chen, Yuhang; Chen, Zhenhua; Feng, Zihao; Xu, Quanhui; Zhu, Jiangquan; Wang, Yinghan; Chen, Wei; Luo, Junhang] Sun Yat Sen Univ, Affiliated Hosp 1, Dept Urol, Guangzhou, Peoples R China; [Yao, Haohua] Guangdong Acad Med Sci, Guangdong Prov Peoples Hosp, Dept Urol, Guangzhou, Peoples R China; [Tian, Li] Sun Yat Sen Univ, Collaborat Innovat Ctr Canc Med, Dept Med Imaging, State Key Lab Oncol South China,Canc Ctr, Guangzhou, Peoples R China; [Li, Shurong; Guo, Yan; Wang, Huanjun] Sun Yat Sen Univ, Affiliated Hosp 1, Dept Radiol, Guangzhou, Peoples R China; [Cao, Jiazheng] Jiangmen Cent Hosp, Dept Urol, Jiangmen, Peoples R China; [Zhang, Zhiling] Sun Yat Sen Univ, Collaborat Innovat Ctr Canc Med, Dept Urol, State Key Lab Oncol South China,Canc Ctr, Guangzhou, Peoples R China; [Li, Caixia; Li, Peixing] Sun Yat Sen Univ, Sch Math &amp; Computat Sci, Guangzhou, Peoples R China</t>
  </si>
  <si>
    <t>Sun Yat Sen University; Southern Medical University - China; Guangdong Academy of Medical Sciences &amp; Guangdong General Hospital; Sun Yat Sen University; State Key Lab Oncology South China; Sun Yat Sen University; Sun Yat Sen University; State Key Lab Oncology South China; Sun Yat Sen University</t>
  </si>
  <si>
    <t>Development and external validation of the multichannel deep learning model based on unenhanced CT for differentiating fat-poor angiomyolipoma from renal cell carcinoma: a two-center retrospective study</t>
  </si>
  <si>
    <t>Renal cell carcinoma; Fat-poor angiomyolipoma; Urology; Deep learning; Computed tomography</t>
  </si>
  <si>
    <t>TEXTURE ANALYSIS; CORTICAL TUMORS; MINIMAL FAT; CLASSIFICATION; DIAGNOSIS; FEATURES; SUBTYPES; IMAGES; MASSES</t>
  </si>
  <si>
    <t>chen, yuhang/HJH-0599-2022; Xu, Quanhui/MVU-5766-2025</t>
  </si>
  <si>
    <t>chen, yuhang/0000-0002-2931-9934</t>
  </si>
  <si>
    <t>15827</t>
  </si>
  <si>
    <t>15838</t>
  </si>
  <si>
    <t>10.1007/s00432-023-05339-0</t>
  </si>
  <si>
    <t>http://dx.doi.org/10.1007/s00432-023-05339-0</t>
  </si>
  <si>
    <t>W2SE4</t>
  </si>
  <si>
    <t>37672075</t>
  </si>
  <si>
    <t>WOS:001062847400005</t>
  </si>
  <si>
    <t>Li, TC; Xu, NA; Yan, XF; Wang, GL; Liu, ZF; Liu, YN; Zhao, K; Su, XH</t>
  </si>
  <si>
    <t>Purpose To develop and validate a preoperative [18F]PSMA-1007 PET-derived deep learning score (DLS) and an integrated model combining DLS, D'Amico risk classification, and SUVmax for predicting biochemical recurrence-free survival (BRFS) after radical prostatectomy (RP). Materials and methods This retrospective study included 697 patients with prostate cancer who underwent preoperative [18F]PSMA-1007 PET/CT before RP at three campuses within one healthcare network: Qingchun (training cohort, n = 445), Yuhang (validation cohort 1, n = 190), and Zhijiang (validation cohort 2, n = 62). Five convolutional neural networks were trained to predict 3-year biochemical recurrence from PET images, and the output of the best-performing network was defined as the DLS. Four preoperative prognostic models were evaluated: DLS alone, D'Amico classification alone, D'Amico plus SUVmax, and D'Amico plus SUVmax plus DLS. Performance was assessed using Harrell's C-index, inverse-probability-of-censoring-weighted time-dependent AUC, calibration, decision curve analysis, and nested model comparisons. Results VGG19 showed the best fixed-time classification performance, with 3-year ROC AUCs of 0.834, 0.755, and 0.723 in the training and two validation cohorts, respectively. A higher DLS was associated with shorter BRFS in all cohorts. Biopsy ISUP Grade Group was significantly associated with BRFS (global P &lt; 0.001). In multivariable analysis, intermediate- and high-risk D'Amico groups, SUVmax, and DLS were independently associated with BRFS. The integrated model achieved C-indices of 0.846, 0.806, and 0.774 and 36-month AUCs of 0.853, 0.801, and 0.779 in the training and two validation cohorts, respectively, outperforming D'Amico classification alone and D'Amico plus SUVmax. Conclusion A fully preoperative model integrating an [18F]PSMA-1007 PET-derived DLS with D'Amico risk classification and SUVmax improved prediction of BRFS after RP. The model may support preoperative risk counseling and postoperative surveillance planning.</t>
  </si>
  <si>
    <t>Li, Tiancheng; Xu, Nina; Yan, Xiaofang; Wang, Guolin; Liu, Zhenfeng; Liu, Yinuo; Zhao, Kui; Su, Xinhui</t>
  </si>
  <si>
    <t>Su, XH (corresponding author), Zhejiang Univ, Affiliated Hosp 1, Dept Nucl Med, Sch Med, Hangzhou, Peoples R China.</t>
  </si>
  <si>
    <t>suxinhui@zju.edu.cn</t>
  </si>
  <si>
    <t>[Li, Tiancheng; Yan, Xiaofang; Wang, Guolin; Liu, Zhenfeng; Liu, Yinuo; Zhao, Kui; Su, Xinhui] Zhejiang Univ, Affiliated Hosp 1, Dept Nucl Med, Sch Med, Hangzhou, Peoples R China; [Xu, Nina] Hangzhou Normal Univ, Dept Med Imaging Radiol, Affiliated Hosp, Hangzhou, Peoples R China</t>
  </si>
  <si>
    <t>Zhejiang University; Hangzhou Normal University</t>
  </si>
  <si>
    <t>Development and multicohort external validation of a preoperative [18F]PSMA-1007 PET-derived deep learning score and multimodal model for predicting biochemical recurrence-free survival after radical prostatectomy</t>
  </si>
  <si>
    <t>CANCER IMAGING</t>
  </si>
  <si>
    <t>Prostate cancer; Biochemical recurrence-free survival; [18F]PSMA-1007 PET/CT; Deep learning; D'Amico risk classification; Preoperative risk stratification</t>
  </si>
  <si>
    <t>BIODISTRIBUTION; CANCER</t>
  </si>
  <si>
    <t>1740-5025</t>
  </si>
  <si>
    <t>1470-7330</t>
  </si>
  <si>
    <t>Cancer Imaging</t>
  </si>
  <si>
    <t>JUL 11 2026</t>
  </si>
  <si>
    <t>110</t>
  </si>
  <si>
    <t>10.1186/s40644-026-01090-0</t>
  </si>
  <si>
    <t>http://dx.doi.org/10.1186/s40644-026-01090-0</t>
  </si>
  <si>
    <t>MY1TR</t>
  </si>
  <si>
    <t>42436576</t>
  </si>
  <si>
    <t>WOS:001853682400001</t>
  </si>
  <si>
    <t>Webster, DE; Habermano, RH; Perez-Chada, LM; Tummalacherla, M; Tediarjo, A; Yadav, V; Neto, EC; MacDuffie, W; DePhillips, M; Sieg, E; Catron, S; Granto, C; Francis, W; Nguyen, M; Yussuff, M; Castillo, RL; Yan, D; Neimann, AL; Reddy, SM; Ogdieo, A; Kolivras, A; Kellen, MR; Mangravite, LM; Siebertso, SK; Omberg, L; Merola, JF; Scher, JU</t>
  </si>
  <si>
    <t>Objective: Psoriatic disease remains underdiagnosed and undertreated. We developed and validated a suite of novel, sensor-based smartphone assessments (Psorcast app) that can be self-administered to measure cutaneous and musculoskeletal signs and symptoms of psoriatic disease. Methods:&lt;bold&gt; &lt;/bold&gt;Participants with psoriasis (PsO) or psoriatic arthritis (PsA) and healthy controls were recruited between June 5, 2019, and November 10, 2021, at 2 academic medical centers. Concordance and accuracy of digital measures and image-based machine learning models were compared to their analogous clinical measures from trained rheumatologists and dermatologists. Results:&lt;bold&gt; &lt;/bold&gt;Of 104 study participants, 51 (49%) were female and 53 (51%) were male, with a mean age of 42.3 years (SD 12.6). Seventy-nine (76%) participants had PsA, 16 (15.4%) had PsO, and 9 (8.7%) were healthy controls. Digital patient assessment of percent body surface area (BSA) affected with PsO demonstrated very strong concordance (Lin concordance correlation coefficient [CCC] 0.94 [95% CI 0.91-0.96]) with physician-assessed BSA. The in-clinic and remote target plaque physician global assessments showed fair-to-moderate concordance (CCCerythema 0.72 [0.59-0.85]; CCCinduration 0.72 [0.62-0.82]; CCCscaling 0.60 [0.48-0.72]). Machine learning models of hand photos taken by patients accurately identified clinically diagnosed nail PsO with an accuracy of 0.76. The Digital Jar Open assessment categorized physician-assessed upper extremity involvement, considering joint tenderness or enthesitis (AUROC 0.68 [0.47-0.85]). Conclusion:&lt;bold&gt; &lt;/bold&gt;The Psorcast digital assessments achieved significant clinical validity, although they require further validation in larger cohorts before use in evidence-based medicine or clinical trial settings. The smartphone software and analysis pipelines from the Psorcast suite are open source and freely available.</t>
  </si>
  <si>
    <t>Webster, Dan E.; Habermano, Rebecca H.; Perez-Chada, Lourdes M.; Tummalacherla, Meghasyam; Tediarjo, Aryton; Yadav, Vijay; Chaibub Neto, Elias; MacDuffie, Woody; DePhillips, Michael; Sieg, Eric; Catron, Sydney; Granto, Carly; Francis, Wynona; Nguyen, Marina; Yussuff, Muibat; Castillo, Rochelle L.; Yan, Di; Neimann, Andrea L.; Reddy, Soumya M.; Ogdieo, Alexis; Kolivras, Athanassios; Kellen, Michael R.; Mangravite, Lara M.; Siebertso, Solveig K.; Omberg, Larsson; Merola, Joseph F.; Scher, Jose U.</t>
  </si>
  <si>
    <t>Scher, JU (corresponding author), NYU, Grossman Sch Med, 301 E17th St,Room 1608, New York, NY 10003 USA.</t>
  </si>
  <si>
    <t>Jose.Scher@nyulangone.org</t>
  </si>
  <si>
    <t>Psorcast Digital Biomarker Consortium consisting of Sage Bionetworks, Psoriasis and Psoriatic Arthritis Centers for Multicenter Advancement Network (PPACMAN); Novartis; UCB; Pfizer; Janssen; Snyder Family Foundation; Riley Family Foundation</t>
  </si>
  <si>
    <t>Psorcast Digital Biomarker Consortium consisting of Sage Bionetworks, Psoriasis and Psoriatic Arthritis Centers for Multicenter Advancement Network (PPACMAN); Novartis (Novartis); UCB (UCB Pharma SA); Pfizer (Pfizer); Janssen (Johnson &amp; Johnson, Johnson &amp; Johnson USA, Janssen Biotech Inc); Snyder Family Foundation; Riley Family Foundation</t>
  </si>
  <si>
    <t>his work is funded by the Psorcast Digital Biomarker Consortium consisting of Sage Bionetworks, Psoriasis and Psoriatic Arthritis Centers for Multicenter Advancement Network (PPACMAN), Novartis, UCB, Pfizer, and Janssen. JUS was supported by the Snyder Family Foundation and the Riley Family Foundation.</t>
  </si>
  <si>
    <t>[Webster, Dan E.; Tummalacherla, Meghasyam; Tediarjo, Aryton; Yadav, Vijay; Chaibub Neto, Elias; MacDuffie, Woody; Kellen, Michael R.; Mangravite, Lara M.; Siebertso, Solveig K.; Omberg, Larsson] Sage Bionetworks, Seattle, WA USA; [Habermano, Rebecca H.; Catron, Sydney; Castillo, Rochelle L.; Reddy, Soumya M.; Scher, Jose U.] NYU, Grossman Sch Med, Dept Med, Div Rheumatol, New York, NY USA; [Habermano, Rebecca H.; Catron, Sydney; Castillo, Rochelle L.; Reddy, Soumya M.; Scher, Jose U.] NYU Langone Hlth, NYU Psoriat Arthrit Ctr, New York, NY USA; [Perez-Chada, Lourdes M.; Granto, Carly; Francis, Wynona; Nguyen, Marina; Yussuff, Muibat] Harvard Med Sch, Brigham &amp; Womens Hosp, Dept Dermatol, Boston, MA USA; [DePhillips, Michael; Sieg, Eric] SDP Digital, Seattle, WA USA; [Yan, Di; Neimann, Andrea L.] NYU, Grossman Sch Med, Ronald O Perelman Dept Dermatolog, New York, NY USA; [Ogdieo, Alexis] Univ Penn, Ctr Clin Epidemiol &amp; Biostat, Dept Med, Div Rheumatol, Philadelphia, PA USA; [Kolivras, Athanassios] Univ Libre Bruxelles, Brugmann &amp; Queen Fabiola Children Univ Hosp, Dept Dermatol, St Pierre, Brussels, Belgium; [Kolivras, Athanassios] Univ Libre Bruxelles, Brugmann &amp; Queen Fabiola Children Univ Hosp, Dept Dermatopathol, St Pierre, Brussels, Belgium; [Kolivras, Athanassios] UCB Pharm, Brussels, Belgium; [Merola, Joseph F.] UT Southwestern Med Ctr, Dept Dermatol, Dallas, TX USA; [Merola, Joseph F.] UT Southwestern Med Ctr, Dept Med, Div Rheumatol, Dallas, TX USA</t>
  </si>
  <si>
    <t>New York University; NYU Langone Medical Center; Harvard University; Harvard Medical School; Harvard University Medical Affiliates; Brigham &amp; Women's Hospital; New York University; University of Pennsylvania; Pennsylvania Medicine; UCB Pharma SA; University of Texas System; University of Texas Southwestern Medical Center; University of Texas System; University of Texas Southwestern Medical Center</t>
  </si>
  <si>
    <t>Clinical Validation of Digitally Acquired Clinical Data and Machine Learning Models for Remote Measurement of Psoriasis and Psoriatic Arthritis: A Proof-of-Concept Study</t>
  </si>
  <si>
    <t>JOURNAL OF RHEUMATOLOGY</t>
  </si>
  <si>
    <t>biomarkers; clinical validation; digital health; outcome assessment; psoriasis; psoriatic arthritis</t>
  </si>
  <si>
    <t>FOUNDATION; EPIDEMIOLOGY; DISABILITY</t>
  </si>
  <si>
    <t>Tummalacherla, Meghasyam/AGR-9106-2022</t>
  </si>
  <si>
    <t>Yan, Di/0000-0003-1338-9847; Perez Chada, Lourdes/0000-0001-7724-7309; Haberman, Rebecca/0000-0002-7119-8136</t>
  </si>
  <si>
    <t>J RHEUMATOL PUBL CO</t>
  </si>
  <si>
    <t>365 BLOOR ST E, STE 901, TORONTO, ONTARIO M4W 3L4, CANADA</t>
  </si>
  <si>
    <t>0315-162X</t>
  </si>
  <si>
    <t>1499-2752</t>
  </si>
  <si>
    <t>J RHEUMATOL</t>
  </si>
  <si>
    <t>J. Rheumatol.</t>
  </si>
  <si>
    <t>AUG 1 2024</t>
  </si>
  <si>
    <t>10.3899/jrheum.2024-0074</t>
  </si>
  <si>
    <t>http://dx.doi.org/10.3899/jrheum.2024-0074</t>
  </si>
  <si>
    <t>G5V2F</t>
  </si>
  <si>
    <t>38879192</t>
  </si>
  <si>
    <t>WOS:001317303100004</t>
  </si>
  <si>
    <t>Ding, ZD; Zhang, LN; Zhang, YH; Yang, J; Luo, YH; Ge, M; Yao, WF; Hei, ZQ; Chen, CJ</t>
  </si>
  <si>
    <t>Background: Patients undergoing liver transplantation (LT) are at risk of perioperative neurocognitive dysfunction (PND), which significantly affects the patients' prognosis. Objective: This study used machine learning (ML) algorithms with an aim to extract critical predictors and develop an ML model to predict PND among LT recipients. Methods: In this retrospective study, data from 958 patients who underwent LT between January 2015 and January 2020 were extracted from the Third Affiliated Hospital of Sun Yat-sen University. Six ML algorithms were used to predict post-LT PND, and model performance was evaluated using area under the receiver operating curve (AUC), accuracy, sensitivity, specificity, and F1-scores. The best-performing model was additionally validated using a temporal external dataset including 309 LT cases from February 2020 to August 2022, and an independent external dataset extracted from the Medical Information Mart for Results: In the development cohort, 201 out of 751 (33.5%) patients were diagnosed with PND. The logistic regression model achieved the highest AUC (0.799) in the internal validation set, with comparable AUC in the temporal external (0.826) and MIMIC-IV validation sets (0.72). The top 3 features contributing to post-LT PND diagnosis were the preoperative overt hepatic encephalopathy, platelet level, and postoperative sequential organ failure assessment score, as revealed by the Shapley additive Conclusions: A real-time logistic regression model-based online predictor of post-LT PND was developed, providing a highly interoperable tool for use across medical institutions to support early risk stratification and decision making for the LT recipients.</t>
  </si>
  <si>
    <t>Ding, Zhendong; Zhang, Linan; Zhang, Yihan; Yang, Jing; Luo, Yuheng; Ge, Mian; Yao, Weifeng; Hei, Ziqing; Chen, Chaojin</t>
  </si>
  <si>
    <t>Chen, CJ (corresponding author), Sun Yat Sen Univ, Affiliated Hosp3, Dept Anesthesiol, 600 Tianhe Rd, Guangzhou 510630, Peoples R China.</t>
  </si>
  <si>
    <t>chenchj28@mail.sysu.edu.cn</t>
  </si>
  <si>
    <t>Special Support Project of Guangdong Province [0720240209]; Natural Science Foundation of Guangdong Province [2022A1515012603]; National Natural Science Foundation of China [U22A20276]; Science and Technology Planning Project of Guangdong Province-Regional Innovation Capacity and Support System Construction [2023B110006]; Provincial-enterprise Joint Funds of Guangdong Basic and Applied Basic Research Foundation [2021B1515230012]; Science and Technology Program of Guangzhou, China [202201020429]; Third Affiliated Hospital of Sun Yat-Sen University [2023WW501]</t>
  </si>
  <si>
    <t>Special Support Project of Guangdong Province; Natural Science Foundation of Guangdong Province (National Natural Science Foundation of Guangdong Province); National Natural Science Foundation of China (National Natural Science Foundation of China (NSFC)); Science and Technology Planning Project of Guangdong Province-Regional Innovation Capacity and Support System Construction; Provincial-enterprise Joint Funds of Guangdong Basic and Applied Basic Research Foundation; Science and Technology Program of Guangzhou, China; Third Affiliated Hospital of Sun Yat-Sen University</t>
  </si>
  <si>
    <t>We express our gratitude to Ms Li Jing from the Chinese MCC5 University for her valuable assistance in processing the figures. This study was supported partly by the Special Support Project of Guangdong Province (0720240209), the Natural Science Foundation of Guangdong Province (grant 2022A1515012603), the Joint Funds of the National Natural Science Foundation of China (U22A20276), Science and Technology Planning Project of Guangdong Province-Regional Innovation Capacity and Support System Construction (2023B110006), Provincial-enterprise Joint Funds of Guangdong Basic and Applied Basic Research Foundation (2021B1515230012), Science and Technology Program of Guangzhou, China (202201020429) and the "Five and five" project of the Third Affiliated Hospital of Sun Yat-Sen University (2023WW501) .</t>
  </si>
  <si>
    <t>[Ding, Zhendong; Zhang, Linan; Zhang, Yihan; Yang, Jing; Ge, Mian; Yao, Weifeng; Hei, Ziqing; Chen, Chaojin] Sun Yat Sen Univ, Affiliated Hosp3, Dept Anesthesiol, 600 Tianhe Rd, Guangzhou 510630, Peoples R China; [Luo, Yuheng] Guangzhou AI &amp; Data Cloud Technol Co LTD, Guangzhou, Peoples R China</t>
  </si>
  <si>
    <t>A Supervised Explainable Machine Learning Model for Perioperative Neurocognitive Disorder in Liver-Transplantation Patients and External Validation on the Medical Information Mart for Intensive Care IV Database: Retrospective Study</t>
  </si>
  <si>
    <t>machine learning; risk factors; liver transplantation; perioperative neurocognitive disorders; MIMIC-IV database; external</t>
  </si>
  <si>
    <t>POSTOPERATIVE DELIRIUM; HEPATIC-ENCEPHALOPATHY; RISK-FACTORS; ANESTHESIOLOGY; SOCIETY; SEPSIS</t>
  </si>
  <si>
    <t>Yao, Weifeng/K-2979-2019; CHEN, Chaojin/AAG-4528-2019; Ding, Zhendong/NOE-9215-2025</t>
  </si>
  <si>
    <t>Zhang, Linan/0000-0002-6125-9871; Luo, Yuheng/0000-0001-8920-8390; Yang, Jing/0000-0002-0108-677X; Ding, Zhendong/0000-0001-5178-8983; Zhang, Yihan/0000-0002-3546-9752</t>
  </si>
  <si>
    <t>JAN 15 2025</t>
  </si>
  <si>
    <t>e55046</t>
  </si>
  <si>
    <t>10.2196/55046</t>
  </si>
  <si>
    <t>http://dx.doi.org/10.2196/55046</t>
  </si>
  <si>
    <t>U3U9M</t>
  </si>
  <si>
    <t>39813086</t>
  </si>
  <si>
    <t>WOS:001411097200005</t>
  </si>
  <si>
    <t>Alfieri, F; Ancona, A; Tripepi, G; Rubeis, A; Arjoldi, N; Finazzi, S; Cauda, V; Fagugli, RM</t>
  </si>
  <si>
    <t>BackgroundAcute Kidney Injury (AKI) is a major complication in patients admitted to Intensive Care Units (ICU), causing both clinical and economic burden on the healthcare system. This study develops a novel machine-learning (ML) model to predict, with several hours in advance, the AKI episodes of stage 2 and 3 (according to KDIGO definition) acquired in ICU.MethodsA total of 16'760 ICU adult patients from 145 different ICU centers and 3 different countries (US, Netherland, Italy) are retrospectively enrolled for the study. Every hour the model continuously analyzes the routinely-collected clinical data to generate a new probability of developing AKI stage 2 and 3, according to KDIGO definition, during the ICU stay.ResultsThe predictive model obtains an auROC of 0.884 for AKI (stage 2/3 KDIGO) prediction, when evaluated on the internal test set composed by 1'749 ICU stays from US and EU centers. When externally tested on a multi-centric US dataset of 6'985 ICU stays and multi-centric Italian dataset of 1'025 ICU stays, the model achieves an auROC of 0.877 and of 0.911, respectively. In all datasets, the time between model prediction and AKI (stage 2/3 KDIGO) onset is at least of 14 hours after the first day of ICU hospitalization.ConclusionsIn this study, a novel ML model for continuous and early AKI (stage 2/3 KDIGO) prediction is successfully developed, leveraging only routinely-available data. It continuously predicts AKI episodes during ICU stay, at least 14 hours in advance when the AKI episode happens after the first 24 hours of ICU admission. Its performances are validated in an extensive, multi-national and multi-centric cohort of ICU adult patients. This ML model overcomes the main limitations of currently available predictive models. The benefits of its real-world implementation enable an early proactive clinical management and the prevention of AKI episodes in ICU patients. Furthermore, the software could be directly integrated with IT system of the ICU.</t>
  </si>
  <si>
    <t>Alfieri, Francesca; Ancona, Andrea; Tripepi, Giovanni; Rubeis, Andrea; Arjoldi, Niccolo; Finazzi, Stefano; Cauda, Valentina; Fagugli, Riccardo Maria</t>
  </si>
  <si>
    <t>Cauda, V (corresponding author), U Care Med Srl, Turin, Italy.; Cauda, V (corresponding author), Politecn Torino, Dept Appl Sci &amp; Technol, Turin, Italy.; Fagugli, RM (corresponding author), Azienda Osped Terni, SC Nefrol &amp; Dialisi, Terni, Italy.</t>
  </si>
  <si>
    <t>initiative PoC Instrument (IV Cut Off) from LINKS Foundation</t>
  </si>
  <si>
    <t>V.C. received funding from the initiative PoC Instrument (IV Cut Off) from LINKS Foundation (https://linksfoundation.com/poc/) with the support of LIFTT and Compagnia di SanPaolo. The sponsors or funders did not play any role in the study design, data collection and analysis, decision to publish, or preparation of the manuscript.</t>
  </si>
  <si>
    <t>[Alfieri, Francesca; Ancona, Andrea; Cauda, Valentina] U Care Med Srl, Turin, Italy; [Tripepi, Giovanni] CNR IFC, Clin Epidemiol &amp; Pathophysiol Renal Dis &amp; Hyperten, Reggio Di Calabria, Italy; [Rubeis, Andrea; Arjoldi, Niccolo; Cauda, Valentina] Politecn Torino, Dept Appl Sci &amp; Technol, Turin, Italy; [Finazzi, Stefano] Ist Ric Farmacol Mario Negri IRCCS, Dipartimento Salute Pubbl, Lab Clin Data Sci, Bergamo, Italy; [Fagugli, Riccardo Maria] Azienda Osped Terni, SC Nefrol &amp; Dialisi, Terni, Italy</t>
  </si>
  <si>
    <t>Polytechnic University of Turin</t>
  </si>
  <si>
    <t>Continuous and early prediction of future moderate and severe Acute Kidney Injury in critically ill patients: Development and multi-centric, multi-national external validation of a machine-learning model</t>
  </si>
  <si>
    <t>HOSPITALIZED-PATIENTS; ARTIFICIAL-INTELLIGENCE; AKI; CREATININE; EPIDEMIOLOGY; DIALYSIS; OUTCOMES; SOCIETY</t>
  </si>
  <si>
    <t>Finazzi, Stefano/AAC-1377-2019; Tripepi, Giovanni/AEM-4783-2022; Cauda, Valentina/W-6630-2019</t>
  </si>
  <si>
    <t>Finazzi, Stefano/0000-0002-3525-3249</t>
  </si>
  <si>
    <t>JUL 25 2023</t>
  </si>
  <si>
    <t>e0287398</t>
  </si>
  <si>
    <t>10.1371/journal.pone.0287398</t>
  </si>
  <si>
    <t>http://dx.doi.org/10.1371/journal.pone.0287398</t>
  </si>
  <si>
    <t>N6RP4</t>
  </si>
  <si>
    <t>37490482</t>
  </si>
  <si>
    <t>WOS:001038263300008</t>
  </si>
  <si>
    <t>Sabbagh, A; Tilki, D; Feng, J; Huland, H; Graefen, M; Wiegel, T; Böhmer, D; Hong, JC; Valdes, G; Cooperberg, M; Feng, FY; Mohammad, T; Shelan, M; D'Amico, AV; Carroll, PR; Mohamad, O</t>
  </si>
  <si>
    <t>Background: Up to 40% of patients with prostate cancer may develop biochemical recurrence after surgery, with salvage radiation therapy (SRT) being the only curative option. In 2016, Tendulkar et al. (Contemporary update of a multi-institutional predictive nomogram for salvage radiotherapy after radical prostatectomy. J Clin Oncol 2016;34:3648- 54) published a nomogram to predict distant metastasis in a cohort of patients treated with SRT with pre-SRT prostate-specific antigen (PSA) of 0.5 ng/ml after radical prostatectomy. In modern practice, SRT is delivered at lower PSA values. Objective: To train and externally validate a machine learning model to predict the risk of distant metastasis at 5 yr in a contemporary cohort of patients receiving SRT. Design, setting, and participants: We trained a machine learning model on data from 2418 patients treated with SRT at one institution, with a median PSA value of 0.27 ng/ ml. External validation was done in 475 patients treated at two different institutions. Patients with cM1, pN1, or pT4 disease were excluded, as were patients with PSA &gt;2 ng/ml or PSA 0, and patients with radiation dose &lt;60 or &gt;= 80 Gy. Outcome measurements and statistical analysis: Model performance was assessed using calibration and time-dependent area under the receiver operating curve (tAUC). Results and limitations: Our model had better calibration and showed improved discrimination (tAUC = 0.72) compared with the Tendulkar model (tAUC = 0.60, p &lt; 0.001). The main limitations of this study are its retrospective design and lack of validation on patients who received hormone therapy.</t>
  </si>
  <si>
    <t>Sabbagh, Ali; Tilki, Derya; Feng, Jean; Huland, Hartwig; Graefen, Markus; Wiegel, Thomas; Bohmer, Dirk; Hong, Julian C.; Valdes, Gilmer; Cooperberg, Matthew; Feng, Felix Y.; Mohammad, Tarek; Shelan, Mohamed; D'Amico, Anthony, V; Carroll, Peter R.; Mohamad, Osama</t>
  </si>
  <si>
    <t>Mohamad, O (corresponding author), Univ San Francisco, Dept Radiat Oncol, Dept Urol, 1825 4th St, San Francisco, CA 94158 USA.</t>
  </si>
  <si>
    <t>[Tilki, Derya] Univ Calif San Francisco, Dept Radiat Oncol, San Francisco, CA USA; [Tilki, Derya; Huland, Hartwig; Graefen, Markus] Univ Hosp Hamburg Eppendorf, Dept Urol, Hamburg, Germany; [Feng, Jean; Cooperberg, Matthew] Univ Hosp Hamburg Eppendorf, Martini Klin Prostate Canc Ctr, Hamburg, Germany; [Wiegel, Thomas] Univ Calif San Francisco, Dept Epidemiol &amp; Biostat, San Francisco, CA USA; [Bohmer, Dirk] Univ Hosp Ulm, Dept Radio Oncol, Ulm, Germany; [Cooperberg, Matthew; Feng, Felix Y.; Carroll, Peter R.; Mohamad, Osama] Charite, Dept Radiat Oncol, Berlin, Germany; [Mohammad, Tarek] Univ Calif San Francisco, Dept Urol, San Francisco, CA USA; [Shelan, Mohamed] Univ Calif Berkeley, Berkeley, CA USA; [D'Amico, Anthony, V] Univ Bern, Bern Univ Hosp, Inselspital, Dept Radiat Oncol, Bern, Switzerland; [Mohamad, Osama] Brigham &amp; Womens Hosp, Dana Farber Canc Inst, Dept Radiat Oncol, Boston, MA USA; [Mohamad, Osama] Univ San Francisco, Dept Radiat Oncol, Dept Urol, 1825 4th St, San Francisco, CA 94158 USA</t>
  </si>
  <si>
    <t>University of California System; University of California San Francisco; University of Hamburg; University Medical Center Hamburg-Eppendorf; University of Hamburg; University Medical Center Hamburg-Eppendorf; University of California System; University of California San Francisco; Ulm University; Free University of Berlin; Humboldt University of Berlin; Charite Universitatsmedizin Berlin; University of California System; University of California San Francisco; University of California System; University of California Berkeley; University of Bern; University Hospital of Bern; Harvard University; Harvard University Medical Affiliates; Dana-Farber Cancer Institute; Brigham &amp; Women's Hospital; University of San Francisco</t>
  </si>
  <si>
    <t>Multi-institutional Development and External Validation of a Machine Learning Model for the Prediction of Distant Metastasis in Patients Treated by Salvage Radiotherapy for Biochemical Failure After Radical Prostatectomy</t>
  </si>
  <si>
    <t>Prostate cancer; Machine leaning; Radical prostatectomy; Salvage radiotherapy; Distant metastasis; Biochemical recurrence</t>
  </si>
  <si>
    <t>THERAPY; ANTIGEN; CANCER; TIME; RISK; CALIBRATION; OUTCOMES; MEN</t>
  </si>
  <si>
    <t>Cooperberg, Matthew/G-6249-2017; Böhmer, Dirk/AAI-2218-2020; Wiegel, Thomas/ABB-4372-2020; Shelan, Mohamed/LTD-1905-2024</t>
  </si>
  <si>
    <t>Sabbagh, Ali/0000-0001-6826-959X; Shelan, Mohamed/0000-0002-6477-6655</t>
  </si>
  <si>
    <t>10.1016/j.euf.2023.07.004</t>
  </si>
  <si>
    <t>http://dx.doi.org/10.1016/j.euf.2023.07.004</t>
  </si>
  <si>
    <t>NR7Y1</t>
  </si>
  <si>
    <t>37507248</t>
  </si>
  <si>
    <t>WOS:001202257100001</t>
  </si>
  <si>
    <t>Fan, P; Baral, S; Li, RQ; Jiang, YJ; Wang, YL; Fang, DY; Jiang, XT; Xie, XY; Xue, TQ; Wang, DR</t>
  </si>
  <si>
    <t>After colorectal surgery, delayed gastric emptying (DGE) is a clinically significant postoperative complication that significantly lowers patients' quality of life. The evolving application of robotic surgery in gastrointestinal oncology continues to prompt investigation into its dual therapeutic potential: achieving oncological efficacy while mitigating DGE complications. The primary objectives of this study were to identify high-risk factors for DGE, develop a predictive model, and conduct internal and external validation. In addition, we investigated the potential advantages of robotic surgery in preventing DGE through cohort analysis and predictive model. This study utilized data from two major clinical research centers: Cohort 1: 522 right hemicolectomy cases (Northern Jiangsu People's Hospital, 2019-2024); Cohort 2: 115 cases (Huai'an Cancer Hospital, 2019-2024). Machine learning algorithms and logistic regression were employed to construct predictive models. After comparing their performance, the logistic regression model was selected to predict DGE following radical resection of right-sided colon cancer to further screening of high-risk factors for DGE and evaluation of the advantages of robotic surgery. The predictive model demonstrated robust performance upon internal and external validation, incorporating seven variables including: age (OR = 3.08), obstruction (OR = 5.51), preoperative hyperglycemia (OR = 2.56), preoperative potassium (OR = 3.55), surgical type (OR = 4.65) and anastomotic leakage (OR = 14.56). These variables were consequently identified as significant risk factors for DGE. Notably, cohort analysis revealed a slight reduction in DGE incidence with robotic surgery compared to laparoscopic approaches without statistically significant (9.0% vs 11.2%). We have established a more reliable predictive model for DGE which can provide guidance for clinical practitioners and conclude that robotic surgery demonstrates comparable efficacy to laparoscopic surgery, with satisfactory clinical outcomes in preventing the incidence of DGE.</t>
  </si>
  <si>
    <t>Fan, Peng; Baral, Shantanu; Li, Ruiqi; Jiang, Yongjun; Wang, Yulong; Fang, Dengyang; Jiang, Xuetong; Xie, Xiangyu; Xue, Tongqing; Wang, Daorong</t>
  </si>
  <si>
    <t>Wang, DR (corresponding author), Yangzhou Univ, Northern Jiangsu Peoples Hosp, Yangzhou 225001, Peoples R China.; Wang, DR (corresponding author), Northern Jiangsu Peoples Hosp, Yangzhou, Peoples R China.; Wang, DR (corresponding author), Yangzhou Key Lab Basic &amp; Clin Transformat Digest &amp;, Yangzhou, Peoples R China.</t>
  </si>
  <si>
    <t>wdaorong666@sina.com</t>
  </si>
  <si>
    <t>Key Laboratory of Basic and Clinical Transformation of Digestive and Metabolic Diseases [YZ2020159]; Clinical Research Topics for the Integration of Science and Education at Jiangsu Vocational College of Nursing in 2024 [SH202410250204]</t>
  </si>
  <si>
    <t>Key Laboratory of Basic and Clinical Transformation of Digestive and Metabolic Diseases; Clinical Research Topics for the Integration of Science and Education at Jiangsu Vocational College of Nursing in 2024</t>
  </si>
  <si>
    <t>This study was supported by the Key Laboratory of Basic and Clinical Transformation of Digestive and Metabolic Diseases (grant number YZ2020159) and Clinical Research Topics for the Integration of Science and Education at Jiangsu Vocational College of Nursing in 2024 (SH202410250204).</t>
  </si>
  <si>
    <t>[Fan, Peng; Baral, Shantanu; Jiang, Yongjun; Wang, Yulong; Fang, Dengyang; Wang, Daorong] Yangzhou Univ, Northern Jiangsu Peoples Hosp, Yangzhou 225001, Peoples R China; [Fan, Peng; Xie, Xiangyu; Xue, Tongqing] Huaian Canc Hosp, Dept Surg, Huaian, Peoples R China; [Li, Ruiqi] Nanjing Univ, Northern Jiangsu Peoples Hosp, Clin Teaching Hosp, Med Sch, Yangzhou, Peoples R China; [Wang, Daorong] Northern Jiangsu Peoples Hosp, Yangzhou, Peoples R China; [Wang, Daorong] Yangzhou Key Lab Basic &amp; Clin Transformat Digest &amp;, Yangzhou, Peoples R China; [Jiang, Xuetong] Xuzhou Med Univ, Yangzhou Clin Med Coll, Yangzhou, Peoples R China</t>
  </si>
  <si>
    <t>Yangzhou University; Nanjing University; Xuzhou Medical University</t>
  </si>
  <si>
    <t>Establishment of a machine learning-based predictive model with dual-center external validation: investigating the role of robotic surgery in preventing delayed gastric emptying for right-sided colon cancer</t>
  </si>
  <si>
    <t>JOURNAL OF ROBOTIC SURGERY</t>
  </si>
  <si>
    <t>Machine learning; Delayed gastric emptying; Nomogram prediction model; Colon cancer</t>
  </si>
  <si>
    <t>COMPLETE MESOCOLIC EXCISION; LIGATION; DEPTH</t>
  </si>
  <si>
    <t>/AAM-7903-2021</t>
  </si>
  <si>
    <t>1863-2483</t>
  </si>
  <si>
    <t>1863-2491</t>
  </si>
  <si>
    <t>J ROBOT SURG</t>
  </si>
  <si>
    <t>J. Robot. Surg.</t>
  </si>
  <si>
    <t>JUN 30 2025</t>
  </si>
  <si>
    <t>335</t>
  </si>
  <si>
    <t>10.1007/s11701-025-02465-4</t>
  </si>
  <si>
    <t>http://dx.doi.org/10.1007/s11701-025-02465-4</t>
  </si>
  <si>
    <t>4KR6E</t>
  </si>
  <si>
    <t>40586986</t>
  </si>
  <si>
    <t>WOS:001520310800001</t>
  </si>
  <si>
    <t>Chen, YY; Yen, HK; Hsu, JY; Lin, TC; Lin, HC; Chen, CW; Hu, MH; Groot, OQ; Schwab, JH</t>
  </si>
  <si>
    <t>BACKGROUND CONTEXT: Anterior cervical discectomy and fusion (ACDF) is widely performed for cervical spine disorders, with opioids commonly prescribed postoperatively for pain management. However, prolonged opioid use carries significant risks such as dependency and adverse health effects. Predictive models like the SORG machine learning algorithm (SORG-MLA) have been developed to forecast prolonged opioid use post-ACDF. External validation is essential to ensure their effectiveness across different healthcare settings and populations. PURPOSE: The study aimed to assess the generalizability of the SORG-MLA to a Taiwanese patient cohort for predicting prolonged opioid use after ACDF. STUDY DESIGN: Retrospective cohort study utilizing data from a tertiary care center in Taiwan. PATIENT SAMPLE: A total of 1,037 patients underwent ACDF between 2010 and 2018 were included. OUTCOME MEASURES: The primary outcome was sustained postoperative opioid prescription defined as continuous opioid use for at least 90 days following ACDF. METHODS: The performance of the SORG-MLA in the validation cohort was assessed using discrimination measures (area under the receiver operating characteristic curve [AUROC] and the area under the precision-recall curve [AUPRC]), calibration, overall performance (Brier Score), and decision curve analysis. Comparing the validation cohort to the developmental revealed significant differences in demographic profiles, medicolegal frameworks, ethnic cultural contexts and key predictors of postoperative opioid use identified by the SORG-MLA. The Taiwanese cohort was characterized by an older age demographic, a lower proportion of female participants, higher smoking prevalence, higher incidence of preoperative myelopathy and radiculopathy, and more frequent use of antidepressants prior to surgery. Conversely, these patients were less likely to have extended preoperative opioid prescriptions beyond 180 days, undergo multilevel ACDF procedures, or be treated with concurrent medications such as Beta-2 agonists, Gabapentin, and ACE inhibitors. This study had no funding source or conflict of interests. RESULTS: The model demonstrated good discriminative ability, with an AUROC of 0.78 and an AUPRC of 0.35. Calibration curves indicated that the model overestimated the risk of prolonged opioid use. This discrepancy may be attributed to the significantly higher incidence of sustained opioid consumption in the American development cohort, spanning from 2000 to 2018, which was threefold higher than that in the Taiwanese validation cohort between 2010 and 2018 (9.9% [270/ 2737] vs 3.3% [34/1037]; p &lt; .01). The Brier score was 0.033, which improved upon the null model's score of 0.040, indicating robust overall performance. Decision curve analysis confirmed the model's clinical utility, demonstrating net benefits across various decision thresholds. CONCLUSIONS: The SORG-MLA has demonstrated robust discriminative abilities and overall performance when applied to a unique Taiwanese cohort. However, the model exhibited an overestimation of the risk of prolonged opioid use, suggesting the need for recalibration with more contemporary data to reflect current opioid prescription practices, ethnic and cultural differences, and opioid regulations. Following recalibration, integration and prospective validation within the electronic healthcare system should be pursued. This will enable clinicians to proactively identify patients at heightened risk of prolonged opioid use following ACDF. (c) 2025 Elsevier Inc.All rights are reserved, including those for text and data mining, AI training, and similar technologies.</t>
  </si>
  <si>
    <t>Chen, Yu-Yung; Yen, Hung-Kuan; Hsu, Jui-Yo; Lin, Ta-Chun; Lin, Hao-Chen; Chen, Chih-Wei; Hu, Ming-Hsiao; Groot, Olivier Q.; Schwab, Joseph H.</t>
  </si>
  <si>
    <t>Hu, MH (corresponding author), Natl Taiwan Univ Hosp, Taipei, Taiwan.</t>
  </si>
  <si>
    <t>[Chen, Yu-Yung; Yen, Hung-Kuan; Hsu, Jui-Yo; Chen, Chih-Wei; Hu, Ming-Hsiao] Natl Taiwan Univ Hosp, Dept Orthopaed Surg, Taipei City, Taiwan; [Chen, Yu-Yung; Lin, Hao-Chen] Natl Taiwan Univ Hosp, Dept Med Educ, Taipei City, Taiwan; [Yen, Hung-Kuan; Hsu, Jui-Yo] Natl Taiwan Univ Hosp, Dept Orthopaed Surg, Hsin Chu Branch, Hsin Chu City, Taiwan; [Lin, Ta-Chun] Kyoto Univ, Grad Sch Med, Kyoto, Japan; [Groot, Olivier Q.] Univ Med Ctr Utrecht, Dept Orthopaed, Utrecht, Netherlands; [Groot, Olivier Q.; Schwab, Joseph H.] Massachusetts Gen Hosp, Dept Orthopaed Surg, Boston, MA USA; [Schwab, Joseph H.] Cedars Sinai Med Ctr, Dept Orthoped Surg, Los Angeles, CA USA</t>
  </si>
  <si>
    <t>National Taiwan University; National Taiwan University Hospital; National Taiwan University; National Taiwan University Hospital; National Taiwan University; National Taiwan University Hospital; Kyoto University; Utrecht University; Utrecht University Medical Center; Harvard University; Harvard University Medical Affiliates; Massachusetts General Hospital; Cedars Sinai Medical Center</t>
  </si>
  <si>
    <t>International external validation of the SORG machine learning algorithm for predicting sustained postoperative opioid prescription after anterior cervical discectomy and fusion using a Taiwanese cohort of 1,037 patients</t>
  </si>
  <si>
    <t>Anterior cervical discectomy and fusion; External validation; Machine learning; Opioid; Taiwanese cohort; SORG</t>
  </si>
  <si>
    <t>UNITED-STATES; ANALGESIC CONSUMPTION; SPINE SURGERY; TRENDS; PAIN; RISK; DRUG</t>
  </si>
  <si>
    <t>HU, MING-HSIAO/0000-0001-8920-2052; Schwab, Joseph/0000-0002-2059-7559; Hsu, Jui-Yo/0000-0002-1046-5448</t>
  </si>
  <si>
    <t>2036</t>
  </si>
  <si>
    <t>2048</t>
  </si>
  <si>
    <t>10.1016/j.spinee.2025.03.022</t>
  </si>
  <si>
    <t>http://dx.doi.org/10.1016/j.spinee.2025.03.022</t>
  </si>
  <si>
    <t>6LB2I</t>
  </si>
  <si>
    <t>40158632</t>
  </si>
  <si>
    <t>WOS:001555905300001</t>
  </si>
  <si>
    <t>Zeng, JT; Zhang, DW; Lin, S; Su, XT; Wang, P; Zhao, Y; Zheng, Z</t>
  </si>
  <si>
    <t>Aims Preoperative risk assessment is crucial for cardiac surgery. Although previous studies suggested machine learning (ML) may improve in-hospital mortality predictions after cardiac surgery compared to traditional modeling approaches, the validity is doubted due to lacking external validation, limited sample sizes, and inadequate modeling considerations. We aimed to assess predictive performance between ML and traditional modelling approaches, while addressing these major limitations. Methods and results Adult cardiac surgery cases (n = 168 565) between 2013 and 2018 in the Chinese Cardiac Surgery Registry were used to develop, validate, and compare various ML vs. logistic regression (LR) models. The dataset was split for temporal (2013-2017 for training, 2018 for testing) and spatial (geographically-stratified random selection of 83 centers for training, 22 for testing) experiments, respectively. Model performances were evaluated in testing sets for discrimination and calibration. The overall in-hospital mortality was 1.9%. In the temporal testing set (n = 32 184), the best-performing ML model demonstrated a similar area under the receiver operating characteristic curve (AUC) of 0.797 (95% CI 0.779-0.815) to the LR model (AUC 0.791 [95% CI 0.775-0.808]; P = 0.12). In the spatial experiment (n = 28 323), the best ML model showed a statistically better but modest performance improvement (AUC 0.732 [95% CI 0.710-0.754]) than LR (AUC 0.713 [95% CI 0.691-0.737]; P = 0.002). Varying feature selection methods had relatively smaller effects on ML models. Most ML and LR models were significantly miscalibrated. Conclusion ML provided only marginal improvements over traditional modelling approaches in predicting cardiac surgery mortality with routine preoperative variables, which calls for more judicious use of ML in practice.</t>
  </si>
  <si>
    <t>Zeng, Juntong; Zhang, Danwei; Lin, Shen; Su, Xiaoting; Wang, Peng; Zhao, Yan; Zheng, Zhe</t>
  </si>
  <si>
    <t>Zheng, Z (corresponding author), Fuwai Hosp, Natl Clin Res Ctr Cardiovasc Dis, Natl Ctr Cardiovasc Dis, 167 Beilishi Rd, Beijing 100037, Peoples R China.; Zheng, Z (corresponding author), Fuwai Hosp, Natl Ctr Cardiovasc Dis, State Key Lab Cardiovasc Dis, 167 Beilishi Rd, Beijing 100037, Peoples R China.; Zheng, Z (corresponding author), Chinese Acad Med Sci &amp; Peking Union Med Coll, 9 Dongdansantiao, Beijing 100730, Peoples R China.; Zheng, Z (corresponding author), Fuwai Hosp, Natl Ctr Cardiovasc Dis, Dept Cardiovasc Surg, 167 Beilishi Rd, Beijing 100037, Peoples R China.; Zheng, Z (corresponding author), Chinese Acad Med Sci &amp; Peking Union Med Coll, Key Lab Coronary Heart Dis Risk Predict &amp; Precis T, 167 Beilishi Rd, Beijing 100037, Peoples R China.</t>
  </si>
  <si>
    <t>zhengzhe@fuwai.com</t>
  </si>
  <si>
    <t>Ministry of Science and Technology of the People&amp;apos;s Republic of China [2016YFC1302000] Funding Source: Medline; National Natural Science Foundation of China [81830072] Funding Source: Medline; Chinese Academy of Medical Sciences [2022-GSP-GG-28] Funding Source: Medline</t>
  </si>
  <si>
    <t>Ministry of Science and Technology of the People&amp;apos;s Republic of China (Ministry of Science and Technology, China); National Natural Science Foundation of China (National Natural Science Foundation of China (NSFC)); Chinese Academy of Medical Sciences</t>
  </si>
  <si>
    <t>[Zeng, Juntong; Zhang, Danwei; Lin, Shen; Su, Xiaoting; Wang, Peng; Zhao, Yan; Zheng, Zhe] Fuwai Hosp, Natl Clin Res Ctr Cardiovasc Dis, Natl Ctr Cardiovasc Dis, 167 Beilishi Rd, Beijing 100037, Peoples R China; [Zeng, Juntong; Zhang, Danwei; Lin, Shen; Su, Xiaoting; Wang, Peng; Zhao, Yan; Zheng, Zhe] Fuwai Hosp, Natl Ctr Cardiovasc Dis, State Key Lab Cardiovasc Dis, 167 Beilishi Rd, Beijing 100037, Peoples R China; [Zeng, Juntong; Zhang, Danwei; Lin, Shen; Su, Xiaoting; Wang, Peng; Zheng, Zhe] Chinese Acad Med Sci &amp; Peking Union Med Coll, 9 Dongdansantiao, Beijing 100730, Peoples R China; [Zhang, Danwei] Fujian Med Univ, Fujian Childrens Hosp, Coll Clin Med Obstet &amp; Gynecol &amp; Pediat, Fujian Branch Shanghai Childrens Med Ctr, 966 Hengyu Rd, Fuzhou 350014, Peoples R China; [Lin, Shen; Zheng, Zhe] Fuwai Hosp, Natl Ctr Cardiovasc Dis, Dept Cardiovasc Surg, 167 Beilishi Rd, Beijing 100037, Peoples R China; [Zheng, Zhe] Chinese Acad Med Sci &amp; Peking Union Med Coll, Key Lab Coronary Heart Dis Risk Predict &amp; Precis T, 167 Beilishi Rd, Beijing 100037, Peoples R China</t>
  </si>
  <si>
    <t>Chinese Academy of Medical Sciences - Peking Union Medical College; Fu Wai Hospital - CAMS; Chinese Academy of Medical Sciences - Peking Union Medical College; Fu Wai Hospital - CAMS; Chinese Academy of Medical Sciences - Peking Union Medical College; Peking Union Medical College; Fujian Medical University; Chinese Academy of Medical Sciences - Peking Union Medical College; Fu Wai Hospital - CAMS; Chinese Academy of Medical Sciences - Peking Union Medical College; Peking Union Medical College</t>
  </si>
  <si>
    <t>Comparative analysis of machine learning vs. traditional modeling approaches for predicting in-hospital mortality after cardiac surgery: temporal and spatial external validation based on a nationwide cardiac surgery registry</t>
  </si>
  <si>
    <t>EUROPEAN HEART JOURNAL-QUALITY OF CARE AND CLINICAL OUTCOMES</t>
  </si>
  <si>
    <t>Cardiac surgery; In-hospital mortality; Risk prediction; Machine learning; Logistic regression</t>
  </si>
  <si>
    <t>ARTIFICIAL NEURAL-NETWORKS; BYPASS GRAFT-SURGERY</t>
  </si>
  <si>
    <t>Zhang, Danwei/HJY-0811-2023; Zeng, Juntong/IUM-1998-2023; Su, Xiaoting/LGZ-4422-2024</t>
  </si>
  <si>
    <t>Zeng, Juntong/0000-0003-1235-3180</t>
  </si>
  <si>
    <t>2058-5225</t>
  </si>
  <si>
    <t>2058-1742</t>
  </si>
  <si>
    <t>EUR HEART J-QUAL CAR</t>
  </si>
  <si>
    <t>Eur. Heart J.-Qual. Care Clin. Outcomes</t>
  </si>
  <si>
    <t>MAR 1 2024</t>
  </si>
  <si>
    <t>10.1093/ehjqcco/qcad028</t>
  </si>
  <si>
    <t>http://dx.doi.org/10.1093/ehjqcco/qcad028</t>
  </si>
  <si>
    <t>JW9V6</t>
  </si>
  <si>
    <t>37218710</t>
  </si>
  <si>
    <t>WOS:001008059900001</t>
  </si>
  <si>
    <t>Zheng, CZ; Huang, JH; Wang, XG; Ye, Q; Lin, CH; Gu, X</t>
  </si>
  <si>
    <t>Objective: To develop and externally validate a machine learning model for predicting shunt-dependent hydrocephalus (SDHC) after aneurysmal subarachnoid hemorrhage (aSAH) using multimodal dynamic data. Methods: This dual-center retrospective study enrolled aSAH patients from Mindong Hospital (development cohort, 2018-2025) and Putian University Hospital (external validation cohort, 2016-2025). Using a day-21 landmark design, static baseline variables, weekly dynamic parameters, and clinical interventions were collected. Derived features capturing ventricular dynamics, intracranial pressure fluctuations, and inflammatory trajectories were engineered. Three models were compared using nested cross-validation. Performance was evaluated by AUC, AUPRC, Brier score, decision curve analysis, and SHAP analysis. Derived dynamic features characterizing ventricular expansion, intracranial pressure fluctuation, and inflammatory trajectories were engineered, and an ablation analysis was performed to quantify their incremental predictive contribution beyond static baseline variables. Results: The development cohort included 228 patients (SDHC 21.9%); external validation included 102 patients (SDHC 23.5%). Random forest achieved optimal internal validation performance (AUC 0.894, AUPRC 0.676, Brier 0.112). At threshold 0.30, sensitivity and specificity were 0.920 and 0.840. External validation showed robust generalizability (AUC 0.867, sensitivity 0.875, specificity 0.859). Risk stratification demonstrated SDHC rates of 5.3, 35.7, and 64.7% in low-, intermediate-, and high-risk groups (p &lt; 0.001). Key predictors included GCS score, Hunt-Hess grade, Evans index change, age, ICP variability, and 14-day CSF drainage volume. Conclusion: The random forest model integrating multimodal dynamic data accurately predicts SDHC after aSAH with strong external validity; ablation analysis confirmed that incorporating dynamic features significantly improved discrimination (AUC 0.894 vs. 0.831 for the static-only model, Delta AUC = 0.063, p = 0.028), identifying dynamic monitoring data - rather than algorithm choice alone - as a key driver of predictive performance and facilitating early identification and risk stratification of high-risk patients.</t>
  </si>
  <si>
    <t>Zheng, Chengzhang; Huang, Jianhuang; Wang, Xinguo; Ye, Qing; Lin, Caihou; Gu, Xiang</t>
  </si>
  <si>
    <t>Gu, X (corresponding author), Mindong Hosp Ningde City, Dept Neurosurg, Ningde, Fujian, Peoples R China.; Lin, CH (corresponding author), Fujian Med Univ, Union Hosp, Dept Neurosurg, Fuzhou, Fujian, Peoples R China.</t>
  </si>
  <si>
    <t>grouplin@fjmu.edu.cn; guxiangfuan@163.com</t>
  </si>
  <si>
    <t>[Zheng, Chengzhang; Wang, Xinguo; Ye, Qing; Gu, Xiang] Mindong Hosp Ningde City, Dept Neurosurg, Ningde, Fujian, Peoples R China; [Huang, Jianhuang] Putian Univ, Affiliated Hosp, Dept Neurosurg, Putian, Fujian, Peoples R China; [Lin, Caihou] Fujian Med Univ, Union Hosp, Dept Neurosurg, Fuzhou, Fujian, Peoples R China</t>
  </si>
  <si>
    <t>Putian University; Fujian Medical University</t>
  </si>
  <si>
    <t>Development and external validation of a machine learning model based on multimodal dynamic data for predicting shunt-dependent hydrocephalus after aneurysmal subarachnoid hemorrhage: a dual-center retrospective cohort study</t>
  </si>
  <si>
    <t>aneurysmal subarachnoid hemorrhage; external validation; machine learning; random forest; risk prediction; shunt-dependent hydrocephalus</t>
  </si>
  <si>
    <t>LENGTH-OF-STAY; SELECTION</t>
  </si>
  <si>
    <t>JUL 24 2026</t>
  </si>
  <si>
    <t>1837898</t>
  </si>
  <si>
    <t>10.3389/fneur.2026.1837898</t>
  </si>
  <si>
    <t>http://dx.doi.org/10.3389/fneur.2026.1837898</t>
  </si>
  <si>
    <t>MH6JV</t>
  </si>
  <si>
    <t>WOS:001842456800001</t>
  </si>
  <si>
    <t>Song, B; Kwon, H; Kim, S; Ha, Y; Oh, SH; Song, SH</t>
  </si>
  <si>
    <t>Marginal reflex distance1 (MRD1) is a crucial clinical tool used to evaluate the position of the eyelid margin in relation to the cornea. Traditionally, this assessment has been conducted manually by plastic surgeons, ophthalmologists, or trained technicians. However, with the advancements in artificial intelligence (AI) technology, there is a growing interest in the development of automated systems capable of accurately measuring MRD1. In this context, we introduce novel MRD1 measurement methods based on deep learning algorithms that can simultaneously capture images and compute the results. This prospective observational study involved 154 eyes of 77 patients aged over 18 years who visited Chungnam National University Hospital between 1 January 2023 and 29 July 2023. We collected four different MRD1 datasets from patients using three distinct measurement methods, each tailored to the individual patient. The mean MRD1 values, measured through the manual method using a penlight, the deep learning method, ImageJ analysis from RGB eye images, and ImageJ analysis from IR eye images in 56 eyes of 28 patients, were 2.64 +/- 1.04 mm, 2.85 +/- 1.07 mm, 2.78 +/- 1.08 mm, and 3.07 +/- 0.95 mm, respectively. Notably, the strongest agreement was observed between MRD1_deep learning (DL) and MRD1_IR (0.822, p &lt; 0.01). In a Bland-Altman plot, the smallest difference was observed between MRD1_DL and MRD1_IR ImageJ, with a mean difference of 0.0611 and Delta LOA (limits of agreement) of 2.5162, which was the smallest among all of the groups. In conclusion, this novel MRD1 measurement method, based on an IR camera and deep learning, demonstrates statistical significance and can be readily applied in clinical settings.</t>
  </si>
  <si>
    <t>Song, Bokeun; Kwon, Hyeokjae; Kim, Sunje; Ha, Yooseok; Oh, Sang-Ha; Song, Seung-Han</t>
  </si>
  <si>
    <t>Song, SH (corresponding author), Chungnam Natl Univ Hosp, Dept Plast &amp; Reconstruct Surg, Daejeon 35015, South Korea.; Song, SH (corresponding author), Chungnam Natl Univ, Coll Med, Dept Med Sci, Daejeon 35015, South Korea.; Song, SH (corresponding author), Chungnam Natl Univ, Coll Med, Dept Plast &amp; Reconstruct Surg, Daejeon 35015, South Korea.</t>
  </si>
  <si>
    <t>kkk9243@naver.com; useok4u@naver.com; bogenlove@gmail.com; djplastic4073@gmail.com; kwon.hyeokjae@cnuh.co.kr; silverwine_@naver.com</t>
  </si>
  <si>
    <t>National Research Foundation of Korea (NRF); Chungnam National University Hospital Biomedical Research Institute</t>
  </si>
  <si>
    <t>National Research Foundation of Korea (NRF) (National Research Foundation of Korea); Chungnam National University Hospital Biomedical Research Institute</t>
  </si>
  <si>
    <t>We appreciate the in-depth review of the statistical and methodological accuracy of this paper performed by the Academic Clinical Research Operating and Supporting System (ACROSS), Chungnam National University Hospital Biomedical Research Institute.</t>
  </si>
  <si>
    <t>[Song, Bokeun; Kwon, Hyeokjae; Kim, Sunje; Ha, Yooseok; Oh, Sang-Ha; Song, Seung-Han] Chungnam Natl Univ Hosp, Dept Plast &amp; Reconstruct Surg, Daejeon 35015, South Korea; [Song, Bokeun; Oh, Sang-Ha; Song, Seung-Han] Chungnam Natl Univ, Coll Med, Dept Med Sci, Daejeon 35015, South Korea; [Kwon, Hyeokjae; Oh, Sang-Ha; Song, Seung-Han] Chungnam Natl Univ, Coll Med, Dept Plast &amp; Reconstruct Surg, Daejeon 35015, South Korea</t>
  </si>
  <si>
    <t>Chungnam National University</t>
  </si>
  <si>
    <t>Introduction of Deep Learning-Based Infrared Image Analysis to Marginal Reflex Distance1 Measurement Method to Simultaneously Capture Images and Compute Results: Clinical Validation Study</t>
  </si>
  <si>
    <t>blepharoplasty; deep learning; machine learning; eye movement measurements</t>
  </si>
  <si>
    <t>Kwon, Hyeokjae/0000-0002-1418-3448; Ha, Yooseok/0000-0001-7843-5790; Kim, Sunje/0000-0001-7887-7521; SONG, BOKEUN/0000-0002-0729-0851</t>
  </si>
  <si>
    <t>7466</t>
  </si>
  <si>
    <t>10.3390/jcm12237466</t>
  </si>
  <si>
    <t>http://dx.doi.org/10.3390/jcm12237466</t>
  </si>
  <si>
    <t>AI0M8</t>
  </si>
  <si>
    <t>38068518</t>
  </si>
  <si>
    <t>WOS:001117719200001</t>
  </si>
  <si>
    <t>Johnson, CL; Press, RH; Simone, CB; Shen, B; Tsai, PF; Hu, L; Yu, FC; Apinorasethkul, C; Ackerman, C; Zhai, HF; Lin, HB; Huang, S</t>
  </si>
  <si>
    <t>Purpose To evaluate organ at risk (OAR) auto-segmentation in the head and neck region of computed tomography images using two different commercially available deep-learning-based auto-segmentation (DLAS) tools in a single institutional clinical applications. Methods Twenty-two OARs were manually contoured by clinicians according to published guidelines on planning computed tomography (pCT) images for 40 clinical head and neck cancer (HNC) cases. Automatic contours were generated for each patient using two deep-learning-based auto-segmentation models-Manteia AccuContour and MIM Prot &amp; eacute;g &amp; eacute;AI. The accuracy and integrity of autocontours (ACs) were then compared to expert contours (ECs) using the S &amp; oslash;rensen-Dice similarity coefficient (DSC) and Mean Distance (MD) metrics. Results ACs were generated for 22 OARs using AccuContour and 17 OARs using Prot &amp; eacute;g &amp; eacute;AI with average contour generation time of 1 min/patient and 5 min/patient respectively. EC and AC agreement was highest for the mandible (DSC 0.90 +/- 0.16) and (DSC 0.91 +/- 0.03), and lowest for the chiasm (DSC 0.28 +/- 0.14) and (DSC 0.30 +/- 0.14) for AccuContour and Prot &amp; eacute;g &amp; eacute;AI respectively. Using AccuContour, the average MD was&lt;1mm for 10 of the 22 OARs contoured, 1-2mm for 6 OARs, and 2-3mm for 6 OARs. For Prot &amp; eacute;g &amp; eacute;AI, the average mean distance was&lt;1mm for 8 out of 17 OARs, 1-2mm for 6 OARs, and 2-3mm for 3 OARs. Conclusions Both DLAS programs were proven to be valuable tools to significantly reduce the time required to generate large amounts of OAR contours in the head and neck region, even though manual editing of ACs is likely needed prior to implementation into treatment planning. The DSCs and MDs achieved were similar to those reported in other studies that evaluated various other DLAS solutions. Still, small volume structures with nonideal contrast in CT images, such as nerves, are very challenging and will require additional solutions to achieve sufficient results.</t>
  </si>
  <si>
    <t>Johnson, Casey L.; Press, Robert H.; Simone, Charles B.; Shen, Brian; Tsai, Pingfang; Hu, Lei; Yu, Francis; Apinorasethkul, Chavanon; Ackerman, Christopher; Zhai, Huifang; Lin, Haibo; Huang, Sheng</t>
  </si>
  <si>
    <t>Huang, S (corresponding author), New York Proton Ctr, New York, NY 10035 USA.; Huang, S (corresponding author), Tianjin Med Univ, Canc Inst &amp; Hosp, Natl Clin Res Ctr Canc, Tianjins Clin Res Ctr Canc, Tianjin, Peoples R China.</t>
  </si>
  <si>
    <t>RichardHuang2066@outlook.com</t>
  </si>
  <si>
    <t>Tianjin Municipal Education Commission Research Development Program [2022KJ222]</t>
  </si>
  <si>
    <t>Tianjin Municipal Education Commission Research Development Program</t>
  </si>
  <si>
    <t>The author(s) declare financial support was received for the research, authorship, and/or publication of this article. This work was supported by the Tianjin Municipal Education Commission Research Development Program 2022KJ222.</t>
  </si>
  <si>
    <t>[Johnson, Casey L.; Press, Robert H.; Simone, Charles B.; Shen, Brian; Tsai, Pingfang; Hu, Lei; Yu, Francis; Apinorasethkul, Chavanon; Ackerman, Christopher; Zhai, Huifang; Lin, Haibo; Huang, Sheng] New York Proton Ctr, New York, NY 10035 USA; [Huang, Sheng] Tianjin Med Univ, Canc Inst &amp; Hosp, Natl Clin Res Ctr Canc, Tianjins Clin Res Ctr Canc, Tianjin, Peoples R China</t>
  </si>
  <si>
    <t>Tianjin Medical University</t>
  </si>
  <si>
    <t>Clinical validation of commercial deep-learning based auto-segmentation models for organs at risk in the head and neck region: a single institution study</t>
  </si>
  <si>
    <t>deep-learning; autosegmentation; head&amp;neck cancer; OARs; radiotherapy</t>
  </si>
  <si>
    <t>DELINEATION; CANCER; ATLAS</t>
  </si>
  <si>
    <t>Press, Riset/JHU-4455-2023</t>
  </si>
  <si>
    <t>Tsai, Pingfang/0000-0003-3513-8256; Johnson, Casey/0000-0001-6281-3523; Press, Riset/0009-0000-7628-4335</t>
  </si>
  <si>
    <t>JUL 11 2024</t>
  </si>
  <si>
    <t>1375096</t>
  </si>
  <si>
    <t>10.3389/fonc.2024.1375096</t>
  </si>
  <si>
    <t>http://dx.doi.org/10.3389/fonc.2024.1375096</t>
  </si>
  <si>
    <t>ZN2Y0</t>
  </si>
  <si>
    <t>39055552</t>
  </si>
  <si>
    <t>WOS:001275924600001</t>
  </si>
  <si>
    <t>Huang, SQ; Chen, XJ; Tian, L; Chen, X; Yang, YY; Sun, YN; Zhou, YQ; Qu, WM; Wang, R; Wang, XY</t>
  </si>
  <si>
    <t>Background: Endoscopic ultrasound (EUS) is crucial for diagnosing and managing mediastinal diseases but lacks effective quality control. This study developed and evaluated an artificial intelligence (AI) system to assist in anatomical landmark identification and scanning guidance, aiming to improve quality control of mediastinal EUS examinations in clinical practice. Methods: The AI system for mediastinal EUS was trained on 11 230 annotated images from 120 patients, validated internally (1972 images) and externally (824 images from three institutions). A single-center randomized controlled trial was designed to evaluate the effect of quality control, which enrolled patients requiring mediastinal EUS, randomized 1:1 to AI-assisted or control groups. Four endoscopists performed EUS, with the AI group receiving real-time AI feedback. The primary outcome was standard station completeness; secondary outcomes included structure completeness, procedure time, and adverse events. Blinded analysis ensured objectivity. Results: Between 16 September 2023, and 28 February 2025, a total of 148 patients were randomly assigned and analyzed, with 72 patients in the AI-assisted group and 76 in the control group. The overall station completeness was significantly higher in the AI-assisted group than in the control group (1.00 [IQR, 1.00-1.00] vs. 0.80 [IQR, 0.60-0.80]; P &lt; 0.001), with the AI-assisted group also demonstrating significantly higher anatomical structure completeness (1.00 [IQR, 1.00-1.00] vs. 0.85 [IQR, 0.62-0.92]; P &lt; 0.001). However, no significant differences were found for station 2 (subcarinal area) or average procedural time, and no adverse events were reported. Conclusions: The AI system significantly improved the scan completeness and shows promise in enhancing EUS quality control.</t>
  </si>
  <si>
    <t>Huang, Shiqin; Chen, Xuejie; Tian, Li; Chen, Xiong; Yang, Yuanyuan; Sun, Yingnan; Zhou, Yuqian; Qu, Weiming; Wang, Rui; Wang, Xiaoyan</t>
  </si>
  <si>
    <t>Wang, R; Wang, XY (corresponding author), Cent South Univ, Xiangya Hosp 3, Dept Gastroenterol, 138 Tongzipo Rd, Changsha 410013, Hunan, Peoples R China.; Wang, R; Wang, XY (corresponding author), Dept Endoscopy, Hunan Key Lab Nonresolving Inflammat &amp; Canc, Changsha 410013, Hunan, Peoples R China.</t>
  </si>
  <si>
    <t>218302028@csu.edu.cn; sunyingnan@hnca.org.cn; xuejiechen@csu.edu.cn; yuqianzhou@csu.edu.cn; 603008@csu.edu.cn; wangxiaoyan@csu.edu.cn; 601431@csu.edu.cn; 714569948@qq.com</t>
  </si>
  <si>
    <t>[Huang, Shiqin; Chen, Xuejie; Tian, Li; Chen, Xiong; Yang, Yuanyuan; Wang, Rui; Wang, Xiaoyan] Cent South Univ, Xiangya Hosp 3, Dept Gastroenterol, 138 Tongzipo Rd, Changsha 410013, Hunan, Peoples R China; [Huang, Shiqin; Chen, Xuejie; Tian, Li; Chen, Xiong; Yang, Yuanyuan; Wang, Rui; Wang, Xiaoyan] Dept Endoscopy, Hunan Key Lab Nonresolving Inflammat &amp; Canc, Changsha 410013, Hunan, Peoples R China; [Sun, Yingnan] Cent South Univ, Hunan Canc Hosp, Dept Endoscopy, Affiliated Canc Hosp,Xiangya Sch Med, Changsha, Hunan, Peoples R China; [Zhou, Yuqian] Cent South Univ, Xiangya Hosp 2, Dept Gastroenterol, Changsha, Hunan, Peoples R China; [Zhou, Yuqian] Cent South Univ, Res Ctr Digest Dis, Changsha, Hunan, Peoples R China; [Qu, Weiming] Zhuzhou Cent Hosp, Dept Gastroenterol, Zhuzhou, Hunan, Peoples R China</t>
  </si>
  <si>
    <t>Central South University; Central South University; Central South University; Central South University</t>
  </si>
  <si>
    <t>Development and clinical validation of a novel deep learning-based mediastinal endoscopic ultrasound navigation system for quality control: a single-center, randomized controlled trial</t>
  </si>
  <si>
    <t>INTERNATIONAL JOURNAL OF SURGERY</t>
  </si>
  <si>
    <t>artificial intelligence; deep learning; endoscopic ultrasound; mediastinal diseases; quality control</t>
  </si>
  <si>
    <t>LINEAR EUS; EBUS</t>
  </si>
  <si>
    <t>Zhou, Yuqian/ADH-8328-2022; chen, xuejie/HGE-8608-2022</t>
  </si>
  <si>
    <t>1743-9191</t>
  </si>
  <si>
    <t>1743-9159</t>
  </si>
  <si>
    <t>INT J SURG</t>
  </si>
  <si>
    <t>Int. J. Surg.</t>
  </si>
  <si>
    <t>981</t>
  </si>
  <si>
    <t>989</t>
  </si>
  <si>
    <t>10.1097/JS9.0000000000003469</t>
  </si>
  <si>
    <t>http://dx.doi.org/10.1097/JS9.0000000000003469</t>
  </si>
  <si>
    <t>DC9PK</t>
  </si>
  <si>
    <t>40990678</t>
  </si>
  <si>
    <t>WOS:001680465700037</t>
  </si>
  <si>
    <t>Yang, SJ; Zhao, RM</t>
  </si>
  <si>
    <t>Background Medullary thyroid carcinoma (MTC) carries a disproportionately high mortality among thyroid malignancies, and the risk is even greater once metastasis occurs; nevertheless, a dependable prognostic tool for lymph-node-positive MTC patients remains elusive. We aimed to derive and externally validate a machine learning model for predicting 3-year and 5-year overall survival (OS) and cancer-specific survival (CSS) in this high-risk population.Methods Retrospective cohorts were assembled from the U.S. SEER database (n = 1,071) and Zibo Municipal Hospital (external validation, n = 198). After feature selection (Cox, Boruta, RFE), five algorithms (LightGBM, XGBoost, RF, MLP, KNN) were trained in 70% SEER data and tested in the remaining 30% and in the Chinese cohort. F1-score, MCC, sensitivity, specificity, AUC, calibration curve, and decision-curve analysis were evaluated; model explainability was assessed with SHAP.Results In OS prediction, LightGBM achieved the highest AUC in both time horizons (SEER 3-year 0.833, 5-year 0.892; external 5-year 0.869), with superior accuracy. Calibration curves lay closest to the 45 degrees diagonal, and decision-curve analysis demonstrated the greatest net benefit across clinically relevant risk thresholds. SHAP revealed the absence of surgery as the strongest adverse contributor for OS, followed by advanced age, larger tumour size, higher LNR, radiotherapy and chemotherapy demonstrated adverse effects. The same pattern emerges when predicting CSS. Based on these results, we developed an online calculator for predicting 3- and 5-year OS and CSS in patients with lymph-node-positive MTC.Conclusion LightGBM model provides an accurate, well-calibrated, and clinically useful tool for estimating survival in lymph-node-positive MTC. In addition, the decision to undergo surgery is considered the most important factor in the survival of MTC patients.</t>
  </si>
  <si>
    <t>Yang, Shaojun; Zhao, Ruming</t>
  </si>
  <si>
    <t>Zhao, RM (corresponding author), Zibo Municipal Hosp, Dept Oncol, Zibo, Shandong, Peoples R China.</t>
  </si>
  <si>
    <t>673660931@qq.com</t>
  </si>
  <si>
    <t>[Yang, Shaojun; Zhao, Ruming] Zibo Municipal Hosp, Dept Oncol, Zibo, Shandong, Peoples R China</t>
  </si>
  <si>
    <t>Machine-learning prediction of 3-and 5-year mortality in lymph-node-positive medullary thyroid carcinoma: a study based on the SEER database and external validation in a Chinese cohort</t>
  </si>
  <si>
    <t>cancer-specific survival; lymph node metastasis; machine learning; medullary thyroid carcinoma; overall survival</t>
  </si>
  <si>
    <t>NASOPHARYNGEAL CARCINOMA; SURVIVAL; MANAGEMENT; CANCER</t>
  </si>
  <si>
    <t>APR 14 2026</t>
  </si>
  <si>
    <t>1798296</t>
  </si>
  <si>
    <t>10.3389/fonc.2026.1798296</t>
  </si>
  <si>
    <t>http://dx.doi.org/10.3389/fonc.2026.1798296</t>
  </si>
  <si>
    <t>HC8RM</t>
  </si>
  <si>
    <t>42057814</t>
  </si>
  <si>
    <t>WOS:001751024700001</t>
  </si>
  <si>
    <t>Jia, J; Zhang, W; Dai, HL; Guan, YX; Yang, ZG; Wei, W; Zhang, XJ; Tao, SM</t>
  </si>
  <si>
    <t>Background Cardiac arrest remains a significant cause of mortality worldwide. Identifying factors associated with in-hospital mortality can improve patient care and outcomes. Methods A retrospective analysis was performed, including 1845 patients diagnosed with cardiac arrest from the Medical Information Mart for Intensive Care IV (MIMIC-IV) database and 52 patients from the Affiliated Hospital of Yunnan University (YNU). The study evaluated variables such as demographic characteristics, laboratory test results, and comorbidities. Prediction models for in-hospital mortality following cardiac arrest were constructed using five machine learning algorithms: logistic regression (LR), random forest (RF), extreme gradient boosting (XGBoost), support vector machine (SVM), and light gradient boosting machine (LightGBM). The predictive performance of these models was evaluated using the area under the receiver operating characteristic curve (AUC), as well as metrics including accuracy, precision, recall, and the F1 score. Results Among the five machine learning algorithms evaluated, the XGBoost model demonstrated the highest performance. The XGBoost model achieved an AUC of 0.828, with an accuracy of 0.737, a precision of 0.709, an F1 score of 0.713, a recall of 0.717, a positive predictive value (PPV) of 0.709, and a negative predictive value (NPV) of 0.767. External validation of the XGBoost model using data from the Affiliated Hospital of Yunnan University yielded an AUC of 0.845, further supporting its predictive reliability. SHAP (SHapley Additive exPlanations) analysis identified the five variables with the greatest impact on in-hospital mortality in patients with cardiac arrest as mechanical ventilation, age, minimum lactate value, maximum arterial blood gas oxygen partial pressure, and urine output. Conclusions The XGBoost model enabled good prediction of in-hospital mortality in ICU admission cardiac arrest patients, which may be widely used in clinical decision-making.</t>
  </si>
  <si>
    <t>Jia, Ji; Zhang, Wei; Dai, Hua-lei; Guan, Ying-xia; Yang, Zhi-gang; Wei, Wei; Zhang, Xin-jin; Tao, Si-ming</t>
  </si>
  <si>
    <t>Jia, J; Tao, SM (corresponding author), Yunnan Univ, Dept Geriatr, Affiliated Hosp, Kunming 650021, Peoples R China.</t>
  </si>
  <si>
    <t>taosm6450@ynu.edu.cn; jiaji@ynu.edu.cn</t>
  </si>
  <si>
    <t>Yunnan Provincial Program for the Cultivation of High-Level Innovative Health Talent [YNWR-MY-2020-024]; Yunnan University Medical Research Foundation [YDYXJJ2024-0007]</t>
  </si>
  <si>
    <t>Yunnan Provincial Program for the Cultivation of High-Level Innovative Health Talent; Yunnan University Medical Research Foundation</t>
  </si>
  <si>
    <t>This study was supported by the Yunnan Provincial Program for the Cultivation of High-Level Innovative Health Talent (Grant No. YNWR-MY-2020-024) and funded by the Yunnan University Medical Research Foundation (Grant No. YDYXJJ2024-0007). The funding bodies played no role in the design of the study and collection, analysis, and interpretation of data and in writing the manuscript.</t>
  </si>
  <si>
    <t>[Jia, Ji; Dai, Hua-lei; Guan, Ying-xia; Yang, Zhi-gang; Wei, Wei; Zhang, Xin-jin; Tao, Si-ming] Yunnan Univ, Dept Geriatr, Affiliated Hosp, Kunming 650021, Peoples R China; [Zhang, Wei] Yunnan Univ, Affiliated Hosp, Dept Emergency Med, Kunming 650021, Peoples R China</t>
  </si>
  <si>
    <t>Yunnan University; Yunnan University</t>
  </si>
  <si>
    <t>Prediction of in-hospital mortality risk in cardiac arrest patients using machine learning models: a study based on the MIMIC-IV database with external validation from Yunnan University Affiliated Hospital</t>
  </si>
  <si>
    <t>Machine learning; Mortality; Cardiac arrest; MIMIC database; XGBoost</t>
  </si>
  <si>
    <t>JIA, JI/OJT-9272-2025</t>
  </si>
  <si>
    <t>MAR 28 2026</t>
  </si>
  <si>
    <t>10.1186/s12911-026-03465-6</t>
  </si>
  <si>
    <t>http://dx.doi.org/10.1186/s12911-026-03465-6</t>
  </si>
  <si>
    <t>IE4SG</t>
  </si>
  <si>
    <t>41904480</t>
  </si>
  <si>
    <t>WOS:001769753900001</t>
  </si>
  <si>
    <t>Cao, ZT; Qin, HW; Niu, Y; Zhang, ZL; Dong, GJ</t>
  </si>
  <si>
    <t>Background: The platelet to white blood cell ratio (PWR) has shown prognostic value in many diseases. Yet its predictive utility for patients with atherosclerotic cardiovascular disease (ASCVD) who receive care in the intensive care unit (ICU) remains uncertain. We examined whether PWR at ICU admission is associated with short term all cause mortality among ICU patients with ASCVD. Methods: We used the MIMIC IV and eICU databases to study the association between PWR and 30 day all cause mortality in critically ill patients with ASCVD. Patients were grouped by PWR quartiles. Collinearity was checked with the variance inflation factor (VIF). Nonlinearity was assessed with restricted cubic splines(RCS). Survival was compared with Kaplan Meier(KM) curves and the log rank test. Hazard ratios were estimated with stratified and adjusted Cox models. We also built machine learning models that included PWR and clinical features selected with the Boruta algorithm to predict 30 day mortality. Model performance was evaluated by the area under the receiver operating characteristic curve (AUC). External validation in the eICU database was used to assess generalizability. Results: A total of 10 943 ICU patients with ASCVD were included, 62 % were men, and the median age was 71 years. The highest PWR quartile had a lower 30 day all cause mortality than the lowest quartile, 11 % versus 15 % (p &lt; 0.001). In multivariable Cox models the highest quartile had a lower risk (HR 0.80, 95 % CI 0.67 to 0.95, p = 0.012). RCS suggested a nonlinear association. Age modified the association, with a stronger protective effect in patients younger than 70 years (HR 0.64, 95 % CI 0.47 to 0.87, interaction p &lt; 0.001). The best machine learning model achieved an AUC of 0.812 in internal validation and 0.80 in external validation. SHAP analysis showed that higher PWR was linked to a lower predicted risk of death. Conclusion: PWR independently predicts 30 day all cause mortality in ICU patients with ASCVD. These findings support the use of PWR for risk stratification and to inform management in critical care for ASCVD.</t>
  </si>
  <si>
    <t>Cao, Zhantao; Qin, Hewei; Niu, Yue; Zhang, Zilu; Dong, Guoju</t>
  </si>
  <si>
    <t>Dong, GJ (corresponding author), China Acad Chinese Med Sci, Xiyuan Hosp, Dept Cardiovasc Internal Med, Beijing 100091, Peoples R China.</t>
  </si>
  <si>
    <t>13691393589@163.com</t>
  </si>
  <si>
    <t>National Natural Science Foundation of China [8257145391]</t>
  </si>
  <si>
    <t>The author (s) declare that financial support was received for the research and/or publication of this article. This work was supported by the National Natural Science Foundation of China (Grant No. 8257145391) .</t>
  </si>
  <si>
    <t>[Cao, Zhantao; Dong, Guoju] China Acad Chinese Med Sci, Xiyuan Hosp, Dept Cardiovasc Internal Med, Beijing 100091, Peoples R China; [Qin, Hewei; Niu, Yue] Henan Univ Tradit Chinese Med, Affiliated Hosp 2, Zhengzhou, Henan, Peoples R China; [Zhang, Zilu] Henan Univ Tradit Chinese Med, Coll Rehabil Med, Zhengzhou, Henan, Peoples R China</t>
  </si>
  <si>
    <t>China Academy of Chinese Medical Sciences; Xiyuan Hospital, CACMS; Henan University of Traditional Chinese Medicine; Henan University of Traditional Chinese Medicine</t>
  </si>
  <si>
    <t>Association between the platelet to white blood cell ratio and short term mortality in critically ill patients with atherosclerotic cardiovascular disease: A retrospective study and machine learning with external validation</t>
  </si>
  <si>
    <t>PWR; ASCVD; MIMIC-IV database; eICU database; Machine learning</t>
  </si>
  <si>
    <t>PREDICTOR</t>
  </si>
  <si>
    <t>Cao, Zhantao/0009-0006-5784-8362</t>
  </si>
  <si>
    <t>APR 1 2026</t>
  </si>
  <si>
    <t>106267</t>
  </si>
  <si>
    <t>10.1016/j.ijmedinf.2026.106267</t>
  </si>
  <si>
    <t>http://dx.doi.org/10.1016/j.ijmedinf.2026.106267</t>
  </si>
  <si>
    <t>CM7TR</t>
  </si>
  <si>
    <t>41506173</t>
  </si>
  <si>
    <t>WOS:001669489500001</t>
  </si>
  <si>
    <t>Jia, HM; Hou, ZZ; Li, F; Guo, XX; Li, WX; Cui, N</t>
  </si>
  <si>
    <t>Objectives: Sepsis-induced coagulopathy (SIC) is a critical complication of sepsis that profoundly affects the severity of organ dysfunction and clinical prognosis. The current study aimed to construct and compare multiple individualized machine learning (ML) prediction models for predicting severe acute kidney injury (AKI) in patients with SIC, with the goal of identifying the most robust model to improve the accuracy of clinical decision-making. Methods: The retrospective analysis was conducted based on the MIMIC-IV database and a Chinese cohort. Eligible patients with sepsis and SIC were included. Both LASSO regression and the Boruta algorithm were used to select predictive variables. Eight ML models were constructed to predict the individual probability for severe AKI development. The receiver operating characteristic (ROC) curve, area under the precision-recall curve (PR-AUC) value, calibration indicators, and net benefit were used to assess the predictive model performance. Subgroup analyses were performed to evaluate the stability of model performance. Model predictions and feature importance were estimated using SHapley additive explanations (SHAP). Results: Among the 14,155 patients with sepsis, 5,207 developed SIC and were randomly divided into training and internal validation cohorts. The severe AKI incidence rate was 24.7% (1288/5207). The Chinese external validation cohort enrolled 525 patients with SIC, with a severe AKI incidence rate of 28.1% (148/525). Six key predictive variables were identified to construct the ML models. The XGBoost prediction model demonstrated the most robust performance and best discrimination, achieving an area under the ROC curve of 0.875 (0.862-0.888) in the training cohort, 0.831 (0.807-0.854) in the internal cohort, and 0.843 (0.806-0.879) in the external validation cohort. Serum creatinine on the day of SIC diagnosis was identified as the most influential feature in the SHAP analysis. Subgroup analyses demonstrated that the model maintained predictive efficacy when stratified by age, sex, chronic kidney disease, and liver disease. Conclusions: The XGBoost machine learning model performed well in predicting the risk of severe AKI in patients with SIC, exhibiting satisfactory generalizability and interpretability. This prediction model provides a valuable and evidence-based tool for early identification and facilitates personalized targeted management in critical care settings.</t>
  </si>
  <si>
    <t>Jia, Huimiao; Hou, Zhenzhen; Li, Fei; Guo, Xiaoxia; Li, Wenxiong; Cui, Na</t>
  </si>
  <si>
    <t>Cui, N (corresponding author), Capital Med Univ, Beijing Chao Yang Hosp, Dept Crit Care Med, 8 Gongren Tiyuchang Nanlu, Beijing 100020, Peoples R China.</t>
  </si>
  <si>
    <t>hhouzz@163.com; liwx1126@163.com; cyyy_cn@163.com; 1120190621@mail.nankai.edu.cn; xiaoxia_guo@126.com; huimiaojia@163.com</t>
  </si>
  <si>
    <t>Clinical Research Enhancement Project of Beijing Chaoyang Hospital [CYTS2025A03]; Wu Jieping Medical Foundation [320.6750.2024-22-6]; Capital's Fund for Health Improvement and Research [2024-1-2031]; Clinical Research Incubation Project, Beijing Chao-Yang Hospital, Capital Medical University Medical University [CYFH202206]</t>
  </si>
  <si>
    <t>Clinical Research Enhancement Project of Beijing Chaoyang Hospital; Wu Jieping Medical Foundation; Capital's Fund for Health Improvement and Research; Clinical Research Incubation Project, Beijing Chao-Yang Hospital, Capital Medical University Medical University</t>
  </si>
  <si>
    <t>Clinical Research Enhancement Project of Beijing Chaoyang Hospital (No. CYTS2025A03), Wu Jieping Medical Foundation (No. 320.6750.2024-22-6), Capital's Fund for Health Improvement and Research (No. 2024-1-2031), and Clinical Research Incubation Project, Beijing Chao-Yang Hospital, Capital Medical University Medical University (No. CYFH202206)..</t>
  </si>
  <si>
    <t>[Jia, Huimiao; Hou, Zhenzhen; Li, Fei; Guo, Xiaoxia; Li, Wenxiong; Cui, Na] Capital Med Univ, Beijing Chao Yang Hosp, Dept Crit Care Med, 8 Gongren Tiyuchang Nanlu, Beijing 100020, Peoples R China</t>
  </si>
  <si>
    <t>Capital Medical University</t>
  </si>
  <si>
    <t>Derivation and external validation of machine learning prediction for severe acute kidney injury in patients with sepsis-induced coagulopathy: a study based on the MIMIC database and a Chinese cohort</t>
  </si>
  <si>
    <t>Sepsis-induced coagulopathy; Severe acute kidney injury; Machine learning; XGBoost; Clinical prediction model</t>
  </si>
  <si>
    <t>MORTALITY; DYSFUNCTION; CRITERIA; DISEASE; OBESITY; EVENTS; RISK</t>
  </si>
  <si>
    <t>220</t>
  </si>
  <si>
    <t>106602</t>
  </si>
  <si>
    <t>10.1016/j.ijmedinf.2026.106602</t>
  </si>
  <si>
    <t>http://dx.doi.org/10.1016/j.ijmedinf.2026.106602</t>
  </si>
  <si>
    <t>LG4QB</t>
  </si>
  <si>
    <t>42442070</t>
  </si>
  <si>
    <t>WOS:001824007200001</t>
  </si>
  <si>
    <t>Jiang, YF; Zhang, XS; Qiu, HF; Zhang, P</t>
  </si>
  <si>
    <t>Background Adenoid cystic carcinoma (ACC) of the head and neck is a rare malignancy with high rates of perineural invasion (PNI) and distant metastasis. Although the tumor-node-metastasis (TNM) staging system provides a crucial anatomical foundation, it may not fully capture the biological heterogeneity of ACC. Existing predictive models often lack robust external validation or contain too many variables for routine clinical use. This study aimed to develop and validate a simplified prognostic model using a multi-algorithm machine learning (ML) consensus approach. Methods This retrospective study included patients with pathologically confirmed primary head and neck ACC and complete follow-up data from two cohorts: a training cohort from the Surveillance, Epidemiology, and End Results (SEER) database (n=2,870) and an external validation cohort from Sichuan Cancer Hospital (n=172). The primary endpoint was overall survival (OS), defined as a binary outcome (all-cause mortality vs. survival). Clinical variables were extracted from SEER via database queries and from the external cohort via medical records and telephone interviews. The SEER cohort was divided into training and internal testing sets at a 7:3 ratio. Traditional Cox regression was first applied to establish a prognostic baseline and construct a clinical nomogram. Subsequently, four ML algorithms-logistic regression (LR), classification and regression tree (CART), random forest (RF), and support vector machine (SVM)-were used to build prognostic models. A SHapley Additive exPlanations (SHAP)-based consensus strategy was then applied across the four algorithms specifically for objective feature selection to identify a minimal set of core prognostic features. Results A total of 3,042 patients were analyzed. In the external cohort, the median follow-up was 86.0 months, with 49 mortality events (28.5%) observed. Six core prognostic features were identified: M stage, age, brain metastasis, T stage, surgery, and N stage. The simplified LR model achieved the best performance among all tested algorithms, with an area under the curve (AUC) of 0.825 in the internal testing set. In the external validation cohort, it achieved an AUC of 0.817, outperforming the other three algorithms, with good calibration observed. Conclusions This study developed a simplified prognostic model for head and neck ACC based on six core features. The model showed promising discrimination in both the internal testing set (AUC =0.825) and the external validation cohort (AUC =0.817). However, the external cohort was relatively small (n=172), which limits our ability to fully assess the model's generalizability. These findings should therefore be interpreted with caution. Future prospective studies with larger, multi-center cohorts are needed to confirm these results before the model can be recommended for routine clinical use.</t>
  </si>
  <si>
    <t>Jiang, Yuanfeng; Zhang, Xiansu; Qiu, Haofeng; Zhang, Peng</t>
  </si>
  <si>
    <t>Zhang, P (corresponding author), Univ Elect Sci &amp; Technol China, Sichuan Canc Hosp &amp; Inst, Sichuan Clin Res Ctr Canc, Sichuan Canc Ctr,Dept Radiat, 55,Sect 4,South Renmin Rd, Chengdu 610041, Peoples R China.</t>
  </si>
  <si>
    <t>izhangpeng@163.com</t>
  </si>
  <si>
    <t>Beijing Bethune Charitable Foundation through the 2024 Colorectal Cancer and Head and Neck Tumor Innovation Incubation Research Fund [2024-YJ-102-J]</t>
  </si>
  <si>
    <t>Beijing Bethune Charitable Foundation through the 2024 Colorectal Cancer and Head and Neck Tumor Innovation Incubation Research Fund</t>
  </si>
  <si>
    <t>This study was supported by the Beijing Bethune Charitable Foundation through the 2024 Colorectal Cancer and Head and Neck Tumor Innovation Incubation Research Fund (No. 2024-YJ-102-J).</t>
  </si>
  <si>
    <t>[Jiang, Yuanfeng; Qiu, Haofeng] Univ Elect Sci &amp; Technol China, Sch Med, Chengdu, Peoples R China; [Jiang, Yuanfeng; Zhang, Xiansu; Qiu, Haofeng; Zhang, Peng] Univ Elect Sci &amp; Technol China, Sichuan Canc Hosp &amp; Inst, Sichuan Clin Res Ctr Canc, Sichuan Canc Ctr,Dept Radiat, 55,Sect 4,South Renmin Rd, Chengdu 610041, Peoples R China</t>
  </si>
  <si>
    <t>University of Electronic Science &amp; Technology of China; University of Electronic Science &amp; Technology of China</t>
  </si>
  <si>
    <t>Development and external validation of a machine learning model for predicting overall survival in head and neck adenoid cystic carcinoma based on the SEER database and a Chinese clinical cohort</t>
  </si>
  <si>
    <t>Carcinoma; adenoid cystic; head and neck neoplasms; machine learning (ML); Surveillance, Epidemiology, and End Results program (SEER program); survival analysis</t>
  </si>
  <si>
    <t>SURGERY; RADIOTHERAPY; DISSECTION; THERAPY; REFCOR</t>
  </si>
  <si>
    <t>JUN 30 2026</t>
  </si>
  <si>
    <t>10.21037/gs-2026-1-0107</t>
  </si>
  <si>
    <t>http://dx.doi.org/10.21037/gs-2026-1-0107</t>
  </si>
  <si>
    <t>LC4CU</t>
  </si>
  <si>
    <t>42445072</t>
  </si>
  <si>
    <t>WOS:001821264300012</t>
  </si>
  <si>
    <t>Jang, Y; Kwon, JH; Kim, H; Joung, YJ; Nang, J; Kim, CH</t>
  </si>
  <si>
    <t>Background:Limited data availability and privacy constraints hinder the development of robust survival prediction models for personalized treatment. Synthetic data offers a promising solution, preserving the statistical properties of real clinical data. Objective:This study aimed to quantitatively assess the feasibility of using synthetic data for survival prediction by evaluating model transfer performance to real-world hospital data, with a focus on model transfer strategies. Methods:We developed and validated colorectal cancer survival prediction models using the National Cancer Data Center (NCDC) synthetic data (30,683 patients from 3 Korean institutions) for pretraining and real hospital data (2170 patients from Hwasun Jeonnam University Hospital) for external validation. We evaluated 3 model transfer strategies-domain adaptation, zero-shot, and ensemble-using extreme gradient boosting (XGBoost) and light gradient boosting machine (LightGBM). In total, 48 model configurations were tested, defined by the combination of algorithms (LightGBM and XGBoost), sampling technique (no-sampling, random undersampling [RUS], and synthetic minority oversampling technique combined with edited nearest neighbors [SMOTEENN]), model type (baseline, domain adaptation, zero-shot, and ensemble), and optimization objective (area under the precision-recall curve [AUPRC] and F-1). The outcome was 7-year overall survival, evaluated using the AUPRC and Brier scores. Performance was compared against a hospital-only baseline using absolute values and deltas (Delta AUPRC and Delta Brier). Differences and corresponding 95% CIs were estimated on the held-out test set using 2000 bootstrap samples. Results:Zero-shot application reduced the AUPRC in most settings, and any marginal improvements observed in the remaining settings were not statistically significant. In contrast, the domain adaptation model improved AUPRC in 8/12 combinations, with 4 statistically significant gains; the best setting (XGBoost+RUS+F-1 optimization) achieved AUPRC=0.5391 (Delta+0.1474; P&lt;.001). The soft ensemble increased AUPRC in 7/12 combinations, with 3 statistically significant gains; the best setting (XGBoost+RUS+AUPRC optimization) achieved AUPRC=0.5060 (Delta+0.1258, P=.002). For calibration, Brier scores improved in most domain adaptation and ensemble combinations, with a substantial proportion reaching statistical significance. Conclusions:When domain adaptation using local hospital data was applied, the model pretrained on synthetic data exhibited similar performance to the hospital-only baseline across various settings. This study demonstrates the methodological utility of a model transfer approach using NCDC synthetic data in a setting with limited data sharing. At the same time, it clarifies that while synthetic data can serve as a complement to local clinical data, it is not a substitute for real-world clinical models.</t>
  </si>
  <si>
    <t>Jang, Yujeong; Kwon, Jae Hoon; Kim, Heeyong; Joung, You-Jin; Nang, Junho; Kim, Chang Hyun</t>
  </si>
  <si>
    <t>Nang, J (corresponding author), Chonnam Natl Univ, Hwasun Hosp, Inst Biomed Sci, Clin Trial Ctr, 322 Seoyang Ro, Hwasun Gun, Jeollanam Do, South Korea.</t>
  </si>
  <si>
    <t>cherryswan@khu.ac.kr</t>
  </si>
  <si>
    <t>Korea-Hwasun Oncology Precision Biomedicine &amp; Experimental Trials Project; Ministry of Health and Welfare of the Republic of Korea [RS-2025-00433283]; Development of an AI-Driven Platform for Clinical Validation in Senior Healthcare Focused on Degenerative Brain Diseases through the Korea Planning and Evaluation Institute of Industrial Technology [RS-2024-00433283]</t>
  </si>
  <si>
    <t>Korea-Hwasun Oncology Precision Biomedicine &amp; Experimental Trials Project; Ministry of Health and Welfare of the Republic of Korea (Ministry of Health &amp; Welfare (MOHW), Republic of Korea); Development of an AI-Driven Platform for Clinical Validation in Senior Healthcare Focused on Degenerative Brain Diseases through the Korea Planning and Evaluation Institute of Industrial Technology</t>
  </si>
  <si>
    <t>This research was supported by the Korea-Hwasun Oncology Precision Biomedicine &amp; Experimental Trials Project, a research and development project commissioned by the Ministry of Health and Welfare of the Republic of Korea (grant RS-2025-00433283) , and by the Development of an AI-Driven Platform for Clinical Validation in Senior Healthcare Focused on Degenerative Brain Diseases through the Korea Planning and Evaluation Institute of Industrial Technology (grant RS-2024-00433283) .</t>
  </si>
  <si>
    <t>[Jang, Yujeong; Kwon, Jae Hoon; Joung, You-Jin] Kyung Hee Univ, Dept Regulatory Sci, Seoul, South Korea; [Kim, Heeyong; Kim, Chang Hyun] Chonnam Natl Univ, Hwasun Hosp, Dept Surg, Hwasun, South Korea; [Joung, You-Jin] C&amp;R Res, Seoul, South Korea; [Nang, Junho] Chonnam Natl Univ, Hwasun Hosp, Inst Biomed Sci, Clin Trial Ctr, 322 Seoyang Ro, Hwasun Gun, Jeollanam Do, South Korea</t>
  </si>
  <si>
    <t>Kyung Hee University; Chonnam National University</t>
  </si>
  <si>
    <t>Evaluation of the Applicability of Synthetic Data in the Development of Colorectal Cancer Survival Prediction Models: External Validation of Advanced Machine Learning Models Based on National Cancer Data Center Data</t>
  </si>
  <si>
    <t>synthetic data; domain adaptation; colorectal cancer; machine learning; extreme gradient boosting; light gradient boosting machine; survival prediction model; external validation</t>
  </si>
  <si>
    <t>JANG, YU JEONG/0009-0000-3284-0205</t>
  </si>
  <si>
    <t>JUL 7 2026</t>
  </si>
  <si>
    <t>e86087</t>
  </si>
  <si>
    <t>10.2196/86087</t>
  </si>
  <si>
    <t>http://dx.doi.org/10.2196/86087</t>
  </si>
  <si>
    <t>LH6QM</t>
  </si>
  <si>
    <t>42412950</t>
  </si>
  <si>
    <t>WOS:001824822800003</t>
  </si>
  <si>
    <t>Plante, TB; Blau, AM; Berg, AN; Weinberg, AS; Jun, IC; Tapson, VF; Kanigan, TS; Adib, AB</t>
  </si>
  <si>
    <t>Background: Conventional diagnosis of COVID-19 with reverse transcription polymerase chain reaction (RT-PCR) testing (hereafter, PCR) is associated with prolonged time to diagnosis and significant costs to run the test. The SARS-CoV-2 virus might lead to characteristic patterns in the results of widely available, routine blood tests that could be identified with machine learning methodologies. Machine learning modalities integrating findings from these common laboratory test results might accelerate ruling out COVID-19 in emergency department patients.Objective: We sought to develop (ie, train and internally validate with cross-validation techniques) and externally validate a machine learning model to rule out COVID 19 using only routine blood tests among adults in emergency departments.Methods: Using clinical data from emergency departments (EDs) from 66 US hospitals before the pandemic (before the end of December 2019) or during the pandemic (March-July 2020), we included patients aged &gt;= 20 years in the study time frame. We excluded those with missing laboratory results. Model training used 2183 PCR-confirmed cases from 43 hospitals during the pandemic; negative controls were 10,000 prepandemic patients from the same hospitals. External validation used 23 hospitals with 1020 PCR-confirmed cases and 171,734 prepandemic negative controls. The main outcome was COVID 19 status predicted using same-day routine laboratory results. Model performance was assessed with area under the receiver operating characteristic (AUROC) curve as well as sensitivity, specificity, and negative predictive value (NPV).Results: Of 192,779 patients included in the training, external validation, and sensitivity data sets (median age decile 50 [IQR 30-60] years, 40.5% male [78,249/192,779]), AUROC for training and external validation was 0.91 (95% CI 0.90-0.92). Using a risk score cutoff of 1.0 (out of 100) in the external validation data set, the model achieved sensitivity of 95.9% and specificity of 41.7%; with a cutoff of 2.0, sensitivity was 92.6% and specificity was 59.9%. At the cutoff of 2.0, the NPVs at a prevalence of 1%, 10%, and 20% were 99.9%, 98.6%, and 97%, respectively.Conclusions: A machine learning model developed with multicenter clinical data integrating commonly collected ED laboratory data demonstrated high rule-out accuracy for COVID-19 status, and might inform selective use of PCR-based testing.</t>
  </si>
  <si>
    <t>Plante, Timothy B.; Blau, Aaron M.; Berg, Adrian N.; Weinberg, Aaron S.; Jun, Ik C.; Tapson, Victor F.; Kanigan, Tanya S.; Adib, Artur B.</t>
  </si>
  <si>
    <t>Plante, TB (corresponding author), Univ Vermont, Larner Coll Med, 360 S Pk Dr,Suite 206B, Colchester, VT 05446 USA.</t>
  </si>
  <si>
    <t>timothy.plante@uvm.edu</t>
  </si>
  <si>
    <t>[Plante, Timothy B.] Univ Vermont, Larner Coll Med, 360 S Pk Dr,Suite 206B, Colchester, VT 05446 USA; [Plante, Timothy B.; Blau, Aaron M.] Univ Vermont, Med Ctr, Burlington, VT USA; [Berg, Adrian N.] Univ Vermont, Larner Coll Med, Burlington, VT USA; [Berg, Adrian N.; Kanigan, Tanya S.; Adib, Artur B.] Biocogniv Inc, S Burlington, VT USA; [Weinberg, Aaron S.; Jun, Ik C.; Tapson, Victor F.] Cedars Sinai Med Ctr, Los Angeles, CA 90048 USA</t>
  </si>
  <si>
    <t>University of Vermont; University of Vermont Medical Center; University of Vermont; University of Vermont; Cedars Sinai Medical Center</t>
  </si>
  <si>
    <t>Development and External Validation of a Machine Learning Tool to Rule Out COVID-19 Among Adults in the Emergency Department Using Routine Blood Tests: A Large, Multicenter, Real-World Study</t>
  </si>
  <si>
    <t>COVID-19; SARS-CoV-2; machine learning; artificial intelligence; electronic medical records; laboratory results; development; validation; testing; model; emergency department</t>
  </si>
  <si>
    <t>Plante, Timothy/0000-0001-9992-9597; Tapson, Victor/0000-0001-9708-1457; Jun, Ik/0000-0002-8930-7417; Kanigan, Tanya/0000-0002-6233-2153</t>
  </si>
  <si>
    <t>DEC 2 2020</t>
  </si>
  <si>
    <t>e24048</t>
  </si>
  <si>
    <t>10.2196/24048</t>
  </si>
  <si>
    <t>http://dx.doi.org/10.2196/24048</t>
  </si>
  <si>
    <t>PK3XX</t>
  </si>
  <si>
    <t>33226957</t>
  </si>
  <si>
    <t>WOS:000602383300002</t>
  </si>
  <si>
    <t>Muscogiuri, E; van Assen, M; Tessarin, G; Razavi, AC; Schoebinger, M; Wels, M; Gulsun, MA; Sharma, P; Fung, GSK; De Cecco, CN</t>
  </si>
  <si>
    <t>Purpose: We sought to clinically validate a fully automated deep learning (DL) algorithm for coronary artery disease (CAD) detection and classification in a heterogeneous multivendor cardiac computed tomography angiography data set. Materials and Methods: In this single-centre retrospective study, we included patients who underwent cardiac computed tomography angiography scans between 2010 and 2020 with scanners from 4 vendors (Siemens Healthineers, Philips, General Electrics, and Canon). Coronary Artery Disease-Reporting and Data System (CAD-RADS) classification was performed by a DL algorithm and by an expert reader (reader 1, R1), the gold standard. Variability analysis was performed with a second reader (reader 2, R2) and the radiologic reports on a subset of cases. Statistical analysis was performed stratifying patients according to the presence of CAD (CAD-RADS &gt;0) and obstructive CAD (CAD-RADS &gt;= 3). Results: Two hundred ninety-six patients (average age: 53.66 +/- 13.65, 169 males) were enrolled. For the detection of CAD only, the DL algorithm showed sensitivity, specificity, accuracy, and area under the curve of 95.3%, 79.7%, 87.5%, and 87.5%, respectively. For the detection of obstructive CAD, the DL algorithm showed sensitivity, specificity, accuracy, and area under the curve of 89.4%, 92.8%, 92.2%, and 91.1%, respectively. The variability analysis for the detection of obstructive CAD showed an accuracy of 92.5% comparing the DL algorithm with R1, and 96.2% comparing R1 with R2 and radiology reports. The time of analysis was lower using the DL algorithm compared with R1 (P &lt; 0.001). Conclusions: The DL algorithm demonstrated robust performance and excellent agreement with the expert readers' analysis for the evaluation of CAD, which also corresponded with significantly reduced image analysis time.</t>
  </si>
  <si>
    <t>Muscogiuri, Emanuele; van Assen, Marly; Tessarin, Giovanni; Razavi, Alexander C.; Schoebinger, Max; Wels, Michael; Gulsun, Mehmet Akif; Sharma, Puneet; Fung, George S. K.; De Cecco, Carlo N.</t>
  </si>
  <si>
    <t>De Cecco, CN (corresponding author), Emory Univ Hosp, Emory Healthcare, Dept Radiol &amp; Imaging Sci, Div Cardiothorac Imaging Nucl Med &amp; Mol Imaging, 1365 Clifton Rd NE,Suite AT500, Atlanta, GA 30322 USA.</t>
  </si>
  <si>
    <t>marly.van.assen@emory.edu; tessarin.giovanni@gmail.com; akif.gulsun@siemens-healthineers.com; alexander.c.razavi@emory.edu; sharma.puneet@siemens-healthineers.com; shiu.fung@siemens-healthineers.com; emanuele.muscogiuri@uzleuven.be; max.schoebinger@siemens-healthineers.com; carlo.dececco@emory.edu; michael.wels@siemens-healthineers.com</t>
  </si>
  <si>
    <t>C.N.D.C., and M.v.A. receive research funding from Siemens Healthineers. M.S., M.W., M.A.G., P.S., and G.S.K.F. are employees ofSiemens Helthineers. The remaining authors declare no conflicts ofinterest.</t>
  </si>
  <si>
    <t>[Muscogiuri, Emanuele; van Assen, Marly; Tessarin, Giovanni; De Cecco, Carlo N.] Emory Univ Hosp, Emory Healthcare Inc, Dept Radiol &amp; Imaging Sci, Div Cardiothorac Imaging, Atlanta, GA USA; [Razavi, Alexander C.] Emory Univ Hosp, Dept Cardiol, Emory Healthcare Inc, Atlanta, GA USA; [Muscogiuri, Emanuele] Univ Hosp Leuven, Dept Radiol, Div Thorac Imaging, Leuven, Belgium; [Tessarin, Giovanni] Univ Padua, Inst Radiol, Dept Med DIMED, Padua, Italy; [Tessarin, Giovanni] Ca Foncello Gen Hosp, Dept Radiol, Treviso, Italy; [Schoebinger, Max; Wels, Michael] Siemens Healthineers, Computed Tomog, Forchheim, Germany; [Gulsun, Mehmet Akif; Sharma, Puneet] Siemens Healthineers, Princeton, NJ USA; [Fung, George S. K.] Siemens Healthineers, Malvern, PA USA</t>
  </si>
  <si>
    <t>Emory University; Emory University; KU Leuven; University Hospital Leuven; University of Padua; ULSS 2 Marca TV; Ospedale Ca' Foncello Treviso; Siemens AG; Siemens Germany; Siemens AG; Siemens USA; Siemens AG; Siemens USA</t>
  </si>
  <si>
    <t>Clinical Validation of a Deep Learning Algorithm for Automated Coronary Artery Disease Detection and Classification Using a Heterogeneous Multivendor Coronary Computed Tomography Angiography Data Set</t>
  </si>
  <si>
    <t>JOURNAL OF THORACIC IMAGING</t>
  </si>
  <si>
    <t>deep learning; artificial intelligence; coronary artery disease; Coronary Artery Disease-Reporting and Data System; computed tomography</t>
  </si>
  <si>
    <t>EXPERT CONSENSUS DOCUMENT; NORTH-AMERICAN SOCIETY; DATA SYSTEM; CAD-RADS(TM); COLLEGE</t>
  </si>
  <si>
    <t>Muscogiuri, Emanuele/MSY-1339-2025; De Cecco, Carlo/C-8572-2017; Wels, Michael/HKE-8186-2023</t>
  </si>
  <si>
    <t>Muscogiuri, Emanuele/0000-0001-8844-8210</t>
  </si>
  <si>
    <t>0883-5993</t>
  </si>
  <si>
    <t>1536-0237</t>
  </si>
  <si>
    <t>J THORAC IMAG</t>
  </si>
  <si>
    <t>J. Thorac. Imaging</t>
  </si>
  <si>
    <t>e0798</t>
  </si>
  <si>
    <t>10.1097/RTI.0000000000000798</t>
  </si>
  <si>
    <t>http://dx.doi.org/10.1097/RTI.0000000000000798</t>
  </si>
  <si>
    <t>Q2K5X</t>
  </si>
  <si>
    <t>39034758</t>
  </si>
  <si>
    <t>WOS:001383038700006</t>
  </si>
  <si>
    <t>Lee, YW; Kim, JH; Park, JJ; Park, H; Seo, H; Kim, YK</t>
  </si>
  <si>
    <t>Purpose: To develop and validate a novel artificial intelligence model for predicting the initial empiric dose of vancomycin, with the aim of achieving an area under the concentration-time curve (AUC) of 400-600 mg center dot h/L, using individual clinical data. Methods: Machine learning models were developed and validated internally and externally using data from adult patients who received intravenous vancomycin treatment between November 2020 and June 2023, using records from July to September 2023, sourced from two hospitals. This study included 205, 44, and 35 patients in the training, internal validation, and external validation sets, respectively. The Random Forest, XGBoost, and Ensemble models were evaluated based on the mean squared error, root mean squared error, R-squared value, and accuracy (+/- 20 % of the actual dose). Findings: In internal validation, the Random Forest model achieved the highest 20% Accuracy at 56.8%, while the XGBoost model achieved 56.8% and Voting Ensemble models attained 54.5% accuracy. In external validation, the XGBoost model achieved the highest 20% Accuracy at 74.3%, followed by Random Forest and Voting Ensemble, both also achieving 74.3% accuracy. The estimated glomerular filtration rate was the most significant predictor in all models, with body weight, serum creatinine, height, and age also prominently influencing the XGBoost model's predictions. Implications: The proposed model is capable of accurately predicting the optimal dose of vancomycin, which could aid physicians in making more informed treatment decisions regarding early therapy, particularly when AUC estimation systems are not accessible or readily available in routine clinical practice.</t>
  </si>
  <si>
    <t>Lee, Yun Woo; Kim, Ji-Hun; Park, Jin Ju; Park, Hyejin; Seo, Hyeonji; Kim, Yong Kyun</t>
  </si>
  <si>
    <t>Kim, YK (corresponding author), Hallym Univ, Coll Med, Dept Internal Med, Div Infect Dis,Sacred Heart Hosp, 22 Gwanpyeong Ro 170 Beon Gil, Anyang 14068, Gyeonggi Do, South Korea.</t>
  </si>
  <si>
    <t>amoureuxyk@hallym.or.kr</t>
  </si>
  <si>
    <t>National Research Foundation of Korea (NRF); Korean Government Ministry of Science and ICT (MSIT) [NRF-2022R1C1C1011891]</t>
  </si>
  <si>
    <t>National Research Foundation of Korea (NRF) (National Research Foundation of Korea); Korean Government Ministry of Science and ICT (MSIT)</t>
  </si>
  <si>
    <t>This work was supported by the National Research Foundation of Korea (NRF) and the Korean Government Ministry of Science and ICT (MSIT) (grant number: NRF-2022R1C1C1011891) .</t>
  </si>
  <si>
    <t>[Lee, Yun Woo; Seo, Hyeonji; Kim, Yong Kyun] Hallym Univ, Coll Med, Dept Internal Med, Div Infect Dis,Sacred Heart Hosp, 22 Gwanpyeong Ro 170 Beon Gil, Anyang 14068, Gyeonggi Do, South Korea; [Kim, Ji-Hun] Catholic Univ Korea, Dept Emergency Med, Uijeongbu St Marys Hosp, Uijongbu, Gyeonggi Do, South Korea; [Park, Jin Ju; Park, Hyejin] Hallym Univ, Coll Med, Dept Internal Med, Div Infect Dis,Kangdong Sacred Heart Hosp, Seoul, South Korea</t>
  </si>
  <si>
    <t>Hallym University; Catholic University of Korea; Hallym University</t>
  </si>
  <si>
    <t>Development and external validation of a machine learning model to predict the initial dose of vancomycin for targeting an area under the concentration-time curve of 400-600 mg•h/L</t>
  </si>
  <si>
    <t>Artificial intelligence; Area under the concentration-time curve; Initial dose; Machine learning; Vancomycin</t>
  </si>
  <si>
    <t>INFECTIOUS-DISEASES SOCIETY; STAPHYLOCOCCUS-AUREUS INFECTIONS; HEALTH-SYSTEM PHARMACISTS; AMERICAN SOCIETY; GUIDELINES</t>
  </si>
  <si>
    <t>Kim, Kwang/G-6397-2010; Park, Jin Ju/AAE-7556-2022</t>
  </si>
  <si>
    <t>Seo, Hyeonji/0000-0001-6659-6853; Ji-Hun, Kim/0000-0002-4974-4129</t>
  </si>
  <si>
    <t>105817</t>
  </si>
  <si>
    <t>10.1016/j.ijmedinf.2025.105817</t>
  </si>
  <si>
    <t>http://dx.doi.org/10.1016/j.ijmedinf.2025.105817</t>
  </si>
  <si>
    <t>W2P4T</t>
  </si>
  <si>
    <t>39893767</t>
  </si>
  <si>
    <t>WOS:001417059100001</t>
  </si>
  <si>
    <t>Han, YN; Mao, RM; Xiong, CY; Wang, YX; Li, L; Wang, HL</t>
  </si>
  <si>
    <t>Background Patients with diabetic kidney disease (DKD) admitted to the intensive care unit (ICU) face an exceptionally high risk of in-hospital mortality. Currently, effective tools for their early risk stratification are critically lacking. Therefore, this study aimed to develop and externally validate an interpretable machine learning (ML) model for predicting in-hospital mortality in this high-risk ICU-DKD patient population.Methods This retrospective cohort study involved developing and evaluating eight ML algorithms. Model performance was rigorously assessed using receiver operating characteristic (ROC) curves, calibration curves, and decision curve analysis (DCA). SHapley Additive exPlanations (SHAP) provided model interpretability. Data from DKD patients with &gt;= 24-hour ICU stays were extracted from the MIMIC-IV database (n=3,403) for model development. An independent external validation cohort (n=260) was collected from the First Affiliated Hospital of Yangtze University (YTU-ICU). The primary outcome was in-hospital mortality. Lasso regression identified key predictors. Model evaluation focused on the area under the ROC curve (AUROC), calibration, and net clinical benefit.Results Ten features were selected for model development. Among the tested algorithms, XGBoost demonstrated superior predictive performance, achieving an AUROC of 0.738 (internal validation) and 0.746 (external validation), with corresponding accuracies of 72.18% and 72.69%. SHAP analysis highlighted respiratory failure, lymphocyte count, SOFA score, RDW, age, and SAPS II as the six most important predictors.Conclusions The developed XGBoost model demonstrates good predictive performance for in-hospital mortality in ICU-DKD patients, exhibiting satisfactory generalizability and interpretability. This tool supports early risk stratification and facilitates personalized treatment strategies in critical care settings.</t>
  </si>
  <si>
    <t>Han, YuNan; Mao, RuMeng; Xiong, ChengYue; Wang, YongXiang; Li, Lin; Wang, HongLian</t>
  </si>
  <si>
    <t>Li, L; Wang, HL (corresponding author), Yangtze Univ, Affiliated Hosp 1, Dept Endocrinol, Jingzhou, Hubei, Peoples R China.</t>
  </si>
  <si>
    <t>2023721094@yangtzeu.edu.cn; 872153217@qq.com</t>
  </si>
  <si>
    <t>[Han, YuNan; Mao, RuMeng; Li, Lin; Wang, HongLian] Yangtze Univ, Affiliated Hosp 1, Dept Endocrinol, Jingzhou, Hubei, Peoples R China; [Xiong, ChengYue; Wang, YongXiang] Yangtze Univ, Dept Med, Jingzhou, Hubei, Peoples R China</t>
  </si>
  <si>
    <t>Yangtze University; Yangtze University</t>
  </si>
  <si>
    <t>Development and external validation of a machine learning model for predicting in-hospital mortality in ICU patients with diabetic kidney disease: a study utilizing the MIMIC database and a Chinese cohort</t>
  </si>
  <si>
    <t>all-cause mortality; diabetes nephropathy; machine learning; MIMIC-IV; SHAP</t>
  </si>
  <si>
    <t>CELL DISTRIBUTION WIDTH; SOFA SCORE; ALL-CAUSE; INFLAMMATION; NEPHROPATHY; ANEMIA; RATIO</t>
  </si>
  <si>
    <t>Li, Lin/JUU-9781-2023</t>
  </si>
  <si>
    <t>1699647</t>
  </si>
  <si>
    <t>10.3389/fendo.2026.1699647</t>
  </si>
  <si>
    <t>http://dx.doi.org/10.3389/fendo.2026.1699647</t>
  </si>
  <si>
    <t>EZ0HH</t>
  </si>
  <si>
    <t>41837124</t>
  </si>
  <si>
    <t>WOS:001713119000001</t>
  </si>
  <si>
    <t>Chen, H; Dai, WC; Yang, J; Dang, X; Jiang, L</t>
  </si>
  <si>
    <t>Purpose: Small cell lung cancer (SCLC) is a highly aggressive malignancy with a high incidence of liver metastases, particularly among elderly patients, which significantly worsens survival outcomes. However, efficient predictive tools targeting this population remain scarce. This study aimed to develop and validate an interpretable machine learning-based model to re-stratify the risk of liver metastasis in elderly patients with SCLC after completion of routine staging evaluation at initial diagnosis. Methods: A total of 10,080 patients aged &gt;= 60 years with histologically confirmed SCLC were included from the SEER database (2010-2017) and the Affiliated Hospital of North Sichuan Medical College, China (2010-2024). Patients from SEER were randomly assigned to a training set (n = 7719) and an internal validation set (n = 1930), while 431 patients from China comprised the external validation set. Feature selection was performed using the Boruta algorithm, identifying 11 key variables. Seven ML models, namely, Logistic Regression, Na &amp; iuml;ve Bayes, Support Vector Machine (SVM), Decision Tree, Random Forest, XGBoost, and LightGBM, were developed to compare their predictive performance. The optimal model was further interpreted using SHAP (SHapley Additive exPlanations). Results: The incidence of liver metastasis was approximately 32.89%, 35.39%, and 32.71% in the training, internal validation, and external validation sets, respectively. Comparative analysis across models demonstrated that, in the internal validation set, XGBoost achieved the best overall discriminative performance, with an AUC of 0.820, slightly outperforming LightGBM (0.819), logistic regression (0.813), and random forest (0.811). In the external validation set, the performance of all models declined. Given its relatively superior predictive performance, XGBoost was selected as the final model for interpretability analyses. SHAP analysis indicated that LDS/ EDS, tumor stage, bone metastasis, and brain metastasis were the most influential features contributing to the model predictions. Conclusion: The XGBoost-based model exhibited moderate predictive value and satisfactory interpretability in assessing the risk of liver metastasis in patients with SCLC, suggesting its potential utility as an adjunctive decision-support tool following initial diagnostic staging. Nevertheless, its generalizability across different populations requires further validation, and localized recalibration may be necessary prior to broader clinical implementation.</t>
  </si>
  <si>
    <t>Chen, Hang; Dai, Wenchao; Yang, Jun; Dang, Xin; Jiang, Li</t>
  </si>
  <si>
    <t>Jiang, L (corresponding author), North Sichuan Med Coll, Affiliated Hosp, 1 Maoyuan South Rd, Nanchong 637000, Sichuan, Peoples R China.</t>
  </si>
  <si>
    <t>Science and Technology Bureau of Nanchong City [23JCYJPT0035]; National Science and Technology Major Project [2023ZD0506106]</t>
  </si>
  <si>
    <t>Science and Technology Bureau of Nanchong City; National Science and Technology Major Project</t>
  </si>
  <si>
    <t>This work was supported by the Science and Technology Bureau of Nanchong City (Grant No. 23JCYJPT0035) ; and the National Science and Technology Major Project (Grant No. 2023ZD0506106) .</t>
  </si>
  <si>
    <t>[Chen, Hang; Dai, Wenchao; Yang, Jun; Dang, Xin] North Sichuan Med Coll, Nanchong 637000, Sichuan, Peoples R China; [Chen, Hang; Dai, Wenchao; Yang, Jun; Dang, Xin; Jiang, Li] North Sichuan Med Coll, Affiliated Hosp, Dept Resp &amp; Crit Care Med, Nanchong 637000, Sichuan, Peoples R China</t>
  </si>
  <si>
    <t>Interpretable machine learning-based prediction of liver metastasis risk in elderly patients with small cell lung Cancer: A study based on the SEER database and external validation in a Chinese cohort</t>
  </si>
  <si>
    <t>Small cell lung cancer; Elderly; Liver metastasis; Machine learning; XGBoost; Model interpretability</t>
  </si>
  <si>
    <t>SURVIVAL; CHEMOTHERAPY; PROGNOSIS; PATTERNS; SITES</t>
  </si>
  <si>
    <t>Chen, Hang/PGM-6903-2026</t>
  </si>
  <si>
    <t>106274</t>
  </si>
  <si>
    <t>10.1016/j.ijmedinf.2026.106274</t>
  </si>
  <si>
    <t>http://dx.doi.org/10.1016/j.ijmedinf.2026.106274</t>
  </si>
  <si>
    <t>CG2DU</t>
  </si>
  <si>
    <t>41518822</t>
  </si>
  <si>
    <t>WOS:001665028400001</t>
  </si>
  <si>
    <t>Zhong, GQ; Cheng, S; Zhou, ML; Xie, JN; Xu, ZY; Lai, HH; Yan, Y; Xie, ZY; Zhou, JL; Xie, XH; Zhou, CZ; Zhang, Y</t>
  </si>
  <si>
    <t>BACKGROUND CONTEXT: The survival prediction of lung cancer-derived spinal metastases is often underestimated by several scores. The SORG machine learning (ML) algorithm is considered a promising tool to predict the risk of 90-day and 1-year mortality in patients with spinal metasta-ses, but not been externally validated for lung cancer. PURPOSE: This study aimed to externally validate the SORG ML algorithms on lung cancer-derived spinal metastases patients from two large-volume, tertiary medical centers between 2018 and 2021. STUDY DESIGN/SETTING: Retrospective, cohort study. PATIENT SAMPLE: Patients aged 18 years or older at two tertiary medical centers in China are treated surgically for spinal metastasis. OUTCOME MEASURES: Mortality within 90 days of surgery, mortality within 1 year of surgery. METHODS: The baseline characteristics were compared between the development cohort and our validation cohort. Discrimination (receiver operating curve), calibration (calibration plot, intercept, and slope), the overall performance (Brier score), and decision curve analysis was used to assess the overall performance of the SORG ML algorithms. RESULTS: This study included 150 patients with lung cancer-derived spinal metastases from two medical centers in China. Ninety-day and 1-year mortality rates were 12.9% (19/147) and 51.3% (60/117), respectively. Lung Cancer with targeted therapies had the lowest Hazard Ratio (HR=0.490), showing an optimal protecting factor. The AUC of the SORG ML algorithm for 90-day mortality prediction in lung cancer-derived spinal metastases is 0.714. While the AUC for 1-year mortality prediction is 0.832 (95CI%, 0.758-0.906). The algorithm for 1-year mortality was well-calibrated with an intercept of 0.13 and a calibration slope of 1.00. However, the 90-day mor-tality prediction was underestimated with an intercept of 0.60 and a slope of 0.37. The SORG ML algorithms for 1-year mortality showed a greater net benefit than the "treats all or no patients" strategies. CONCLUSIONS: In the latest cohort of lung cancer-derived spinal metastases in China, the SORG algorithms for predicting 1-year mortality performed well on external validation. However, 90-day mortality was underestimated. The algorithm should be further validated by single primary tumor-derived metastasis treated with the latest comprehensive treatment in diverse populations. (c) 2023 Elsevier Inc. All rights reserved.</t>
  </si>
  <si>
    <t>Zhong, Guoqing; Cheng, Shi; Zhou, Maolin; Xie, Juning; Xu, Ziyang; Lai, Huahao; Yan, Yuan; Xie, Zhenyan; Zhou, Jielong; Xie, Xiaohong; Zhou, Chengzhi; Zhang, Yu</t>
  </si>
  <si>
    <t>Zhang, Y (corresponding author), Guangdong Acad Med Sci, Guangdong Prov Peoples Hosp, Dept Orthoped, Room 1042,10-F, Main Clin Bldg,Zhongshan 2nd Rd, Guangzhou 510000, Guangdong, Peoples R China.</t>
  </si>
  <si>
    <t>luck_2001@126.com</t>
  </si>
  <si>
    <t>National Natural Science Foundation of China [U21A2084]</t>
  </si>
  <si>
    <t>This work was also supported by the National Natural Science Foundation of China (U21A2084).</t>
  </si>
  <si>
    <t>[Zhong, Guoqing; Cheng, Shi; Xie, Juning; Xu, Ziyang; Lai, Huahao; Yan, Yuan; Xie, Zhenyan; Zhou, Jielong; Zhang, Yu] Guangdong Acad Med Sci, Southern Med Univ, Guangdong Prov Peoples Hosp, Guangzhou 510000, Guangdong, Peoples R China; [Zhong, Guoqing; Zhang, Yu] Southern Med Univ, Sch Clin Med 2, Guangzhou 510000, Guangdong, Peoples R China; [Zhou, Maolin; Xie, Xiaohong; Zhou, Chengzhi] Guangzhou Med Univ, Affiliated Hosp 1, Guangzhou Inst Resp Hlth, Natl Clin Res Ctr Resp Dis,State Key Lab Resp Dise, 151 Yanjiang Rd, Guangzhou 510120, Guangdong, Peoples R China; [Zhang, Yu] Guangdong Acad Med Sci, Guangdong Prov Peoples Hosp, Dept Orthoped, Room 1042,10-F, Main Clin Bldg,Zhongshan 2nd Rd, Guangzhou 510000, Guangdong, Peoples R China</t>
  </si>
  <si>
    <t>Guangdong Academy of Medical Sciences &amp; Guangdong General Hospital; Southern Medical University - China; Southern Medical University - China; Guangzhou Medical University; Guangdong Academy of Medical Sciences &amp; Guangdong General Hospital; Southern Medical University - China</t>
  </si>
  <si>
    <t>External validation of the SORG machine learning algorithms for predicting 90-day and 1-year survival of patients with lung cancer-derived spine metastases: a recent bi-center cohort from China</t>
  </si>
  <si>
    <t>External validation; Lung cancer; Prediction; Spine metastases; Survival</t>
  </si>
  <si>
    <t>Zhong, Guoqing/GRJ-6541-2022</t>
  </si>
  <si>
    <t>731</t>
  </si>
  <si>
    <t>738</t>
  </si>
  <si>
    <t>10.1016/j.spinee.2023.01.008</t>
  </si>
  <si>
    <t>http://dx.doi.org/10.1016/j.spinee.2023.01.008</t>
  </si>
  <si>
    <t>G4CX8</t>
  </si>
  <si>
    <t>36706921</t>
  </si>
  <si>
    <t>WOS:000988666700001</t>
  </si>
  <si>
    <t>Chaudhary, MFA; Awan, HA; Gerard, SE; Bodduluri, S; Comellas, AP; Barjaktarevic, IZ; Barr, RG; Cooper, CB; Galban, CJ; Han, MK; Curtis, JL; Hansel, NN; Krishnan, JA; Menchaca, MG; Martinez, FJ; Ohar, J; Buonfiglio, LGV; Paine , R III; Bhatt, SP; Hoffman, EA; Reinhardt, JM</t>
  </si>
  <si>
    <t>Rationale: Quantifying functional small airway disease (fSAD) requires additional expiratory computed tomography (CT) scans, limiting clinical applicability. Artificial intelligence (AI) could enable fSAD quantification from chest CT scans at total lung capacity (TLC) alone (fSAD(TLC)). Objectives: To evaluate an AI model for estimating fSAD(TLC), compare it with dual-volume parametric response mapping fSAD (fSAD(PRM)), and assess its clinical associations and repeatability in chronic obstructive pulmonary disease (COPD). Methods: We analyzed 2,513 participants from SPIROMICS (the Subpopulations and Intermediate Outcome Measures in COPD Study). Using a randomly sampled subset (n = 1,055), we developed a generative model to produce virtual expiratory CT scans for estimating fSAD(TLC) in the remaining 1,458 SPIROMICS participants. We compared fSAD(TLC) with dual-volume fSAD(PRM). We investigated univariate and multivariable associations of fSAD(TLC) with FEV1, FEV1/FVC ratio, 6-minute-walk distance, St. George's Respiratory Questionnaire score, and FEV1 decline. The results were validated in a subset of patients from the COPDGene (Genetic Epidemiology of COPD) study (n = 458). Multivariable models were adjusted for age, race, sex, body mass index, baseline FEV1, smoking pack-years, smoking status, and percent emphysema. Measurements and Main Results: Inspiratory fSAD(TLC) showed a strong correlation with fSAD(PRM) in SPIROMICS (Pearson's R = 0.895) and COPDGene (R = 0.897) cohorts. Higher fSAD(TLC) levels were significantly associated with lower lung function, including lower postbronchodilator FEV1 (in liters) and FEV1/FVC ratio, and poorer quality of life reflected by higher total St. George's Respiratory Questionnaire scores independent of percent CT emphysema. In SPIROMICS, individuals with higher fSAD(TLC) experienced an annual decline in FEV1 of 1.156 ml (relative decrease; 95% confidence interval [CI], 0.613-1.699; P &lt; 0.001) per year for every 1% increase in fSAD(TLC). The rate of decline in the COPDGene cohort was slightly lower at 0.866 ml/yr (relative decrease; 95% CI, 0.345-1.386; P &lt; 0.001) per 1% increase in fSAD(TLC). Inspiratory fSAD(TLC) demonstrated greater consistency between repeated measurements, with a higher intraclass correlation coefficient of 0.99 (95% CI, 0.98-0.99) compared with fSAD(PRM) (0.83; 95% CI, 0.76-0.88). Conclusions: Small airway disease can be reliably assessed from a single inspiratory CT scan using generative AI, eliminating the need for an additional expiratory CT scan. fSAD estimation from inspiratory CT correlates strongly with fSAD(PRM), demonstrates a significant association with FEV1 decline, and offers greater repeatability.</t>
  </si>
  <si>
    <t>Chaudhary, Muhammad F. A.; Awan, Hira A.; Gerard, Sarah E.; Bodduluri, Sandeep; Comellas, Alejandro P.; Barjaktarevic, Igor Z.; Barr, R. Graham; Cooper, Christopher B.; Galban, Craig J.; Han, MeiLan K.; Curtis, Jeffrey L.; Hansel, Nadia N.; Krishnan, Jerry A.; Menchaca, Martha G.; Martinez, Fernando J.; Ohar, Jill; Buonfiglio, Luis G. Vargas; Paine III, Robert; Bhatt, Surya P.; Hoffman, Eric A.; Reinhardt, Joseph M.</t>
  </si>
  <si>
    <t>Reinhardt, JM (corresponding author), Univ Iowa, Roy J Carver Dept Biomed Engn, 5601 Seamans Ctr, Iowa City, IA 52242 USA.</t>
  </si>
  <si>
    <t>joe-reinhardt@uiowa.edu</t>
  </si>
  <si>
    <t>NHLBI Division of Intramural Research [R01 HL142625]; NHLBI [U01 HL089897, U01 HL089856]; NIH [75N92023D00011]; Roy J. Carver Charitable Trust [19-5154]; NIH/NHLBI [HHSN268200900013C, HHSN268200900014C, HHSN268200900015C, HHSN268200900016C, HHSN268200900017C, HHSN268200900018C, HHSN26820-0900019C, HHSN268200900020C, U01 HL137880, U24 HL141762]</t>
  </si>
  <si>
    <t>NHLBI Division of Intramural Research (United States Department of Health &amp; Human Services, National Institutes of Health (NIH) - USA, NIH National Heart Lung &amp; Blood Institute (NHLBI)); NHLBI (United States Department of Health &amp; Human Services, National Institutes of Health (NIH) - USA, NIH National Heart Lung &amp; Blood Institute (NHLBI)); NIH (United States Department of Health &amp; Human Services, National Institutes of Health (NIH) - USA); Roy J. Carver Charitable Trust; NIH/NHLBI (United States Department of Health &amp; Human Services, National Institutes of Health (NIH) - USA, NIH National Heart Lung &amp; Blood Institute (NHLBI))</t>
  </si>
  <si>
    <t>Supported by NHLBI Division of Intramural Research grant R01 HL142625 and NHLBI grants U01 HL089897 and U01 HL089856, by NIH contract 75N92023D00011, and by Roy J. Carver Charitable Trust grant 19-5154. SPIROMICS was supported by NIH/NHLBI contracts HHSN268200900013C, HHSN268200900014C, HHSN268200900015C, HHSN268200900016C, HHSN268200900017C, HHSN268200900018C, HHSN26820-0900019C, and HHSN268200900020C and grants U01 HL137880 and U24 HL141762.</t>
  </si>
  <si>
    <t>[Chaudhary, Muhammad F. A.; Awan, Hira A.; Gerard, Sarah E.; Hoffman, Eric A.; Reinhardt, Joseph M.] Univ Iowa, Roy J Carver Dept Biomed Engn, Iowa City, IA USA; [Chaudhary, Muhammad F. A.; Bodduluri, Sandeep; Bhatt, Surya P.] Univ Alabama Birmingham, Ctr Lung Analyt &amp; Imaging Res, Div Pulm Allergy &amp; Crit Care Med, Birmingham, AL USA; [Comellas, Alejandro P.; Hoffman, Eric A.] Univ Iowa Roy, Roy J &amp; Lucille A Carver Coll Med, Dept Internal Med, Div Pulm Crit Care &amp; Occupat Med, Iowa City, IA USA; [Hoffman, Eric A.; Reinhardt, Joseph M.] Univ Iowa, Roy J &amp; Lucille A Carver Coll Med, Dept Radiol, Iowa City, IA USA; [Barjaktarevic, Igor Z.] UCLA, Div Pulm &amp; Crit Care Med, Los Angeles, CA USA; [Cooper, Christopher B.] UCLA, David Geffen Sch Med, Dept Physiol, Los Angeles, CA USA; [Barr, R. Graham] Columbia Univ, Mailman Sch Publ Hlth, Dept Epidemiol, New York, NY USA; [Galban, Craig J.] Univ Michigan, Dept Radiol, Ann Arbor, MI USA; [Han, MeiLan K.; Curtis, Jeffrey L.] Univ Michigan Hlth Syst, Div Pulm &amp; Crit Care Med, Ann Arbor, MI USA; [Hansel, Nadia N.] Johns Hopkins Sch Med, Dept Med, Baltimore, MD USA; [Krishnan, Jerry A.] Univ Illinois, Breathe Chicago Ctr, Chicago, IL USA; [Menchaca, Martha G.] Univ Illinois, Dept Radiol, Coll Med Chicago, Chicago, IL USA; [Martinez, Fernando J.] Univ Massachusetts, Chan Med Sch, Worcester, MA USA; [Ohar, Jill] Wake Forest Univ, Bowman Gray Sch Med, Winston Salem, NC USA; [Buonfiglio, Luis G. Vargas; Paine III, Robert] Univ Utah, Div Resp Crit Care &amp; Occupat Pulm Med, Salt Lake City, UT USA; [Chaudhary, Muhammad F. A.] Univ Alabama Birmingham, Ctr Lung Analyt &amp; Imaging Res, Birmingham, AL USA</t>
  </si>
  <si>
    <t>University of Iowa; University of Alabama System; University of Alabama Birmingham; University of Iowa; University of Iowa; University of California System; University of California Los Angeles; University of California System; University of California Los Angeles; David Geffen School of Medicine at UCLA; University of California Los Angeles Medical Center; Columbia University; University of Michigan System; University of Michigan; University of Michigan System; University of Michigan; Johns Hopkins University; Johns Hopkins Medicine; University of Illinois System; University of Illinois Chicago; University of Illinois Chicago Hospital; University of Illinois System; University of Illinois Chicago; University of Illinois Chicago Hospital; University of Massachusetts System; UMass Chan Medical School; University of Massachusetts Worcester; Wake Forest University; Wake Forest Baptist Medical Center; Utah System of Higher Education; University of Utah; University of Alabama System; University of Alabama Birmingham</t>
  </si>
  <si>
    <t>Deep Learning Estimation of Small Airway Disease from Inspiratory Chest Computed Tomography Clinical Validation, Repeatability, and Associations with Adverse Clinical Outcomes in Chronic Obstructive Pulmonary Disease</t>
  </si>
  <si>
    <t>AMERICAN JOURNAL OF RESPIRATORY AND CRITICAL CARE MEDICINE</t>
  </si>
  <si>
    <t>computed tomography; artificial intelligence; functional small airway disease; FEV1 decline</t>
  </si>
  <si>
    <t>COPD; SMOKERS; VOLUME; LUNG; SITE</t>
  </si>
  <si>
    <t>/AAE-8356-2020; Martinez, Fernando/AGN-4356-2022; Comellas, Alejandro/AAE-5661-2019</t>
  </si>
  <si>
    <t>Bhatt, Surya/0000-0002-8418-4497; Comellas, Alejandro/0000-0003-1521-7520; Hoffman, Eric/0000-0001-8456-9437</t>
  </si>
  <si>
    <t>1073-449X</t>
  </si>
  <si>
    <t>1535-4970</t>
  </si>
  <si>
    <t>AM J RESP CRIT CARE</t>
  </si>
  <si>
    <t>Am. J. Respir. Crit. Care Med.</t>
  </si>
  <si>
    <t>1195</t>
  </si>
  <si>
    <t>10.1164/rccm.202409-1847OC</t>
  </si>
  <si>
    <t>http://dx.doi.org/10.1164/rccm.202409-1847OC</t>
  </si>
  <si>
    <t>6PK7V</t>
  </si>
  <si>
    <t>40072247</t>
  </si>
  <si>
    <t>WOS:001558871400001</t>
  </si>
  <si>
    <t>Allyn, J; Oliver, M; Cerveau, R; Allou, N; Barennes, T; Ferdynus, C</t>
  </si>
  <si>
    <t>Background Most Artificial Intelligence prognostic models in intensive care are trained and validated on a single source, limiting their reliability in external settings. This study evaluated generalizability and specialization for ICU mortality and remaining length of stay (RLoS) prediction across international databases, and explored multi-source strategies to mitigate the performance cost of external deployment.Methods Using the Temporal Pointwise Convolution (TPC) architecture, we conducted external validation across four harmonized BlendedICU databases (eICU-CRD, MIMIC-IV, AmsterdamUMCdb, HiRID), extracting nearly 20,000 unique patients from each. Four training configurations were compared: single-source training on AmsterdamUMC (N = 3,574) or MIMIC-IV (N = 10,915), data pooling, and transfer learning (both N = 14,489). Performance was assessed using AUROC and AUPRC for mortality, MAPE for RLoS, and a composite metric (Mcomposite).Results Internal validation consistently overestimated external performance, with MAPE increasing by up to 51.8% and AUROC dropping by up to 13.8% on external databases. Site-specific features such as drug exposure acted as "shortcuts" degrading portability. Data pooling emerged as the superior strategy, achieving the best generalization (Mcomposite improvement up to 8.0% over single-source models) while matching or outperforming transfer learning for specialization - particularly for RLoS (MAPE 84.49 vs. 89.24, non-overlapping confidence intervals).Conclusion Single-source training compromises clinical applicability. Data pooling across harmonized international cohorts is the most effective strategy for both generalization and specialization, supporting a "Data-Centric AI" approach. We advocate for the democratization of local ICU datasets and open-source customizable models to empower independent clinical validation.</t>
  </si>
  <si>
    <t>Allyn, Jerome; Oliver, Matthieu; Cerveau, Raphael; Allou, Nicolas; Barennes, Tristan; Ferdynus, Cyril</t>
  </si>
  <si>
    <t>Allyn, J (corresponding author), St Denis Univ Hosp, Intens Care Unit, St Denis, France.; Allyn, J (corresponding author), INSERM, Clin Res Dept, CIC1410, F-97410 St Pierre, France.</t>
  </si>
  <si>
    <t>jerome.allyn@chu-reunion.fr</t>
  </si>
  <si>
    <t>feder, region REUNION, European Union</t>
  </si>
  <si>
    <t>feder, region REUNION, European Union (European Union (EU), Marie Curie Actions)</t>
  </si>
  <si>
    <t>This project is co-financed by the European Union and the Reunion Region. Europe is committed to Reunion with FEDER funds. This research is part of the ReALARM project.</t>
  </si>
  <si>
    <t>[Allyn, Jerome; Allou, Nicolas] St Denis Univ Hosp, Intens Care Unit, St Denis, France; [Allyn, Jerome; Oliver, Matthieu; Cerveau, Raphael; Barennes, Tristan; Ferdynus, Cyril] INSERM, Clin Res Dept, CIC1410, F-97410 St Pierre, France</t>
  </si>
  <si>
    <t>Multi-source data integration through pooling and transfer learning improves generalizability and specialization of deep learning models for ICU mortality and length of stay prediction: a four-database external validation study</t>
  </si>
  <si>
    <t>Intensive care unit; Length of stay; Artificial intelligence; Deep learning; Machine learning; Prediction; Validation; Bias</t>
  </si>
  <si>
    <t>MAY 18 2026</t>
  </si>
  <si>
    <t>10.1186/s13054-026-06034-5</t>
  </si>
  <si>
    <t>http://dx.doi.org/10.1186/s13054-026-06034-5</t>
  </si>
  <si>
    <t>KT8VL</t>
  </si>
  <si>
    <t>42151996</t>
  </si>
  <si>
    <t>WOS:001815481300001</t>
  </si>
  <si>
    <t>Nogami, M; Matsuo, H; Nishio, M; Zeng, FB; Inukai, JI; Tachibana, M; Wiesinger, F; Kaushik, S; Kurimoto, T; Kubo, K; Huellner, MW; Okazawa, H; Murakami, T</t>
  </si>
  <si>
    <t>Objective In positron emission tomography (PET)/magnetic resonance imaging (MRI), attenuation correction (AC) for PET of the head is achieved by MRI data to generate pseudo-computed tomography (CT) images. However, for the torso, AC becomes more challenging due to the complexity of separating bone components. Additionally, generating accurate MRI-based CT using deep learning poses significant difficulties for the chest, primarily because perfectly paired MRI and CT training data are hard to obtain owing to respiratory motion and body movements. We previously demonstrated that MRI-to-CT conversion can be achieved without deformation, even using unsupervised learning for zero echo time (ZTE) MRI and CT data from different individuals. Building on this foundation, our study aims to apply this approach to AC in chest PET/MRI and assess their quantitative accuracy, reproducibility, and external validity. Methods The datasets used included (1) training dataset (unpaired ZTE MRI and CT of PET/CT, n = 360 and 500, respectively); (2) test dataset (paired PET/MRI and PET/CT, n = 25 and 25, respectively); (3) repeatability assessment dataset (repeated PET/MRI, n = 15 &amp; times; 2 scans for the same patient); and (4) external validation dataset (paired MRI component of PET/MRI and CT, n = 30 and 30, respectively, acquired at another institution). Unpaired training data were used to train the deep learning model of pseudo-CT generation from ZTE. The accuracy, repeatability, and reproducibility of the PET/MRI scans using ZTE- and deep learning-based AC (MRAC(ZTE)) were evaluated based on the similarity of the histograms and the mean standardized uptake value (SUVmean) of physiological background of bone and liver. Results The histogram correlation coefficients between MRAC(ZTE) and the AC map based on the CT (CTAC) for the spine were significantly higher than those between conventional AC (MRAC(Dixon)) and CTAC. Additionally, bone SUVmean obtained using MRAC(ZTE) showed reduced bias relative to CTAC compared with MRAC(Dixon). This method proved to be reproducible on each patient level and robust against external validation. Conclusions Unsupervised learning with unpaired ZTE and CT data enabled pseudo-CT generation with bone components that closely matched CT-based attenuation maps. Integration into MR-based attenuation correction resulted in stable physiological uptake measurements in chest PET/MRI, supporting the feasibility of this approach.</t>
  </si>
  <si>
    <t>Nogami, Munenobu; Matsuo, Hidetoshi; Nishio, Mizuho; Zeng, Feibi; Inukai, Junko Inoue; Tachibana, Miho; Wiesinger, Florian; Kaushik, Sandeep; Kurimoto, Takako; Kubo, Kazuhiro; Huellner, Martin W.; Okazawa, Hidehiko; Murakami, Takamichi</t>
  </si>
  <si>
    <t>Nogami, M (corresponding author), Kobe Univ, Grad Sch Med, Dept Radiol, 7-5-2 Kusunoki Cho,Chuo Ku, Kobe, Hyogo 6500017, Japan.; Nogami, M (corresponding author), Univ Fukui, Div Med Imaging, Biomed Imaging Res Ctr, Fukui, Japan.</t>
  </si>
  <si>
    <t>aznogami@med.kobe-u.ac.jp</t>
  </si>
  <si>
    <t>Kobe University</t>
  </si>
  <si>
    <t>Open Access funding provided by Kobe University</t>
  </si>
  <si>
    <t>[Nogami, Munenobu; Matsuo, Hidetoshi; Nishio, Mizuho; Zeng, Feibi; Inukai, Junko Inoue; Tachibana, Miho; Kubo, Kazuhiro; Murakami, Takamichi] Kobe Univ, Grad Sch Med, Dept Radiol, 7-5-2 Kusunoki Cho,Chuo Ku, Kobe, Hyogo 6500017, Japan; [Nogami, Munenobu; Okazawa, Hidehiko] Univ Fukui, Div Med Imaging, Biomed Imaging Res Ctr, Fukui, Japan; [Wiesinger, Florian; Kaushik, Sandeep] GE Healthcare, Munich, Germany; [Kurimoto, Takako] GE Healthcare, Hino, Japan; [Huellner, Martin W.] Univ Zurich, Univ Hosp Zurich, Dept Nucl Med, Zurich, Switzerland</t>
  </si>
  <si>
    <t>Kobe University; University of Fukui; General Electric; General Electric; University of Zurich; University Zurich Hospital</t>
  </si>
  <si>
    <t>Zero-TE MRI-based attenuation correction for bone components on chest [18F] FDG PET/MRI: accuracy, repeatability, and external validation of an unsupervised deep learning approach using unpaired PET/CT data</t>
  </si>
  <si>
    <t>ANNALS OF NUCLEAR MEDICINE</t>
  </si>
  <si>
    <t>PET/MRI; attenuation correction; zero echo time; deep learning; chest</t>
  </si>
  <si>
    <t>ECHO-TIME; CLINICAL-ASSESSMENT; CT IMAGES; SEGMENTATION; CANCER; HEAD</t>
  </si>
  <si>
    <t>/AAV-4883-2021; Matsuo, Hidetoshi/AAA-5772-2021; Okazawa, Hidehiko/B-2795-2016; Nishio, Mizuho/ACC-0897-2022; KUBO, Kazuhiro/NFT-0906-2025; Wiesinger, Florian/CAH-3863-2022</t>
  </si>
  <si>
    <t>Okazawa, Hidehiko/0000-0001-7046-3383</t>
  </si>
  <si>
    <t>0914-7187</t>
  </si>
  <si>
    <t>1864-6433</t>
  </si>
  <si>
    <t>ANN NUCL MED</t>
  </si>
  <si>
    <t>Ann. Nucl. Med.</t>
  </si>
  <si>
    <t>970</t>
  </si>
  <si>
    <t>10.1007/s12149-026-02213-0</t>
  </si>
  <si>
    <t>http://dx.doi.org/10.1007/s12149-026-02213-0</t>
  </si>
  <si>
    <t>LK7VR</t>
  </si>
  <si>
    <t>42105196</t>
  </si>
  <si>
    <t>WOS:001761271700001</t>
  </si>
  <si>
    <t>Poli, UR; Gudlavalleti, AG; Bharadwaj, YJ; Pant, HB; Agiwal, V; Murthy, GVS</t>
  </si>
  <si>
    <t>PURPOSEThe burden of cervical cancer in India is enormous, with more than 60,000 deaths being reported in 2020. The key intervention in the WHO's global strategy for the elimination of cervical cancer is to aim for the treatment and care of 90% of women diagnosed with cervical lesions. The current screen-and-treat approach as an option for resource-limited health care systems where screening of the cervix with visual inspection with acetic acid application (VIA) is followed by immediate ablative treatment by nurses in the case of a positive test. This approach often results in overtreatment, owing to the subjective nature of the test. Unnecessary treatments can be diminished with the use of emerging computer-assisted visual evaluation technology, using artificial intelligence (AI) tool to triage VIA-positive women. The aim of this study was (1) to develop a VIA-AI tool using cervical images to identify and categorize the VIA-screen-positive areas for eligibility and suitability for ablative treatment, and (2) to understand the efficacy of the VIA-AI tool in guiding the nurses to decide on treatment eligibility in the screen-and-treat cervical screening program.METHODSThis was an exploratory, interventional study. The VIA-AI tool was developed using deep-learning AI from the image bank collected in our previously conducted screening programs. This VIA-AI tool was then pilot-tested in an ongoing nurse-led VIA screening program.RESULTSA comparative assessment of the cervical features performed in all women using the VIA-AI tool showed clinical accuracy of 76%. The perceived challenge rate for false positives was 20%.CONCLUSIONThis novel cervical image-based VIA-AI algorithm showed promising results in real-life settings, and could help minimize overtreatment in single-visit VIA screening and treatment programs in resource-constrained situations.</t>
  </si>
  <si>
    <t>Poli, Usha Rani; Gudlavalleti, Anirudh G.; Bharadwaj, Y. Jaya; Pant, Hira B.; Agiwal, Varun; Murthy, G. V. S.</t>
  </si>
  <si>
    <t>Poli, UR (corresponding author), Publ Hlth Fdn India, Hyderabad, India.</t>
  </si>
  <si>
    <t>ushapoli@gmail.com</t>
  </si>
  <si>
    <t>Conquer Cancer Foundation of the ASCO International Innovation Grant</t>
  </si>
  <si>
    <t>Supported by the Conquer Cancer Foundation of the ASCO International Innovation Grant (2021).</t>
  </si>
  <si>
    <t>[Poli, Usha Rani; Gudlavalleti, Anirudh G.; Pant, Hira B.; Murthy, G. V. S.] Publ Hlth Fdn India, Hyderabad, India; [Bharadwaj, Y. Jaya] Joly AI, Hyderabad, India; [Agiwal, Varun] Indian Inst Publ Hlth, Hyderabad, India</t>
  </si>
  <si>
    <t>Public Health Foundation of India</t>
  </si>
  <si>
    <t>Development and Clinical Validation of Visual Inspection With Acetic Acid Application-Artificial Intelligence Tool Using Cervical Images in Screen-and-Treat Visual Screening for Cervical Cancer in South India: A Pilot Study</t>
  </si>
  <si>
    <t>JCO GLOBAL ONCOLOGY</t>
  </si>
  <si>
    <t>Gudlavalleti, Anirudh Gaurang/JMR-0637-2023; Poli, Usha Rani/GQZ-1778-2022</t>
  </si>
  <si>
    <t>Y, Jaya Bharadwaj/0009-0001-0108-1645; Agiwal, Varun/0000-0003-1955-8832; Poli, Usha Rani/0000-0002-6336-2274; Pant, Hira/0000-0002-7759-7218</t>
  </si>
  <si>
    <t>2687-8941</t>
  </si>
  <si>
    <t>JCO GLOB ONCOL</t>
  </si>
  <si>
    <t>JCO Glob. Oncol.</t>
  </si>
  <si>
    <t>e2400146</t>
  </si>
  <si>
    <t>10.1200/GO.24.00146</t>
  </si>
  <si>
    <t>http://dx.doi.org/10.1200/GO.24.00146</t>
  </si>
  <si>
    <t>P6N8N</t>
  </si>
  <si>
    <t>39666915</t>
  </si>
  <si>
    <t>WOS:001379061400001</t>
  </si>
  <si>
    <t>Yao, JC; Lin, C; Xu, QB; Li, GD; Pan, JM; Wang, JC; Lin, Y</t>
  </si>
  <si>
    <t>Background Acute myocardial infarction (AMI) complicated by malignant ventricular arrhythmia (MVA) carries high 28-day mortality. Existing risk scores inadequately capture this population. We aimed to develop and externally validate an interpretable machine learning model for predicting 28-day mortality in AMI-MVA patients.Methods This retrospective study included 952 AMI-MVA patients from MIMIC-IV (training n = 668, internal validation n = 284) and 100 patients from Maoming People's Hospital, China (external validation). Feature selection integrated multivariable logistic regression, LASSO, and Boruta, yielding eight predictors: age, lactate, fasting blood glucose, RDW, antiplatelet agents, beta-blockers, ACEI/ARB, and norepinephrine. Seven machine learning algorithms were compared by AUC, calibration, and decision curve analysis. Treatment-free sensitivity models, propensity-score matching (PSM), and inverse-probability-of-treatment-weighting (IPTW) were performed to assess confounding by indication.Results 28-day mortality was 32.46% (309/952). The SVM model (linear kernel, C = 0.1) achieved AUC 0.865 (95% CI 0.824-0.909) in internal validation and 0.898 (95% CI 0.835-0.949) externally, with excellent calibration (Brier score 0.128). SHAP analysis identified beta-blockers, lactate, and ACEI/ARB as the three most influential predictors. A treatment-free sensitivity model (biomarkers only) achieved AUC 0.801 (95% CI 0.748-0.851) internally and 0.771 (95% CI 0.675-0.853) externally. PSM and IPTW attenuated but did not eliminate treatment-outcome associations, consistent with a mixture of genuine prognostic signal and residual confounding.Conclusion This interpretable SVM model supports bedside risk stratification for AMI-MVA patients within the first 24 h of ICU admission. The model should be understood as a prognostic snapshot rather than an early prediction tool. Prospective, multicentre validation with standardised severity scores and coronary-anatomy variables is required before routine clinical use.</t>
  </si>
  <si>
    <t>Yao, Jiechun; Lin, Chun; Xu, Qingbo; Li, Guode; Pan, Jinmei; Wang, Jiancheng; Lin, Yan</t>
  </si>
  <si>
    <t>Yao, JC (corresponding author), Maoming Peoples Hosp, Cardiac &amp; Circulatory Med Sect, Maoming, Guangdong, Peoples R China.</t>
  </si>
  <si>
    <t>673589060@qq.com</t>
  </si>
  <si>
    <t>[Yao, Jiechun; Xu, Qingbo; Li, Guode; Pan, Jinmei] Maoming Peoples Hosp, Cardiac &amp; Circulatory Med Sect, Maoming, Guangdong, Peoples R China; [Lin, Chun] Maoming Peoples Hosp, Internal Med Div, Maoming, Guangdong, Peoples R China; [Wang, Jiancheng] Maoming Peoples Hosp, Informat Technol Dept, Maoming, Guangdong, Peoples R China; [Lin, Yan] Guangdong Med Univ, Affiliated Hosp, Dept Cardiovasc Med, Zhanjiang, Guangdong, Peoples R China</t>
  </si>
  <si>
    <t>Development and external validation of a machine learning model for predicting 28-day mortality in patients with acute myocardial infarction complicated by malignant arrhythmia: a study using the MIMIC database and a Chinese cohort</t>
  </si>
  <si>
    <t>28-day mortality; acute myocardial infarction; machine learning; malignant ventricular arrhythmia; risk prediction model</t>
  </si>
  <si>
    <t>ACUTE CORONARY SYNDROME; IN-HOSPITAL MORTALITY; VENTRICULAR-ARRHYTHMIAS; RISK; MANAGEMENT; DEATH</t>
  </si>
  <si>
    <t>1908251</t>
  </si>
  <si>
    <t>10.3389/fcvm.2026.1908251</t>
  </si>
  <si>
    <t>http://dx.doi.org/10.3389/fcvm.2026.1908251</t>
  </si>
  <si>
    <t>MM9YC</t>
  </si>
  <si>
    <t>WOS:001846088300001</t>
  </si>
  <si>
    <t>Shi, SC; Zhang, LH; Zhang, SJ; Shi, JY; Hong, DH; Wu, SQ; Pan, XB; Lin, W</t>
  </si>
  <si>
    <t>ObjectivesTo develop a machine learning-based prediction model using clinical data from the first 24 h of ICU admission to enable rapid screening and early intervention for sepsis patients.MethodsThis multicenter retrospective cohort study analyzed electronic medical records of sepsis patients using machine learning methods. We evaluated model performance in predicting sepsis outcomes within the first 24 h of ICU admission across US and Chinese healthcare settings.ResultsFrom 31 clinical features, machine learning models demonstrated significantly better predictive performance than traditional approaches for sepsis outcomes. While linear regression achieved low test scores (0.25), machine learning methods reached scores of 0.78 and AUCs above 0.8 in testing. Importantly, these models maintained robust performance (scores 0.63-0.77) in external validation.ConclusionsThe application of machine learning-based prediction models for sepsis could significantly improve patient outcomes through early detection and timely intervention in the critical first 24 h of ICU admission, supporting clinical decision-making.</t>
  </si>
  <si>
    <t>Shi, Songchang; Zhang, Lihui; Zhang, Shujuan; Shi, Jinyang; Hong, Donghuang; Wu, Siqi; Pan, Xiaobin; Lin, Wei</t>
  </si>
  <si>
    <t>Lin, W (corresponding author), Fuzhou Univ, Fujian Med Univ, Fujian Prov Hosp, Dept Endocrinol,Shengli Clin Med Coll,Affiliated P, Fuzhou 350001, Fujian, Peoples R China.</t>
  </si>
  <si>
    <t>caolalin0929@163.com</t>
  </si>
  <si>
    <t>Fujian Research and Training Grants for Young and Middle-aged Leaders in Healthcare</t>
  </si>
  <si>
    <t>We thank all participants who provided data for this study.</t>
  </si>
  <si>
    <t>[Shi, Songchang; Zhang, Lihui; Zhang, Shujuan; Pan, Xiaobin] Fuzhou Univ, Fujian Med Univ, Shengli Clin Med Coll, Fujian Prov Hosp,South Branch,Affiliated Prov Hosp, Fuzhou 350001, Peoples R China; [Lin, Wei] Fuzhou Univ, Fujian Med Univ, Fujian Prov Hosp, Dept Endocrinol,Shengli Clin Med Coll,Affiliated P, Fuzhou 350001, Fujian, Peoples R China; [Hong, Donghuang] Fuzhou Univ, Fujian Med Univ, Fujian Prov Hosp, Dept Crit Care Med,Shengli Clin Med Coll,Affiliate, Fuzhou 350001, Peoples R China; [Shi, Jinyang] Fujian Med Univ, Fuzhou 350001, Peoples R China; [Wu, Siqi] Fuzhou Univ, Fujian Med Univ, Fujian Prov Hosp, Affiliated Prov Hosp,Shengli Clin Med Coll, Fuzhou 350001, Peoples R China</t>
  </si>
  <si>
    <t>Fujian Medical University; Fuzhou University; Fujian Provincial Hospital; Fujian Medical University; Fuzhou University; Fujian Provincial Hospital; Fujian Medical University; Fujian Provincial Hospital; Fuzhou University; Fujian Medical University; Fujian Medical University; Fuzhou University; Fujian Provincial Hospital</t>
  </si>
  <si>
    <t>Developing a rapid screening tool for high-risk ICU patients of sepsis: integrating electronic medical records with machine learning methods for mortality prediction in hospitalized patients-model establishment, internal and external validation, and visualization</t>
  </si>
  <si>
    <t>Sepsis; Machine learning; Mortality; Prediction; Visualization</t>
  </si>
  <si>
    <t>Shi, Songchang/0000-0001-5793-569X</t>
  </si>
  <si>
    <t>JAN 21 2025</t>
  </si>
  <si>
    <t>10.1186/s12967-025-06102-4</t>
  </si>
  <si>
    <t>http://dx.doi.org/10.1186/s12967-025-06102-4</t>
  </si>
  <si>
    <t>T1X9E</t>
  </si>
  <si>
    <t>39838426</t>
  </si>
  <si>
    <t>WOS:001403031600003</t>
  </si>
  <si>
    <t>Bansal, R; Collison, S; Krishnan, L; Aggarwal, B; Vidyasagar, M; Kakileti, ST; Manjunath, G</t>
  </si>
  <si>
    <t>ObjectiveArtificial intelligence-enhanced breast thermography is being evaluated as an ancillary modality in the evaluation of breast disease. The objective of this study was to evaluate the clinical performance of Thermalytix, a CE-marked, AI-based thermal imaging test, with respect to conventional mammography. MethodsA prospective, comparative study performed between 15 December 2018 and 06 January 2020 evaluated the performance of Thermalytix in 459 women with both dense and nondense breast tissue. Both symptomatic and asymptomatic women, aged 30-80 years, presenting to the hospital underwent Thermalytix followed by 2-D mammography and appropriate confirmatory investigations to confirm malignancy. The radiologist interpreting the mammograms and the technician using the Thermalytix tool were blinded to the others' findings. The statistical analysis was performed by a third party. ResultsA total of 687 women were recruited, of whom 459 fulfilled the inclusion criteria. Twenty-one malignancies were detected (21/459, 4.6%). The overall sensitivity of Thermalytix was 95.24% (95% CI, 76.18-99.88), and the specificity was 88.58% (95% CI, 85.23-91.41). In women with dense breasts (n = 168, 36.6%), the sensitivity was 100% (95% CI, 69.15-100), and the specificity was 81.65% (95% CI, 74.72-87.35). Among these 168 women, 37 women (22%) were reported as BI-RADS 0 on mammography; in this subset, the sensitivity of Thermalytix was 100% (95% CI, 69.15-100), and the specificity was 77.22% (95% CI, 69.88-83.50). ConclusionThermalytix showed acceptable sensitivity and specificity with respect to mammography in the overall patient population. Thermalytix outperformed mammography in women with dense breasts and those reported as BI-RADS 0.</t>
  </si>
  <si>
    <t>Bansal, Richa; Collison, Sathiakar; Krishnan, Lakshmi; Aggarwal, Bharat; Vidyasagar, Mathukumalli; Kakileti, Siva Teja; Manjunath, Geetha</t>
  </si>
  <si>
    <t>Collison, S (corresponding author), Niramai Hlth Analytix Pvt Ltd, Dept Clin Affairs, Bangalore, India.</t>
  </si>
  <si>
    <t>spcollison@gmail.com</t>
  </si>
  <si>
    <t>[Bansal, Richa; Aggarwal, Bharat] Max Super Special Hosp, Radiol Serv, New Delhi, India; [Collison, Sathiakar; Krishnan, Lakshmi; Kakileti, Siva Teja; Manjunath, Geetha] Niramai Hlth Analytix Pvt Ltd, Dept Clin Affairs, Bangalore, India; [Vidyasagar, Mathukumalli] Indian Inst Technol Hyderabad, SERB Natl Sci Chair, Kandi, India</t>
  </si>
  <si>
    <t>Indian Institute of Technology System (IIT System); Indian Institute of Technology (IIT) - Hyderabad</t>
  </si>
  <si>
    <t>A prospective evaluation of breast thermography enhanced by a novel machine learning technique for screening breast abnormalities in a general population of women presenting to a secondary care hospital</t>
  </si>
  <si>
    <t>breast density; mammography; prospective studies; artificial intelligence; thermography</t>
  </si>
  <si>
    <t>CANCER DETECTION; SEGMENTATION</t>
  </si>
  <si>
    <t>Kakileti, Siva/AAU-2499-2020</t>
  </si>
  <si>
    <t>Krishnan, Lakshmi/0000-0002-5907-6419</t>
  </si>
  <si>
    <t>JAN 4 2023</t>
  </si>
  <si>
    <t>1050803</t>
  </si>
  <si>
    <t>10.3389/frai.2022.1050803</t>
  </si>
  <si>
    <t>http://dx.doi.org/10.3389/frai.2022.1050803</t>
  </si>
  <si>
    <t>7W9YQ</t>
  </si>
  <si>
    <t>36686848</t>
  </si>
  <si>
    <t>WOS:000913862700001</t>
  </si>
  <si>
    <t>Chen, M; Landré, B; Marques-Vidal, P; van Flees, VT; van Gennip, ACE; Bloomberg, M; Yerramalla, MS; Benadjaoud, MA; Sabia, S</t>
  </si>
  <si>
    <t>Background Identification of new physical activity (PA) and sedentary behaviour (SB) features relevant for health at older age is important to diversify PA targets in guidelines, as older adults rarely adhere to current recommendations focusing on total duration. We aimed to identify accelerometer-derived dimensions of movement behaviours that predict mortality risk in older populations. Methods We used data on 21 accelerometer-derived features of daily movement behaviours in 3991 participants of the UK-based Whitehall II accelerometer sub-study (25.8% women, 60-83 years, follow-up: 2012-2013 to 2021, mean = 8.3 years). A machine-learning procedure was used to identify core PA and SB features predicting mortality risk and derive a composite score. We estimated the added predictive value of the score compared to traditional sociodemographic, behavioural, and health-related risk factors. External validation in the Switzerland-based CoLaus study (N = 1329, 56.7% women, 60-86 years, follow-up: 2014-2017 to 2021, mean = 3.8 years) was conducted. Findings In total, 11 features related to overall activity level, intensity distribution, bouts duration, frequency, and total duration of PA and SB, were identified as predictors of mortality in older adults and included in a composite score. Both in the derivation and validation cohorts, the score was associated with mortality (hazard ratio = 1.10 (95% confidence interval = 1.05-1.15) and 1.18 (1.10-1.26), respectively) and improved the predictive value of a model including traditional risk factors (increase in C-index = 0.007 (0.002-0.014) and 0.029 (0.002-0.055), respectively). Interpretation The identified accelerometer-derived PA and SB features, beyond the currently recommended total duration, might be useful for screening of older adults at higher mortality risk and for diversifying PA and SB targets in older populations whose adherence to current guidelines is low.</t>
  </si>
  <si>
    <t>Chen, Mathilde; Landre, Benjamin; Marques-Vidal, Pedro; van Flees, Vincent T.; van Gennip, April C. E.; Bloomberg, Mikaela; Yerramalla, Manasa S.; Benadjaoud, Mohamed Amine; Sabia, Severine</t>
  </si>
  <si>
    <t>Chen, M (corresponding author), Univ Paris Cite, INSERM, U1153, Epidemiol Ageing &amp; Neurodegenerat Dis,CRESS, 10 Ave Verdun, F-75010 Paris, France.</t>
  </si>
  <si>
    <t>mathilde.chen@inserm.fr</t>
  </si>
  <si>
    <t>National Institute on Aging; UK Medical Research Council; British Heart Foundation; Wellcome Trust; French National Research Agency; GlaxoSmithKline; Lausanne Faculty of Biology and Medicine; Swiss National Science Foundation; British Heart Foundation [RG/16/11/32334] Funding Source: researchfish; Medical Research Council [MR/S011676/1, MR/R024227/1] Funding Source: researchfish; Wellcome Trust [221854/Z/20/Z] Funding Source: researchfish; MRC [MR/S011676/1, MR/R024227/1] Funding Source: UKRI</t>
  </si>
  <si>
    <t>National Institute on Aging (United States Department of Health &amp; Human Services, National Institutes of Health (NIH) - USA, NIH National Institute on Aging (NIA)); UK Medical Research Council (UK Research &amp; Innovation (UKRI), Medical Research Council UK (MRC)); British Heart Foundation (British Heart Foundation); Wellcome Trust (Wellcome Trust); French National Research Agency (Agence Nationale de la Recherche (ANR)); GlaxoSmithKline (GlaxoSmithKline); Lausanne Faculty of Biology and Medicine; Swiss National Science Foundation (Swiss National Science Foundation (SNSF)); British Heart Foundation (British Heart Foundation); Medical Research Council (UK Research &amp; Innovation (UKRI), Medical Research Council UK (MRC)); Wellcome Trust (Wellcome Trust); MRC (UK Research &amp; Innovation (UKRI), Medical Research Council UK (MRC))</t>
  </si>
  <si>
    <t>National Institute on Aging; UK Medical Research Council; British Heart Foundation; Wellcome Trust; French National Research Agency; GlaxoSmithKline; Lausanne Faculty of Biology and Medicine; Swiss National Science Foundation.</t>
  </si>
  <si>
    <t>[Chen, Mathilde; Landre, Benjamin; Yerramalla, Manasa S.; Sabia, Severine] Univ Paris Cite, INSERM, U1153, Epidemiol Ageing &amp; Neurodegenerat Dis,CRESS, 10 Ave Verdun, F-75010 Paris, France; [Marques-Vidal, Pedro] Lausanne Univ Hosp, Dept Med, Internal Med, Lausanne, Switzerland; [Marques-Vidal, Pedro] Univ Lausanne, Lausanne, Switzerland; [van Flees, Vincent T.] Accelting, Almere, Netherlands; [van Gennip, April C. E.] Maastricht Univ, Dept Internal Med, Med Ctr, Maastricht, Netherlands; [van Gennip, April C. E.] Maastricht Univ, Sch Cardiovasc Dis CARIM, Maastricht, Netherlands; [Bloomberg, Mikaela; Sabia, Severine] UCL, Dept Epidemiol &amp; Publ Hlth, London, England; [Benadjaoud, Mohamed Amine] Inst Radiol Protect &amp; Nucl Safety IRSN, Fontenay Aux Roses, France</t>
  </si>
  <si>
    <t>Universite Paris Cite; Institut National de la Sante et de la Recherche Medicale (Inserm); University of Lausanne; Centre Hospitalier Universitaire Vaudois (CHUV); University of Lausanne; Maastricht University; Maastricht University Medical Centre (MUMC); Maastricht University; University of London; University College London</t>
  </si>
  <si>
    <t>Identification of physical activity and sedentary behaviour dimensions that predict mortality risk in older adults: Development of a machine learning model in the Whitehall II accelerometer sub-study and external validation in the CoLaus study</t>
  </si>
  <si>
    <t>Physical activity; Mortality; Accelerometer; Prediction; Older adults</t>
  </si>
  <si>
    <t>Landré, Benjamin/AAU-9364-2020; Sabia, Séverine/G-2966-2017; Marques-Vidal, Pedro/C-9449-2009; Bloomberg, Mikaela/AAN-2162-2021; Chen, Mathilde/AAN-2156-2021</t>
  </si>
  <si>
    <t>Landré, Benjamin/0000-0002-3893-4197; Sabia, Séverine/0000-0003-3109-9720; Marques-Vidal, Pedro/0000-0002-4548-8500; van Gennip, April/0000-0003-1438-4845; Bloomberg, Mikaela/0000-0003-2453-6283; Chen, Mathilde/0000-0002-5982-2143; Näsholm, Manasa Shanta/0000-0002-9601-2764</t>
  </si>
  <si>
    <t>101773</t>
  </si>
  <si>
    <t>10.1016/j.eclinm.2022.101773</t>
  </si>
  <si>
    <t>http://dx.doi.org/10.1016/j.eclinm.2022.101773</t>
  </si>
  <si>
    <t>8J8GU</t>
  </si>
  <si>
    <t>36568684</t>
  </si>
  <si>
    <t>WOS:000922650700008</t>
  </si>
  <si>
    <t>Dambrain, A; Lacombe, M; Dufour, PA; Lacoeuille, F; Morel, O; Testard, A; Bouron, C; Girault, S; Guillerminet, C</t>
  </si>
  <si>
    <t>Background Reducing acquisition time in PET/CT imaging can degrade image quality and may compromise both diagnostic reliability and the robustness of radiomic features. This study investigates, in a large clinical cohort, whether AI-based denoising can preserve image quality and maintain the accuracy of quantitative and radiomic parameters in [F-18]FDG and [Ga-68]Ga-PSMA-11 PET/CT scans. Methods We reconstructed three sets of images: 100% acquisition time (R100), 75% (R75), and 50% (R50), with their respective denoised versions using SubtlePET (R) (S75 and S50). On a NEMA phantom, we analysed six contrasts (12:1-2:1) using [F-18]FDG, assessing contrast, background noise, and radiomic features. In a cohort of 282 patients injected with [F-18]FDG and [Ga-68]Ga-PSMA-11, five nuclear medicine physicians performed a qualitative evaluation of image quality and confidence in the presence of hypermetabolism in 634 lesions. 109 radiomic features from 105 lesions were compared between the original and denoised reconstructions. Results The phantom study showed no difference in sphere contrast, a reduction in background noise variability, and excellent preservation of radiomic features. In the clinical population, S75 images showed improvements across all criteria evaluated, except for diagnostic confidence, which remained higher with R75 (p = 0.555 when compared to R100) for [F-18]FDG. For [Ga-68]Ga-PSMA-11, only S50 images showed a significant degradation in liver image quality. A decrease in SUVmax was observed in denoised images (- 7.73% for [F-18]FDG; - 11.46% for [Ga-68]Ga-PSMA-11, p &lt; 0.0001). The radiomic analysis demonstrated excellent correlation, with a concordance correlation coefficient (CCC) &gt; 0.8 for 90% of radiomic features. Conclusions SubtlePET (R) improves the image quality of PET acquisitions performed with reduced acquisition times using [F-18]FDG and [Ga-68]Ga-PSMA. However, clinician confidence remains limited and, while denoised acquisitions preserve most radiomic features, others are altered, potentially limiting model transposability.</t>
  </si>
  <si>
    <t>Dambrain, A.; Lacombe, M.; Dufour, P. A.; Lacoeuille, F.; Morel, O.; Testard, A.; Bouron, C.; Girault, S.; Guillerminet, C.</t>
  </si>
  <si>
    <t>Dambrain, A (corresponding author), Univ Angers, Univ Hosp Angers, CRCI2NA Inserm, CNRS,UMR 6075,UMR 1307, Angers, France.</t>
  </si>
  <si>
    <t>abel.dambrain@chu-angers.fr</t>
  </si>
  <si>
    <t>[Dambrain, A.; Lacoeuille, F.] Univ Angers, Univ Hosp Angers, CRCI2NA Inserm, CNRS,UMR 6075,UMR 1307, Angers, France; [Lacombe, M.; Dufour, P. A.; Morel, O.; Testard, A.; Girault, S.] Inst Cancerol Ouest ICO, Paul Papin Ctr, Dept Nucl Med, Angers, France; [Bouron, C.] Univ Hosp ANGERS, Dept Nucl Med, Angers, France; [Guillerminet, C.] Inst Cancerol Ouest ICO, Paul Papin Ctr, Dept Med Phys, Angers, France</t>
  </si>
  <si>
    <t>Universite d'Angers; Centre Hospitalier Universitaire d'Angers; Centre National de la Recherche Scientifique (CNRS); Institut de Cancerologie de l'Ouest (ICO); UNICANCER; Institut de Cancerologie de l'Ouest (ICO); Universite d'Angers; Centre Hospitalier Universitaire d'Angers; Institut de Cancerologie de l'Ouest (ICO); UNICANCER; Institut de Cancerologie de l'Ouest (ICO)</t>
  </si>
  <si>
    <t>Clinical value of artificial intelligence in reducing PET image acquisition time: routine clinical validation using qualitative, quantitative, and radiomic analysis on a cohort of 282 patients undergoing [18F]FDG and [68Ga]Ga-PSMA-11 PET/CT</t>
  </si>
  <si>
    <t>EJNMMI PHYSICS</t>
  </si>
  <si>
    <t>AI; Artificial intelligence; Denoising; Radiomics; PET; SubtlePET (R)</t>
  </si>
  <si>
    <t>LACOEUILLE, Franck/K-4430-2015</t>
  </si>
  <si>
    <t>2197-7364</t>
  </si>
  <si>
    <t>EJNMMI PHYS</t>
  </si>
  <si>
    <t>EJNMMI Phys.</t>
  </si>
  <si>
    <t>FEB 18 2026</t>
  </si>
  <si>
    <t>10.1186/s40658-026-00835-x</t>
  </si>
  <si>
    <t>http://dx.doi.org/10.1186/s40658-026-00835-x</t>
  </si>
  <si>
    <t>FP5UZ</t>
  </si>
  <si>
    <t>41703179</t>
  </si>
  <si>
    <t>WOS:001724362500001</t>
  </si>
  <si>
    <t>Zhan, Y; Dai, RX; Li, FY; Cheng, ZH; Zhuo, YY; Shan, F; Zhou, LX</t>
  </si>
  <si>
    <t>Background: Deep learning features (DLFs) derived from radiomics features (RFs) fused with deep learning have shown potential in enhancing diagnostic capability. However, the limited repeatability and reproducibility of DLFs across multiple centers represents a challenge in the clinically validation of these features. This study thus aimed to evaluate the repeatability and reproducibility of DLFs and their potential efficiency in differentiating subtypes of lung adenocarcinoma less than 10 mm in size and manifesting as Methods: A chest phantom with nodules was scanned repeatedly using different thin-slice computed tomography (TSCT) scanners with varying acquisition and reconstruction parameters. The robustness of the DLFs was measured using the concordance correlation coefficient (CCC) and intraclass correlation coefficient (ICC). A deep learning approach was used for visualizing the DLFs. To assess the clinical effectiveness and generalizability of the stable and informative DLFs, three hospitals were used to source 275 patients, in whom 405 nodules were pathologically differentially diagnosed as GGN lung adenocarcinoma less than 10 mm in size and were retrospectively reviewed for clinical validation. Results: A total of 64 DLFs were analyzed, which revealed that the variables of slice thickness and slice interval (ICC, 0.79 +/- 0.18) and reconstruction kernel (ICC, 0.82 +/- 0.07) were significantly associated with the robustness of DLFs. Feature visualization showed that the DLFs were mainly focused around the nodule areas. In the external validation, a subset of 28 robust DLFs identified as stable under all sources of variability achieved the highest area under curve [AUC =0.65, 95% confidence interval (CI): 0.53-0.76] compared to Conclusions: Although different manufacturers and scanning schemes affect the reproducibility of DLFs, certain DLFs demonstrated excellent stability and effectively improved diagnostic the efficacy for identifying research may improve diagnostic efficacy and promote the application of these features.</t>
  </si>
  <si>
    <t>Zhan, Yi; Dai, Renxiang; Li, Fangyun; Cheng, Zenghui; Zhuo, Yaoyao; Shan, Fei; Zhou, Lingxiao</t>
  </si>
  <si>
    <t>Shan, F (corresponding author), Fudan Univ, Shanghai Publ Hlth Clin Ctr, Dept Radiol, 2901 Caolang Rd, Shanghai 201508, Peoples R China.; Zhou, LX (corresponding author), Shenzhen Univ, Inst Microscale Optoelect, 3688 Nanhai Ave, Shenzhen 518052, Peoples R China.</t>
  </si>
  <si>
    <t>shanfei@shphc.org.cn; lingxiaoz@szu.edu.cn</t>
  </si>
  <si>
    <t>National Natural Science Foundation of China [82172030]; Clinical Research Plan of SHDC [SHDC2020CR3080B]; Shenzhen Science and Technology Innovation Commission project [20200806173720001]</t>
  </si>
  <si>
    <t>National Natural Science Foundation of China (National Natural Science Foundation of China (NSFC)); Clinical Research Plan of SHDC; Shenzhen Science and Technology Innovation Commission project</t>
  </si>
  <si>
    <t>Funding: This work was supported by the National Natural Science Foundation of China (No. 82172030), the Clinical Research Plan of SHDC (No. SHDC2020CR3080B), and the Shenzhen Science and Technology Innovation Commission project (No. 20200806173720001) .</t>
  </si>
  <si>
    <t>[Zhan, Yi; Shan, Fei] Fudan Univ, Shanghai Publ Hlth Clin Ctr, Dept Radiol, 2901 Caolang Rd, Shanghai 201508, Peoples R China; [Dai, Renxiang; Zhou, Lingxiao] Shenzhen Univ, Inst Microscale Optoelect, 3688 Nanhai Ave, Shenzhen 518052, Peoples R China; [Li, Fangyun] Lianren Digital Hlth Technol Co Ltd, Shanghai, Peoples R China; [Cheng, Zenghui] Shanghai Jiao Tong Univ, Sch Med, Ruijin Hosp, Dept Radiol, Shanghai, Peoples R China; [Zhuo, Yaoyao] Fudan Univ, Zhongshan Hosp, Sch Med, Dept Radiol, Shanghai, Peoples R China</t>
  </si>
  <si>
    <t>Fudan University; Shenzhen University; Shanghai Jiao Tong University; Fudan University</t>
  </si>
  <si>
    <t>Repeatability and reproducibility of deep learning features for lung adenocarcinoma subtypes with nodules less than 10 mm in size: a multicenter thin-slice computed tomography phantom and clinical validation study</t>
  </si>
  <si>
    <t>Deep learning features (DLFs); lung adenocarcinoma; thin-slice computed tomography (TSCT); phantom; multicenter</t>
  </si>
  <si>
    <t>NEURAL-NETWORKS; RADIOMICS</t>
  </si>
  <si>
    <t>Zhou, lingxiao/GXF-5500-2022; Cheng, Zenghui/AAK-4739-2020</t>
  </si>
  <si>
    <t>10.21037/qims-24-77</t>
  </si>
  <si>
    <t>http://dx.doi.org/10.21037/qims-24-77</t>
  </si>
  <si>
    <t>F9M2V</t>
  </si>
  <si>
    <t>39144035</t>
  </si>
  <si>
    <t>WOS:001312968100010</t>
  </si>
  <si>
    <t>Cho, KJ; Kim, KH; Choi, J; Yoo, D; Kim, J</t>
  </si>
  <si>
    <t>OBJECTIVES:The limitations of current early warning scores have prompted the development of deep learning-based systems, such as deep learning-based cardiac arrest risk management systems (DeepCARS). Unfortunately, in South Korea, only two institutions operate 24-hour Rapid Response System (RRS), whereas most hospitals have part-time or no RRS coverage at all. This study validated the predictive performance of DeepCARS during RRS operation and nonoperation periods and explored its potential beyond RRS operating hours.DESIGN:Retrospective cohort study.SETTING:In this 1-year retrospective study conducted at Yonsei University Health System Severance Hospital in South Korea, DeepCARS was compared with conventional early warning systems for predicting in-hospital cardiac arrest (IHCA). The study focused on adult patients admitted to the general ward, with the primary outcome being IHCA-prediction performance within 24 hours of the alarm.PATIENTS:We analyzed the data records of adult patients admitted to a general ward from September 1, 2019, to August 31, 2020.INTERVENTIONS:None.MEASUREMENTS AND MAIN RESULTS:Performance evaluation was conducted separately for the operational and nonoperational periods of the RRS, using the area under the receiver operating characteristic curve (AUROC) as the metric. DeepCARS demonstrated a superior AUROC as compared with the Modified Early Warning Score (MEWS) and the National Early Warning Score (NEWS), both during RRS operating and nonoperating hours. Although the MEWS and NEWS exhibited varying performance across the two periods, DeepCARS showed consistent performance.CONCLUSIONS:The accuracy and efficiency for predicting IHCA of DeepCARS were superior to that of conventional methods, regardless of whether the RRS was in operation. These findings emphasize that DeepCARS is an effective screening tool suitable for hospitals with full-time RRS, part-time RRS, and even those without any RRS.</t>
  </si>
  <si>
    <t>Cho, Kyung-Jae; Kim, Kwan Hyung; Choi, Jaewoo; Yoo, Dongjoon; Kim, Jeongmin</t>
  </si>
  <si>
    <t>Kim, J (corresponding author), Yonsei Univ, Coll Med, Dept Anesthesiol &amp; Pain Med, Seoul, South Korea.; Kim, J (corresponding author), Yonsei Univ, Anesthesia &amp; Pain Res Inst, Coll Med, Seoul, South Korea.; Kim, J (corresponding author), Yonsei Univ, Inst Innovat Digital Healthcare, Seoul, South Korea.</t>
  </si>
  <si>
    <t>Anesjeongmin@yuhs.ac</t>
  </si>
  <si>
    <t>Korea Health Industry Development Institutehttp://dx.doi.org/10.13039/501100003710</t>
  </si>
  <si>
    <t>[Cho, Kyung-Jae; Choi, Jaewoo; Yoo, Dongjoon] Dept Res &amp; Dev, VUNO, Seoul, South Korea; [Kim, Kwan Hyung; Kim, Jeongmin] Yonsei Univ, Coll Med, Dept Anesthesiol &amp; Pain Med, Seoul, South Korea; [Yoo, Dongjoon] Inha Univ Hosp, Dept Crit Care Med &amp; Emergency Med, Incheon, South Korea; [Kim, Jeongmin] Yonsei Univ, Anesthesia &amp; Pain Res Inst, Coll Med, Seoul, South Korea; [Kim, Jeongmin] Yonsei Univ, Inst Innovat Digital Healthcare, Seoul, South Korea</t>
  </si>
  <si>
    <t>Yonsei University; Yonsei University Health System; Inha University; Inha University Hospital; Yonsei University; Yonsei University Health System; Yonsei University</t>
  </si>
  <si>
    <t>External Validation of Deep Learning-Based Cardiac Arrest Risk Management System for Predicting In-Hospital Cardiac Arrest in Patients Admitted to General Wards Based on Rapid Response System Operating and Nonoperating Periods: A Single-Center Study</t>
  </si>
  <si>
    <t>artificial intelligence; clinical deterioration; deep learning; early warning score; heart arrest; hospital rapid response team</t>
  </si>
  <si>
    <t>PREVALENCE; TRACK; MODEL; UNITS</t>
  </si>
  <si>
    <t>Yoo, Dongjoon/MEP-5886-2025; /D-2972-2009</t>
  </si>
  <si>
    <t>Yoo, Dongjoon/0000-0002-8239-8977; Albrahem, Yosif Mohammedhasan Jawad/0000-0002-7832-9442; Kim, Jeongmin/0000-0002-0468-8012</t>
  </si>
  <si>
    <t>E110</t>
  </si>
  <si>
    <t>E120</t>
  </si>
  <si>
    <t>10.1097/CCM.0000000000006137</t>
  </si>
  <si>
    <t>http://dx.doi.org/10.1097/CCM.0000000000006137</t>
  </si>
  <si>
    <t>IR7N7</t>
  </si>
  <si>
    <t>38381018</t>
  </si>
  <si>
    <t>WOS:001168124200014</t>
  </si>
  <si>
    <t>Parker, CTA; Mendes, L; Liu, VYT; Grist, E; Joun, S; Yamashita, R; Mitani, A; Chen, E; Parry, MA; Sachdeva, A; Murphy, L; Huang, HC; Griffin, J; van der Wal, D; Todorovic, T; Lall, S; Vidal, SS; Goncalves, M; Thakali, S; Wingate, A; Zakka, L; Brown, M; Wetterskog, D; Amos, CL; Atako, NB; Jones, RJ; Cross, WR; Gillessen, S; Parker, CC; Berney, DM; Tran, PT; Spratt, DE; Sydes, MR; Parmar, MKB; Clarke, NW; Brown, LC; Feng, FY; Esteva, A; James, ND; Attard, G</t>
  </si>
  <si>
    <t>Background Effective prognostication improves selection of patients with prostate cancer for treatment combinations. We aimed to evaluate whether a previously developed multimodal artificial intelligence (MMAI) algorithm was prognostic in very advanced prostate cancer using data from four phase 3 trials of the STAMPEDE platform protocol. Methods We included patients starting androgen-deprivation therapy in the docetaxel, docetaxel plus zoledronic acid, abiraterone, or abiraterone plus enzalutamide trials. Patients were recruited at 112 sites. We combined all standard-of-care control patients (including those allocated to standard of care [SOC-ADT] consisting of testosterone suppression with luteinising hormone-releasing hormone agonists or antagonists, and radiotherapy when indicated), and we combined the rest of the patients into docetaxel-treated or abiraterone-treated groups. Patients had either metastatic disease or were at very high-risk of metastatic disease, determined by node-positivity or, if node-negative, by T stage, serum prostate-specific antigen (PSA) level, and Gleason score. We used the locked ArteraAI Prostate MMAI algorithm that combined these clinical variables, age, and digitised prostate biopsy pathology images. We performed Fine-Gray and Cox regression adjusted for treatment allocation and cumulative incidence analyses at 5 years to evaluate associations with prostate cancer-specific mortality (PCSM) for continuous (per SD increase) and categorical (quartile-Q) scores. The STAMPEDE platform protocol is registered with ClinicalTrials.gov, NCT00268476. Findings Of 5213 eligible patients recruited from Oct 5, 2005, to March 31, 2016, 3167 were included in this analysis (1575 [49&lt;middle dot&gt;7%] with non-metastatic disease, 1592 [50&lt;middle dot&gt;3%] with metastatic disease; median follow-up 6&lt;middle dot&gt;9 years [IQR 5&lt;middle dot&gt;9-8&lt;middle dot&gt;0]) with all datapoints available for score generation. The MMAI algorithm (per SD increase) was strongly associated with PCSM (hazard ratio [HR] 1&lt;middle dot&gt;40, 95% CI 1&lt;middle dot&gt;30-1&lt;middle dot&gt;51, p&lt;0&lt;middle dot&gt;0001). On ad-hoc inspection, the highest scoring quartile of patients in each disease and treatment allocation group (MMAI Q4; vs the bottom three quartiles, Q1-3) had the highest PCSM risk in both patients with non-metastatic disease (HR 2&lt;middle dot&gt;12, 1&lt;middle dot&gt;61-2&lt;middle dot&gt;81, p&lt;0&lt;middle dot&gt;0001) and those with metastatic disease (HR 1&lt;middle dot&gt;62, 1&lt;middle dot&gt;39-1&lt;middle dot&gt;88, p&lt;0&lt;middle dot&gt;0001). MMAI quartile stratification split patients categorised by disease burden into groups with notably different risks of 5-year PCSM: patients with non-metastatic disease that were node-negative could be further stratified by MMAI score quartile Q1-3 (3%, 2-4) versus Q4 (11%, 7-15), those with non-metastatic disease that were node-positive could be stratified by Q1-3 (11%, 8-14) versus Q4 (20%, 13-26), those with metastatic disease with low-volume could be stratified by Q1-3 (27%, 23-31) versus Q4 (43%, 36-51), and those with metastatic disease with high-volume could be stratified by Q1-3 (48%, 44-52) versus Q4 (68%, 62-75). Interpretation Diagnostic prostate biopsy samples contain prognostic information in patients with, or at high-risk of, radiologically overt metastatic prostate cancer. MMAI algorithm combined with disease burden improves prognostication of advanced prostate cancer. Copyright (c) 2025 The Author(s). Published by Elsevier Ltd. This is an open access article under the CC BY license (http://creativecommons.org/licenses/by/4.0/).</t>
  </si>
  <si>
    <t>Parker, Charles T. A.; Mendes, Larissa; Liu, Vinnie Y. T.; Grist, Emily; Joun, Songwan; Yamashita, Rikiya; Mitani, Akinori; Chen, Emmalyn; Parry, Marina A.; Sachdeva, Ashwin; Murphy, Laura; Huang, Huei-Chung; Griffin, Jacqueline; van der Wal, Douwe; Todorovic, Tamara; Lall, Sharanpreet; Vidal, Sara Santos; Goncalves, Miriam; Thakali, Suparna; Wingate, Anna; Zakka, Leila; Brown, Mick; Wetterskog, Daniel; Amos, Claire L.; Atako, Nafisah B.; Jones, Robert J.; Cross, William R.; Gillessen, Silke; Parker, Chris C.; Berney, Daniel M.; Tran, Phuoc T.; Spratt, Daniel E.; Sydes, Matthew R.; Parmar, Mahesh K. B.; Clarke, Noel W.; Brown, Louise C.; Feng, Felix Y.; Esteva, Andre; James, Nicholas D.; Attard, Gerhardt</t>
  </si>
  <si>
    <t>Attard, G (corresponding author), UCL, Canc Inst, London WC1E 6DD, England.</t>
  </si>
  <si>
    <t>g.attard@ucl.ac.uk</t>
  </si>
  <si>
    <t>Prostate Cancer UK; UK Medical Research Council; Cancer Research UK; John Black Charitable Foundation; Prostate Cancer Foundation; Sanofi Aventis; Janssen; Astellas; Novartis; Artera</t>
  </si>
  <si>
    <t>Prostate Cancer UK; UK Medical Research Council (UK Research &amp; Innovation (UKRI), Medical Research Council UK (MRC)); Cancer Research UK (Cancer Research UK); John Black Charitable Foundation; Prostate Cancer Foundation (Prostate Cancer Foundation); Sanofi Aventis (Sanofi-Aventis); Janssen (Johnson &amp; Johnson, Johnson &amp; Johnson USA, Janssen Biotech Inc); Astellas (Astellas Pharmaceuticals); Novartis (Novartis); Artera</t>
  </si>
  <si>
    <t>Prostate Cancer UK, UK Medical Research Council, Cancer Research UK, John Black Charitable Foundation, Prostate Cancer Foundation, Sanofi Aventis, Janssen, Astellas, Novartis, Artera.</t>
  </si>
  <si>
    <t>[Mendes, Larissa; Grist, Emily; Parry, Marina A.; Lall, Sharanpreet; Vidal, Sara Santos; Goncalves, Miriam; Thakali, Suparna; Wingate, Anna; Zakka, Leila; Wetterskog, Daniel; Attard, Gerhardt] UCL, Canc Inst, London WC1E 6DD, England; [Liu, Vinnie Y. T.; Joun, Songwan; Yamashita, Rikiya; Mitani, Akinori; Chen, Emmalyn; Huang, Huei-Chung; Griffin, Jacqueline; van der Wal, Douwe; Todorovic, Tamara; Esteva, Andre] Artera Inc, Los Altos, CA USA; [Sachdeva, Ashwin; Brown, Mick; Clarke, Noel W.] Christie &amp; Salford Royal Hosp, Dept Surg &amp; Urol, Manchester, England; [Sachdeva, Ashwin; Brown, Mick; Clarke, Noel W.] Univ Manchester, Genitourinary Canc Res Grp, Manchester Canc Res Ctr, Div Canc Sci, Manchester, England; [Murphy, Laura; Amos, Claire L.; Atako, Nafisah B.; Sydes, Matthew R.; Parmar, Mahesh K. B.; Brown, Louise C.] UCL, MRC Clin Trials Unit, Inst Clin Trials &amp; Methodol, London, England; [Jones, Robert J.] Univ Glasgow, Beatson West Scotland Canc Ctr, Glasgow, Scotland; [Cross, William R.] St James Univ Hosp, Leeds, England; [Gillessen, Silke] Ist Oncol Svizzera Italiana, Ente Osped Cantonale, Bellinzona, Switzerland; [Gillessen, Silke] Univ Svizzera Italiana, Lugano, Switzerland; [Parker, Chris C.; James, Nicholas D.] Royal Marsden NHS Fdn Trust, Inst Canc Res, London, England; [Berney, Daniel M.] Queen Mary Univ London, Barts Canc Inst, London, England; [Tran, Phuoc T.] Univ Maryland, Baltimore, MD USA; [Spratt, Daniel E.] Case Western Reserve Univ, Seidman Canc Ctr, Cleveland, OH USA; [Feng, Felix Y.] Univ Calif San Francisco, San Francisco, CA USA</t>
  </si>
  <si>
    <t>University of London; University College London; Christie NHS Foundation Trust; Salford Royal NHS Foundation Trust; Christie Hospital; Salford Royal Hospital; University of Manchester; University of London; Medical Research Council Clinical Trials Unit; University College London; University of Glasgow; Beatson Oncology Centre; Saint James's University Hospital; Institute of Oncology Research (IOR); Universita della Svizzera Italiana; University of London; Royal Marsden NHS Foundation Trust; Institute of Cancer Research - UK; University of London; Queen Mary University London; University System of Maryland; University of Maryland Baltimore; University System of Ohio; Case Western Reserve University; University of California System; University of California San Francisco</t>
  </si>
  <si>
    <t>STAMPEDE Collaborators</t>
  </si>
  <si>
    <t>External validation of a digital pathology-based multimodal artificial intelligence-derived prognostic model in patients with advanced prostate cancer starting long-term androgen deprivation therapy: a post-hoc ancillary biomarker study of four phase 3 randomised controlled trials of the STAMPEDE platform protocol</t>
  </si>
  <si>
    <t>ABIRATERONE ACETATE; HIGH-RISK; ENZALUTAMIDE; PREDNISOLONE</t>
  </si>
  <si>
    <t>Brown, Mick/N-6521-2015; Parmar, Mahesh/H-4557-2018; jones, Rob/N-9379-2017; Grist, Emily/OZF-7273-2025; Sydes, Matthew/C-3373-2008; Gillessen, Silke/C-6093-2019; Spratt, Daniel/AAM-4612-2020; Attard, Gerhardt/AEY-9874-2022</t>
  </si>
  <si>
    <t>Brown, Mick/0000-0003-1322-4671; Parmar, Mahesh/0000-0003-0166-1700; Brown, Louise/0000-0003-2827-6634; Grist, Emily/0000-0003-1201-7662; Sydes, Matthew/0000-0002-9323-1371; Gillessen, Silke/0000-0001-5746-6555; James, Nicholas/0000-0002-7314-8204; Murphy, Laura/0000-0001-8205-1554</t>
  </si>
  <si>
    <t>100885</t>
  </si>
  <si>
    <t>10.1016/j.landig.2025.100885</t>
  </si>
  <si>
    <t>http://dx.doi.org/10.1016/j.landig.2025.100885</t>
  </si>
  <si>
    <t>7ZW3T</t>
  </si>
  <si>
    <t>40467357</t>
  </si>
  <si>
    <t>WOS:001583605800007</t>
  </si>
  <si>
    <t>gold; Green Accepted; Green Published</t>
  </si>
  <si>
    <t>van Rossum, HH; van der Schaar, M; Buma, AIG; Moritz, R; van Balen, DEM; van Herwaarden, AE; Smeets, RL; Burgers, JA; van den Heuvel, MM; Smit, J; van Delft, FA</t>
  </si>
  <si>
    <t>Objectives There has been a lot of interest in the field of laboratory medicine regarding the use of machine learning (ML)-based prediction models. The longitudinal ML-based Serum Tumor marker-based Outcome Prediction (STOP) model was previously developed to identify non-small cell lung cancer (NSCLC) patients who do not respond to immune checkpoint inhibitor treatment. Due to significant preanalytical challenges with the NSE tumor marker, the best-performing alternative model, mSTOP model based on CEA and Cyfra 21-1, was selected for validation of its diagnostic accuracy, clinical- and financial impact. Methods Diagnostic accuracy was based on a dual-center validation cohort of 242 metastatic NSCLC patients. The clinical and financial impact of mSTOP was investigated using a previously described Discrete Event Simulation (DES) model with under-treatment, overtreatment, and financial impact as output parameters. Finally, an ICT system and a multi-parametric QC strategy were designed to enable real-time operation and quality control of mSTOP. Results mSTOP identified 35.1 % of nonresponding patients, with a positive predictive value (PPV) of 84.8 %, which was comparable to CT-imaging. In combination with CT- imaging, the PPV increased to 95.7 %, identifying 19.8 % of non-responding patients. Estimated avoided overtreatment ranged from 6.7 % to 17.4 %, reflecting a financial savings of &amp; euro;569 to &amp; euro;5306 per patient, depending on the clinical mSTOP scenario used. The developed ICT system incorporated the mSTOP algorithm within the laboratory and healthcare information system. It allowed for continuous real-time mSTOP calculations. Conclusions The obtained diagnostic mSTOP characteristics and their corresponding clinical and financial characteristics prompted the development of an ICT system that supports automated, real-time, clinical application.</t>
  </si>
  <si>
    <t>van Rossum, Huub H.; van der Schaar, Marije; Buma, Alessandra I. G.; Moritz, Ruben; van Balen, Dorieke E. M.; van Herwaarden, Antonius E.; Smeets, Ruben L.; Burgers, Jacobus A.; van den Heuvel, Michel M.; Smit, Jasper; van Delft, Frederik A.</t>
  </si>
  <si>
    <t>van Rossum, HH (corresponding author), Netherlands Canc Inst, Dept Lab Med, Amsterdam, Netherlands.</t>
  </si>
  <si>
    <t>h.v.rossum@nki.nl</t>
  </si>
  <si>
    <t>[van Rossum, Huub H.; van der Schaar, Marije; Moritz, Ruben; van Delft, Frederik A.] Netherlands Canc Inst, Dept Lab Med, Amsterdam, Netherlands; [Buma, Alessandra I. G.; van den Heuvel, Michel M.] Radboud Univ Nijmegen, Med Ctr, Dept Resp Dis, Nijmegen, Netherlands; [Moritz, Ruben] Netherlands Canc Inst, Dept Pathol, Amsterdam, Netherlands; [van Balen, Dorieke E. M.] Netherlands Canc Inst, Dept Pharm, Amsterdam, Netherlands; [van Herwaarden, Antonius E.; Smeets, Ruben L.] Radboud Univ Nijmegen, Med Ctr, Dept Lab Med, Radboudumc Lab Diagnost, Nijmegen, Netherlands; [Burgers, Jacobus A.; Smit, Jasper] Netherlands Canc Inst, Dept Thorac Oncol, Amsterdam, Netherlands; [van den Heuvel, Michel M.] Univ Med Ctr Utrecht, Dept Resp Med, Utrecht, Netherlands; [van Delft, Frederik A.] Univ Twente, Tech Med Ctr, Hlth Technol &amp; Serv Res Dept, Enschede, Netherlands</t>
  </si>
  <si>
    <t>Netherlands Cancer Institute; Radboud University Nijmegen; Netherlands Cancer Institute; Netherlands Cancer Institute; Radboud University Nijmegen; Netherlands Cancer Institute; Utrecht University; Utrecht University Medical Center; University of Twente</t>
  </si>
  <si>
    <t>Clinical validation and implementation of mSTOP, a machine learning-based, longitudinal prediction model for the early identification of non-small cell lung cancer patients who not benefit from immune checkpoint inhibitor treatment</t>
  </si>
  <si>
    <t>CLINICAL CHEMISTRY AND LABORATORY MEDICINE</t>
  </si>
  <si>
    <t>tumor marker; machine learning; CEA; Cyfra 21-1; immune checkpoint inhibitor; NSCLC</t>
  </si>
  <si>
    <t>TUMOR-MARKER DYNAMICS; GUIDELINE; THERAPY</t>
  </si>
  <si>
    <t>Smeets, Ruben/M-9478-2015; van Herwaarden, A.E./L-4369-2015; van den Heuvel, Michel/D-9491-2017; van Delft, Frederik/HSG-8869-2023</t>
  </si>
  <si>
    <t>van Delft, Frederik/0000-0003-3428-6468</t>
  </si>
  <si>
    <t>WALTER DE GRUYTER GMBH</t>
  </si>
  <si>
    <t>GENTHINER STRASSE 13, D-10785 BERLIN, GERMANY</t>
  </si>
  <si>
    <t>1434-6621</t>
  </si>
  <si>
    <t>1437-4331</t>
  </si>
  <si>
    <t>CLIN CHEM LAB MED</t>
  </si>
  <si>
    <t>Clin. Chem. Lab. Med.</t>
  </si>
  <si>
    <t>AUG 24 2026</t>
  </si>
  <si>
    <t>2075</t>
  </si>
  <si>
    <t>2083</t>
  </si>
  <si>
    <t>10.1515/cclm-2025-1624</t>
  </si>
  <si>
    <t>http://dx.doi.org/10.1515/cclm-2025-1624</t>
  </si>
  <si>
    <t>LY6XD</t>
  </si>
  <si>
    <t>42054314</t>
  </si>
  <si>
    <t>WOS:001753299200001</t>
  </si>
  <si>
    <t>Lupei, MI; Li, D; Ingraham, NE; Baum, KD; Benson, B; Puskarich, M; Milbrandt, D; Melton, GB; Scheppmann, D; Usher, MG; Tignanelli, CJ</t>
  </si>
  <si>
    <t>ObjectiveTo prospectively evaluate a logistic regression-based machine learning (ML) prognostic algorithm implemented in real-time as a clinical decision support (CDS) system for symptomatic persons under investigation (PUI) for Coronavirus disease 2019 (COVID-19) in the emergency department (ED).MethodsWe developed in a 12-hospital system a model using training and validation followed by a real-time assessment. The LASSO guided feature selection included demographics, comorbidities, home medications, vital signs. We constructed a logistic regression-based ML algorithm to predict "severe" COVID-19, defined as patients requiring intensive care unit (ICU) admission, invasive mechanical ventilation, or died in or out-of-hospital. Training data included 1,469 adult patients who tested positive for Severe Acute Respiratory Syndrome Coronavirus 2 (SARS-CoV-2) within 14 days of acute care. We performed: 1) temporal validation in 414 SARS-CoV-2 positive patients, 2) validation in a PUI set of 13,271 patients with symptomatic SARS-CoV-2 test during an acute care visit, and 3) real-time validation in 2,174 ED patients with PUI test or positive SARS-CoV-2 result. Subgroup analysis was conducted across race and gender to ensure equity in performance.ResultsThe algorithm performed well on pre-implementation validations for predicting COVID-19 severity: 1) the temporal validation had an area under the receiver operating characteristic (AUROC) of 0.87 (95%-CI: 0.83, 0.91); 2) validation in the PUI population had an AUROC of 0.82 (95%-CI: 0.81, 0.83). The ED CDS system performed well in real-time with an AUROC of 0.85 (95%-CI, 0.83, 0.87). Zero patients in the lowest quintile developed "severe" COVID-19. Patients in the highest quintile developed "severe" COVID-19 in 33.2% of cases. The models performed without significant differences between genders and among race/ethnicities (all p-values &gt; 0.05).ConclusionA logistic regression model-based ML-enabled CDS can be developed, validated, and implemented with high performance across multiple hospitals while being equitable and maintaining performance in real-time validation.</t>
  </si>
  <si>
    <t>Lupei, Monica I.; Li, Danni; Ingraham, Nicholas E.; Baum, Karyn D.; Benson, Bradley; Puskarich, Michael; Milbrandt, David; Melton, Genevieve B.; Scheppmann, Daren; Usher, Michael G.; Tignanelli, Christopher J.</t>
  </si>
  <si>
    <t>Lupei, MI (corresponding author), Univ Minnesota, Sch Med, Dept Anesthesiol, Div Crit Care, Minneapolis, MN 55455 USA.; Lupei, MI (corresponding author), Univ Minnesota, Sch Med, Dept Anesthesiol, Minneapolis, MN 55455 USA.</t>
  </si>
  <si>
    <t>lupei001@umn.edu</t>
  </si>
  <si>
    <t>Gates Foundation; MN Department of Health; Agency for Healthcare Research; National Center for Advancing Translational Sciences [UL1TR002494] Funding Source: NIH RePORTER</t>
  </si>
  <si>
    <t>Gates Foundation (Bill &amp; Melinda Gates Foundation); MN Department of Health; Agency for Healthcare Research; National Center for Advancing Translational Sciences (United States Department of Health &amp; Human Services, National Institutes of Health (NIH) - USA, NIH National Center for Advancing Translational Sciences (NCATS))</t>
  </si>
  <si>
    <t>CJT: Funding received through Agency for Healthcare Research and the Gates Foundation KDB: Supported on 2 grants from the MN Department of Health to oversee statewide placement of patients as part of COVID response. The funders had no role in study design, data collection and analysis, decision to publish, or preparation of the manuscript.</t>
  </si>
  <si>
    <t>[Lupei, Monica I.] Univ Minnesota, Sch Med, Dept Anesthesiol, Div Crit Care, Minneapolis, MN 55455 USA; [Li, Danni] Univ Minnesota, Sch Med, Dept Lab Med &amp; Pathol, Minneapolis, MN 55455 USA; [Ingraham, Nicholas E.] Univ Minnesota, Sch Med, Dept Med, Div Pulm &amp; Crit Care, Minneapolis, MN 55455 USA; [Baum, Karyn D.; Benson, Bradley; Usher, Michael G.] Univ Minnesota, Sch Med, Dept Med, Div Gen Internal Med,Sect Hosp Med, Minneapolis, MN 55455 USA; [Puskarich, Michael; Milbrandt, David] Univ Minnesota, Sch Med, Dept Emergency Med, Minneapolis, MN 55455 USA; [Melton, Genevieve B.; Tignanelli, Christopher J.] Univ Minnesota, Sch Med, Dept Surg, Minneapolis, MN 55455 USA; [Melton, Genevieve B.; Scheppmann, Daren; Tignanelli, Christopher J.] Univ Minnesota, Inst Hlth Informat, Minneapolis, MN USA; [Tignanelli, Christopher J.] Univ Minnesota, Sch Med, Dept Surg, Div Crit Care &amp; Acute Care Surg, Minneapolis, MN 55455 USA; [Lupei, Monica I.] Univ Minnesota, Sch Med, Dept Anesthesiol, Minneapolis, MN 55455 USA</t>
  </si>
  <si>
    <t>University of Minnesota System; University of Minnesota Twin Cities; University of Minnesota System; University of Minnesota Twin Cities; University of Minnesota System; University of Minnesota Twin Cities; University of Minnesota System; University of Minnesota Twin Cities; University of Minnesota System; University of Minnesota Twin Cities; University of Minnesota System; University of Minnesota Twin Cities; University of Minnesota System; University of Minnesota Twin Cities; University of Minnesota System; University of Minnesota Twin Cities; University of Minnesota System; University of Minnesota Twin Cities</t>
  </si>
  <si>
    <t>A 12-hospital prospective evaluation of a clinical decision support prognostic algorithm based on logistic regression as a form of machine learning to facilitate decision making for patients with suspected COVID-19</t>
  </si>
  <si>
    <t>PREDICTION; VALIDATION; COHORT; SCORES</t>
  </si>
  <si>
    <t>Puskarich, Michael/N-7849-2014; Ingraham, Nicholas/ABG-6337-2020; Melton-Meaux, Genevieve/HSE-3064-2023</t>
  </si>
  <si>
    <t>Li, Danni/0000-0002-0608-2831; Puskarich, Michael/0000-0001-6358-4670; Ingraham, Nicholas/0000-0002-0292-0594; Tignanelli, Christopher/0000-0002-8079-5565; Melton-Meaux, Genevieve/0000-0001-5193-1663; Lupei, Monica/0000-0002-8513-4061</t>
  </si>
  <si>
    <t>JAN 5 2022</t>
  </si>
  <si>
    <t>e0262193</t>
  </si>
  <si>
    <t>10.1371/journal.pone.0262193</t>
  </si>
  <si>
    <t>http://dx.doi.org/10.1371/journal.pone.0262193</t>
  </si>
  <si>
    <t>ZO8DB</t>
  </si>
  <si>
    <t>34986168</t>
  </si>
  <si>
    <t>WOS:000765956200023</t>
  </si>
  <si>
    <t>Wang, DD; Wang, XF; Yang, X</t>
  </si>
  <si>
    <t>Background This study aims to externally validate the performance of the Oncotype DX (ODX) breast cancer (BC) recurrence score nomogram in predicting adjuvant chemotherapy (ACT) for BC after surgery and subsequently develop a machine learning-based model to predict postoperative overall survival (OS) and guide ACT, demonstrating superior comprehensive performance.Methods This analysis leveraged data from the SEER database spanning 2010-2020, alongside a BC cohort from the Beijing Hospital (BJH). Machine learning methods were applied for predictor selection by wrapper methods and the development of the predictive model. The optimal model was determined using the concordance index (C-index), time-dependent calibration curves, time dependent receiver operating characteristic (ROC) curves, and decision curve analysis (DCA). The benefit analysis of ACT was primarily conducted using Kaplan-Meier survival analysis.Results The ODX nomogram performed poorly in predicting ACT benefit in both the SEER cohort and the BJH cohort. Subsequently, we employed ten machine learning methods to develop ten prognostic models. The Accelerated oblique random survival forest model (AORSFM), exhibiting the highest prediction performance, was selected. The C-index for AORSFM is 0.799 (95% CI 0.779-0.823) in the SEER cohort and 0.793 (95% CI 0.687-0.934) in the BJH cohort. Furthermore, time-dependent calibration curves, time-dependent ROC analysis, and DCA indicate that the AORSFM demonstrates good calibration, predictive accuracy, and clinical net benefit. A publicly accessible web tool was developed for the AORSFM. Notably, the new staging system based on AORSFM can provide guidance for postoperative ACT in such patients.Conclusions The AORSF has the potential to identify postoperative OS and guide ACT in patients with BC. This can assist clinicians in assessing the severity of the disease, facilitating patient follow-up, and aiding in the formulation of adjuvant treatment strategies.</t>
  </si>
  <si>
    <t>Wang, Dongdong; Wang, Xinfeng; Yang, Xin</t>
  </si>
  <si>
    <t>Yang, X (corresponding author), Chinese Acad Med Sci, Inst Geriatr Med, Natl Ctr Gerontol, Dept Gen Surg,Beijing Hosp, Beijing, Peoples R China.</t>
  </si>
  <si>
    <t>yangx1989@hotmail.com</t>
  </si>
  <si>
    <t>National High Level Hospital Clinical Research Funding [BJ-2021-198, BJ-2024-188]</t>
  </si>
  <si>
    <t>The author(s) declare that financial support was received for the research and/or publication of this article. This study was supported by the National High Level Hospital Clinical Research Funding (BJ-2021-198; BJ-2024-188).</t>
  </si>
  <si>
    <t>[Wang, Dongdong; Yang, Xin] Chinese Acad Med Sci, Inst Geriatr Med, Natl Ctr Gerontol, Dept Gen Surg,Beijing Hosp, Beijing, Peoples R China; [Wang, Xinfeng] Capital Med Univ, Beijing Friendship Hosp, Dept Gen Surg, Beijing, Peoples R China</t>
  </si>
  <si>
    <t>Chinese Academy of Medical Sciences - Peking Union Medical College; Beijing Hospital; Capital Medical University</t>
  </si>
  <si>
    <t>External validation of the Oncotype DX breast cancer recurrence score nomogram and development and validation of a novel machine learning-based model to predict postoperative overall survival and guide adjuvant chemotherapy in ER positive, Her-2 negative breast cancer patients: a retrospective cohort study</t>
  </si>
  <si>
    <t>breast cancer; machine learning; prognostic model; guidance for adjuvant chemotherapy; web calculator</t>
  </si>
  <si>
    <t>Wang, Dongdong/P-7257-2016</t>
  </si>
  <si>
    <t>MAY 21 2025</t>
  </si>
  <si>
    <t>1586262</t>
  </si>
  <si>
    <t>10.3389/fonc.2025.1586262</t>
  </si>
  <si>
    <t>http://dx.doi.org/10.3389/fonc.2025.1586262</t>
  </si>
  <si>
    <t>3MG3F</t>
  </si>
  <si>
    <t>40469198</t>
  </si>
  <si>
    <t>WOS:001503708700001</t>
  </si>
</sst>
</file>

<file path=xl/styles.xml><?xml version="1.0" encoding="utf-8"?>
<styleSheet xmlns="http://schemas.openxmlformats.org/spreadsheetml/2006/main">
  <numFmts count="0"/>
  <fonts count="1329">
    <font>
      <sz val="11.0"/>
      <color indexed="8"/>
      <name val="Calibri"/>
      <family val="2"/>
      <scheme val="minor"/>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
      <name val="Calibri"/>
      <sz val="11.0"/>
      <u val="single"/>
      <color indexed="12"/>
    </font>
  </fonts>
  <fills count="2">
    <fill>
      <patternFill patternType="none"/>
    </fill>
    <fill>
      <patternFill patternType="darkGray"/>
    </fill>
  </fills>
  <borders count="1">
    <border>
      <left/>
      <right/>
      <top/>
      <bottom/>
      <diagonal/>
    </border>
  </borders>
  <cellStyleXfs count="1">
    <xf numFmtId="0" fontId="0" fillId="0" borderId="0"/>
  </cellStyleXfs>
  <cellXfs count="1329">
    <xf numFmtId="0" fontId="0" fillId="0" borderId="0" xfId="0"/>
    <xf numFmtId="0" fontId="1" fillId="0" borderId="0" xfId="0" applyFont="true"/>
    <xf numFmtId="0" fontId="2" fillId="0" borderId="0" xfId="0" applyFont="true"/>
    <xf numFmtId="0" fontId="3" fillId="0" borderId="0" xfId="0" applyFont="true"/>
    <xf numFmtId="0" fontId="4" fillId="0" borderId="0" xfId="0" applyFont="true"/>
    <xf numFmtId="0" fontId="5" fillId="0" borderId="0" xfId="0" applyFont="true"/>
    <xf numFmtId="0" fontId="6" fillId="0" borderId="0" xfId="0" applyFont="true"/>
    <xf numFmtId="0" fontId="7" fillId="0" borderId="0" xfId="0" applyFont="true"/>
    <xf numFmtId="0" fontId="8" fillId="0" borderId="0" xfId="0" applyFont="true"/>
    <xf numFmtId="0" fontId="9" fillId="0" borderId="0" xfId="0" applyFont="true"/>
    <xf numFmtId="0" fontId="10" fillId="0" borderId="0" xfId="0" applyFont="true"/>
    <xf numFmtId="0" fontId="11" fillId="0" borderId="0" xfId="0" applyFont="true"/>
    <xf numFmtId="0" fontId="12" fillId="0" borderId="0" xfId="0" applyFont="true"/>
    <xf numFmtId="0" fontId="13" fillId="0" borderId="0" xfId="0" applyFont="true"/>
    <xf numFmtId="0" fontId="14" fillId="0" borderId="0" xfId="0" applyFont="true"/>
    <xf numFmtId="0" fontId="15" fillId="0" borderId="0" xfId="0" applyFont="true"/>
    <xf numFmtId="0" fontId="16" fillId="0" borderId="0" xfId="0" applyFont="true"/>
    <xf numFmtId="0" fontId="17" fillId="0" borderId="0" xfId="0" applyFont="true"/>
    <xf numFmtId="0" fontId="18" fillId="0" borderId="0" xfId="0" applyFont="true"/>
    <xf numFmtId="0" fontId="19" fillId="0" borderId="0" xfId="0" applyFont="true"/>
    <xf numFmtId="0" fontId="20" fillId="0" borderId="0" xfId="0" applyFont="true"/>
    <xf numFmtId="0" fontId="21" fillId="0" borderId="0" xfId="0" applyFont="true"/>
    <xf numFmtId="0" fontId="22" fillId="0" borderId="0" xfId="0" applyFont="true"/>
    <xf numFmtId="0" fontId="23" fillId="0" borderId="0" xfId="0" applyFont="true"/>
    <xf numFmtId="0" fontId="24" fillId="0" borderId="0" xfId="0" applyFont="true"/>
    <xf numFmtId="0" fontId="25" fillId="0" borderId="0" xfId="0" applyFont="true"/>
    <xf numFmtId="0" fontId="26" fillId="0" borderId="0" xfId="0" applyFont="true"/>
    <xf numFmtId="0" fontId="27" fillId="0" borderId="0" xfId="0" applyFont="true"/>
    <xf numFmtId="0" fontId="28" fillId="0" borderId="0" xfId="0" applyFont="true"/>
    <xf numFmtId="0" fontId="29" fillId="0" borderId="0" xfId="0" applyFont="true"/>
    <xf numFmtId="0" fontId="30" fillId="0" borderId="0" xfId="0" applyFont="true"/>
    <xf numFmtId="0" fontId="31" fillId="0" borderId="0" xfId="0" applyFont="true"/>
    <xf numFmtId="0" fontId="32" fillId="0" borderId="0" xfId="0" applyFont="true"/>
    <xf numFmtId="0" fontId="33" fillId="0" borderId="0" xfId="0" applyFont="true"/>
    <xf numFmtId="0" fontId="34" fillId="0" borderId="0" xfId="0" applyFont="true"/>
    <xf numFmtId="0" fontId="35" fillId="0" borderId="0" xfId="0" applyFont="true"/>
    <xf numFmtId="0" fontId="36" fillId="0" borderId="0" xfId="0" applyFont="true"/>
    <xf numFmtId="0" fontId="37" fillId="0" borderId="0" xfId="0" applyFont="true"/>
    <xf numFmtId="0" fontId="38" fillId="0" borderId="0" xfId="0" applyFont="true"/>
    <xf numFmtId="0" fontId="39" fillId="0" borderId="0" xfId="0" applyFont="true"/>
    <xf numFmtId="0" fontId="40" fillId="0" borderId="0" xfId="0" applyFont="true"/>
    <xf numFmtId="0" fontId="41" fillId="0" borderId="0" xfId="0" applyFont="true"/>
    <xf numFmtId="0" fontId="42" fillId="0" borderId="0" xfId="0" applyFont="true"/>
    <xf numFmtId="0" fontId="43" fillId="0" borderId="0" xfId="0" applyFont="true"/>
    <xf numFmtId="0" fontId="44" fillId="0" borderId="0" xfId="0" applyFont="true"/>
    <xf numFmtId="0" fontId="45" fillId="0" borderId="0" xfId="0" applyFont="true"/>
    <xf numFmtId="0" fontId="46" fillId="0" borderId="0" xfId="0" applyFont="true"/>
    <xf numFmtId="0" fontId="47" fillId="0" borderId="0" xfId="0" applyFont="true"/>
    <xf numFmtId="0" fontId="48" fillId="0" borderId="0" xfId="0" applyFont="true"/>
    <xf numFmtId="0" fontId="49" fillId="0" borderId="0" xfId="0" applyFont="true"/>
    <xf numFmtId="0" fontId="50" fillId="0" borderId="0" xfId="0" applyFont="true"/>
    <xf numFmtId="0" fontId="51" fillId="0" borderId="0" xfId="0" applyFont="true"/>
    <xf numFmtId="0" fontId="52" fillId="0" borderId="0" xfId="0" applyFont="true"/>
    <xf numFmtId="0" fontId="53" fillId="0" borderId="0" xfId="0" applyFont="true"/>
    <xf numFmtId="0" fontId="54" fillId="0" borderId="0" xfId="0" applyFont="true"/>
    <xf numFmtId="0" fontId="55" fillId="0" borderId="0" xfId="0" applyFont="true"/>
    <xf numFmtId="0" fontId="56" fillId="0" borderId="0" xfId="0" applyFont="true"/>
    <xf numFmtId="0" fontId="57" fillId="0" borderId="0" xfId="0" applyFont="true"/>
    <xf numFmtId="0" fontId="58" fillId="0" borderId="0" xfId="0" applyFont="true"/>
    <xf numFmtId="0" fontId="59" fillId="0" borderId="0" xfId="0" applyFont="true"/>
    <xf numFmtId="0" fontId="60" fillId="0" borderId="0" xfId="0" applyFont="true"/>
    <xf numFmtId="0" fontId="61" fillId="0" borderId="0" xfId="0" applyFont="true"/>
    <xf numFmtId="0" fontId="62" fillId="0" borderId="0" xfId="0" applyFont="true"/>
    <xf numFmtId="0" fontId="63" fillId="0" borderId="0" xfId="0" applyFont="true"/>
    <xf numFmtId="0" fontId="64" fillId="0" borderId="0" xfId="0" applyFont="true"/>
    <xf numFmtId="0" fontId="65" fillId="0" borderId="0" xfId="0" applyFont="true"/>
    <xf numFmtId="0" fontId="66" fillId="0" borderId="0" xfId="0" applyFont="true"/>
    <xf numFmtId="0" fontId="67" fillId="0" borderId="0" xfId="0" applyFont="true"/>
    <xf numFmtId="0" fontId="68" fillId="0" borderId="0" xfId="0" applyFont="true"/>
    <xf numFmtId="0" fontId="69" fillId="0" borderId="0" xfId="0" applyFont="true"/>
    <xf numFmtId="0" fontId="70" fillId="0" borderId="0" xfId="0" applyFont="true"/>
    <xf numFmtId="0" fontId="71" fillId="0" borderId="0" xfId="0" applyFont="true"/>
    <xf numFmtId="0" fontId="72" fillId="0" borderId="0" xfId="0" applyFont="true"/>
    <xf numFmtId="0" fontId="73" fillId="0" borderId="0" xfId="0" applyFont="true"/>
    <xf numFmtId="0" fontId="74" fillId="0" borderId="0" xfId="0" applyFont="true"/>
    <xf numFmtId="0" fontId="75" fillId="0" borderId="0" xfId="0" applyFont="true"/>
    <xf numFmtId="0" fontId="76" fillId="0" borderId="0" xfId="0" applyFont="true"/>
    <xf numFmtId="0" fontId="77" fillId="0" borderId="0" xfId="0" applyFont="true"/>
    <xf numFmtId="0" fontId="78" fillId="0" borderId="0" xfId="0" applyFont="true"/>
    <xf numFmtId="0" fontId="79" fillId="0" borderId="0" xfId="0" applyFont="true"/>
    <xf numFmtId="0" fontId="80" fillId="0" borderId="0" xfId="0" applyFont="true"/>
    <xf numFmtId="0" fontId="81" fillId="0" borderId="0" xfId="0" applyFont="true"/>
    <xf numFmtId="0" fontId="82" fillId="0" borderId="0" xfId="0" applyFont="true"/>
    <xf numFmtId="0" fontId="83" fillId="0" borderId="0" xfId="0" applyFont="true"/>
    <xf numFmtId="0" fontId="84" fillId="0" borderId="0" xfId="0" applyFont="true"/>
    <xf numFmtId="0" fontId="85" fillId="0" borderId="0" xfId="0" applyFont="true"/>
    <xf numFmtId="0" fontId="86" fillId="0" borderId="0" xfId="0" applyFont="true"/>
    <xf numFmtId="0" fontId="87" fillId="0" borderId="0" xfId="0" applyFont="true"/>
    <xf numFmtId="0" fontId="88" fillId="0" borderId="0" xfId="0" applyFont="true"/>
    <xf numFmtId="0" fontId="89" fillId="0" borderId="0" xfId="0" applyFont="true"/>
    <xf numFmtId="0" fontId="90" fillId="0" borderId="0" xfId="0" applyFont="true"/>
    <xf numFmtId="0" fontId="91" fillId="0" borderId="0" xfId="0" applyFont="true"/>
    <xf numFmtId="0" fontId="92" fillId="0" borderId="0" xfId="0" applyFont="true"/>
    <xf numFmtId="0" fontId="93" fillId="0" borderId="0" xfId="0" applyFont="true"/>
    <xf numFmtId="0" fontId="94" fillId="0" borderId="0" xfId="0" applyFont="true"/>
    <xf numFmtId="0" fontId="95" fillId="0" borderId="0" xfId="0" applyFont="true"/>
    <xf numFmtId="0" fontId="96" fillId="0" borderId="0" xfId="0" applyFont="true"/>
    <xf numFmtId="0" fontId="97" fillId="0" borderId="0" xfId="0" applyFont="true"/>
    <xf numFmtId="0" fontId="98" fillId="0" borderId="0" xfId="0" applyFont="true"/>
    <xf numFmtId="0" fontId="99" fillId="0" borderId="0" xfId="0" applyFont="true"/>
    <xf numFmtId="0" fontId="100" fillId="0" borderId="0" xfId="0" applyFont="true"/>
    <xf numFmtId="0" fontId="101" fillId="0" borderId="0" xfId="0" applyFont="true"/>
    <xf numFmtId="0" fontId="102" fillId="0" borderId="0" xfId="0" applyFont="true"/>
    <xf numFmtId="0" fontId="103" fillId="0" borderId="0" xfId="0" applyFont="true"/>
    <xf numFmtId="0" fontId="104" fillId="0" borderId="0" xfId="0" applyFont="true"/>
    <xf numFmtId="0" fontId="105" fillId="0" borderId="0" xfId="0" applyFont="true"/>
    <xf numFmtId="0" fontId="106" fillId="0" borderId="0" xfId="0" applyFont="true"/>
    <xf numFmtId="0" fontId="107" fillId="0" borderId="0" xfId="0" applyFont="true"/>
    <xf numFmtId="0" fontId="108" fillId="0" borderId="0" xfId="0" applyFont="true"/>
    <xf numFmtId="0" fontId="109" fillId="0" borderId="0" xfId="0" applyFont="true"/>
    <xf numFmtId="0" fontId="110" fillId="0" borderId="0" xfId="0" applyFont="true"/>
    <xf numFmtId="0" fontId="111" fillId="0" borderId="0" xfId="0" applyFont="true"/>
    <xf numFmtId="0" fontId="112" fillId="0" borderId="0" xfId="0" applyFont="true"/>
    <xf numFmtId="0" fontId="113" fillId="0" borderId="0" xfId="0" applyFont="true"/>
    <xf numFmtId="0" fontId="114" fillId="0" borderId="0" xfId="0" applyFont="true"/>
    <xf numFmtId="0" fontId="115" fillId="0" borderId="0" xfId="0" applyFont="true"/>
    <xf numFmtId="0" fontId="116" fillId="0" borderId="0" xfId="0" applyFont="true"/>
    <xf numFmtId="0" fontId="117" fillId="0" borderId="0" xfId="0" applyFont="true"/>
    <xf numFmtId="0" fontId="118" fillId="0" borderId="0" xfId="0" applyFont="true"/>
    <xf numFmtId="0" fontId="119" fillId="0" borderId="0" xfId="0" applyFont="true"/>
    <xf numFmtId="0" fontId="120" fillId="0" borderId="0" xfId="0" applyFont="true"/>
    <xf numFmtId="0" fontId="121" fillId="0" borderId="0" xfId="0" applyFont="true"/>
    <xf numFmtId="0" fontId="122" fillId="0" borderId="0" xfId="0" applyFont="true"/>
    <xf numFmtId="0" fontId="123" fillId="0" borderId="0" xfId="0" applyFont="true"/>
    <xf numFmtId="0" fontId="124" fillId="0" borderId="0" xfId="0" applyFont="true"/>
    <xf numFmtId="0" fontId="125" fillId="0" borderId="0" xfId="0" applyFont="true"/>
    <xf numFmtId="0" fontId="126" fillId="0" borderId="0" xfId="0" applyFont="true"/>
    <xf numFmtId="0" fontId="127" fillId="0" borderId="0" xfId="0" applyFont="true"/>
    <xf numFmtId="0" fontId="128" fillId="0" borderId="0" xfId="0" applyFont="true"/>
    <xf numFmtId="0" fontId="129" fillId="0" borderId="0" xfId="0" applyFont="true"/>
    <xf numFmtId="0" fontId="130" fillId="0" borderId="0" xfId="0" applyFont="true"/>
    <xf numFmtId="0" fontId="131" fillId="0" borderId="0" xfId="0" applyFont="true"/>
    <xf numFmtId="0" fontId="132" fillId="0" borderId="0" xfId="0" applyFont="true"/>
    <xf numFmtId="0" fontId="133" fillId="0" borderId="0" xfId="0" applyFont="true"/>
    <xf numFmtId="0" fontId="134" fillId="0" borderId="0" xfId="0" applyFont="true"/>
    <xf numFmtId="0" fontId="135" fillId="0" borderId="0" xfId="0" applyFont="true"/>
    <xf numFmtId="0" fontId="136" fillId="0" borderId="0" xfId="0" applyFont="true"/>
    <xf numFmtId="0" fontId="137" fillId="0" borderId="0" xfId="0" applyFont="true"/>
    <xf numFmtId="0" fontId="138" fillId="0" borderId="0" xfId="0" applyFont="true"/>
    <xf numFmtId="0" fontId="139" fillId="0" borderId="0" xfId="0" applyFont="true"/>
    <xf numFmtId="0" fontId="140" fillId="0" borderId="0" xfId="0" applyFont="true"/>
    <xf numFmtId="0" fontId="141" fillId="0" borderId="0" xfId="0" applyFont="true"/>
    <xf numFmtId="0" fontId="142" fillId="0" borderId="0" xfId="0" applyFont="true"/>
    <xf numFmtId="0" fontId="143" fillId="0" borderId="0" xfId="0" applyFont="true"/>
    <xf numFmtId="0" fontId="144" fillId="0" borderId="0" xfId="0" applyFont="true"/>
    <xf numFmtId="0" fontId="145" fillId="0" borderId="0" xfId="0" applyFont="true"/>
    <xf numFmtId="0" fontId="146" fillId="0" borderId="0" xfId="0" applyFont="true"/>
    <xf numFmtId="0" fontId="147" fillId="0" borderId="0" xfId="0" applyFont="true"/>
    <xf numFmtId="0" fontId="148" fillId="0" borderId="0" xfId="0" applyFont="true"/>
    <xf numFmtId="0" fontId="149" fillId="0" borderId="0" xfId="0" applyFont="true"/>
    <xf numFmtId="0" fontId="150" fillId="0" borderId="0" xfId="0" applyFont="true"/>
    <xf numFmtId="0" fontId="151" fillId="0" borderId="0" xfId="0" applyFont="true"/>
    <xf numFmtId="0" fontId="152" fillId="0" borderId="0" xfId="0" applyFont="true"/>
    <xf numFmtId="0" fontId="153" fillId="0" borderId="0" xfId="0" applyFont="true"/>
    <xf numFmtId="0" fontId="154" fillId="0" borderId="0" xfId="0" applyFont="true"/>
    <xf numFmtId="0" fontId="155" fillId="0" borderId="0" xfId="0" applyFont="true"/>
    <xf numFmtId="0" fontId="156" fillId="0" borderId="0" xfId="0" applyFont="true"/>
    <xf numFmtId="0" fontId="157" fillId="0" borderId="0" xfId="0" applyFont="true"/>
    <xf numFmtId="0" fontId="158" fillId="0" borderId="0" xfId="0" applyFont="true"/>
    <xf numFmtId="0" fontId="159" fillId="0" borderId="0" xfId="0" applyFont="true"/>
    <xf numFmtId="0" fontId="160" fillId="0" borderId="0" xfId="0" applyFont="true"/>
    <xf numFmtId="0" fontId="161" fillId="0" borderId="0" xfId="0" applyFont="true"/>
    <xf numFmtId="0" fontId="162" fillId="0" borderId="0" xfId="0" applyFont="true"/>
    <xf numFmtId="0" fontId="163" fillId="0" borderId="0" xfId="0" applyFont="true"/>
    <xf numFmtId="0" fontId="164" fillId="0" borderId="0" xfId="0" applyFont="true"/>
    <xf numFmtId="0" fontId="165" fillId="0" borderId="0" xfId="0" applyFont="true"/>
    <xf numFmtId="0" fontId="166" fillId="0" borderId="0" xfId="0" applyFont="true"/>
    <xf numFmtId="0" fontId="167" fillId="0" borderId="0" xfId="0" applyFont="true"/>
    <xf numFmtId="0" fontId="168" fillId="0" borderId="0" xfId="0" applyFont="true"/>
    <xf numFmtId="0" fontId="169" fillId="0" borderId="0" xfId="0" applyFont="true"/>
    <xf numFmtId="0" fontId="170" fillId="0" borderId="0" xfId="0" applyFont="true"/>
    <xf numFmtId="0" fontId="171" fillId="0" borderId="0" xfId="0" applyFont="true"/>
    <xf numFmtId="0" fontId="172" fillId="0" borderId="0" xfId="0" applyFont="true"/>
    <xf numFmtId="0" fontId="173" fillId="0" borderId="0" xfId="0" applyFont="true"/>
    <xf numFmtId="0" fontId="174" fillId="0" borderId="0" xfId="0" applyFont="true"/>
    <xf numFmtId="0" fontId="175" fillId="0" borderId="0" xfId="0" applyFont="true"/>
    <xf numFmtId="0" fontId="176" fillId="0" borderId="0" xfId="0" applyFont="true"/>
    <xf numFmtId="0" fontId="177" fillId="0" borderId="0" xfId="0" applyFont="true"/>
    <xf numFmtId="0" fontId="178" fillId="0" borderId="0" xfId="0" applyFont="true"/>
    <xf numFmtId="0" fontId="179" fillId="0" borderId="0" xfId="0" applyFont="true"/>
    <xf numFmtId="0" fontId="180" fillId="0" borderId="0" xfId="0" applyFont="true"/>
    <xf numFmtId="0" fontId="181" fillId="0" borderId="0" xfId="0" applyFont="true"/>
    <xf numFmtId="0" fontId="182" fillId="0" borderId="0" xfId="0" applyFont="true"/>
    <xf numFmtId="0" fontId="183" fillId="0" borderId="0" xfId="0" applyFont="true"/>
    <xf numFmtId="0" fontId="184" fillId="0" borderId="0" xfId="0" applyFont="true"/>
    <xf numFmtId="0" fontId="185" fillId="0" borderId="0" xfId="0" applyFont="true"/>
    <xf numFmtId="0" fontId="186" fillId="0" borderId="0" xfId="0" applyFont="true"/>
    <xf numFmtId="0" fontId="187" fillId="0" borderId="0" xfId="0" applyFont="true"/>
    <xf numFmtId="0" fontId="188" fillId="0" borderId="0" xfId="0" applyFont="true"/>
    <xf numFmtId="0" fontId="189" fillId="0" borderId="0" xfId="0" applyFont="true"/>
    <xf numFmtId="0" fontId="190" fillId="0" borderId="0" xfId="0" applyFont="true"/>
    <xf numFmtId="0" fontId="191" fillId="0" borderId="0" xfId="0" applyFont="true"/>
    <xf numFmtId="0" fontId="192" fillId="0" borderId="0" xfId="0" applyFont="true"/>
    <xf numFmtId="0" fontId="193" fillId="0" borderId="0" xfId="0" applyFont="true"/>
    <xf numFmtId="0" fontId="194" fillId="0" borderId="0" xfId="0" applyFont="true"/>
    <xf numFmtId="0" fontId="195" fillId="0" borderId="0" xfId="0" applyFont="true"/>
    <xf numFmtId="0" fontId="196" fillId="0" borderId="0" xfId="0" applyFont="true"/>
    <xf numFmtId="0" fontId="197" fillId="0" borderId="0" xfId="0" applyFont="true"/>
    <xf numFmtId="0" fontId="198" fillId="0" borderId="0" xfId="0" applyFont="true"/>
    <xf numFmtId="0" fontId="199" fillId="0" borderId="0" xfId="0" applyFont="true"/>
    <xf numFmtId="0" fontId="200" fillId="0" borderId="0" xfId="0" applyFont="true"/>
    <xf numFmtId="0" fontId="201" fillId="0" borderId="0" xfId="0" applyFont="true"/>
    <xf numFmtId="0" fontId="202" fillId="0" borderId="0" xfId="0" applyFont="true"/>
    <xf numFmtId="0" fontId="203" fillId="0" borderId="0" xfId="0" applyFont="true"/>
    <xf numFmtId="0" fontId="204" fillId="0" borderId="0" xfId="0" applyFont="true"/>
    <xf numFmtId="0" fontId="205" fillId="0" borderId="0" xfId="0" applyFont="true"/>
    <xf numFmtId="0" fontId="206" fillId="0" borderId="0" xfId="0" applyFont="true"/>
    <xf numFmtId="0" fontId="207" fillId="0" borderId="0" xfId="0" applyFont="true"/>
    <xf numFmtId="0" fontId="208" fillId="0" borderId="0" xfId="0" applyFont="true"/>
    <xf numFmtId="0" fontId="209" fillId="0" borderId="0" xfId="0" applyFont="true"/>
    <xf numFmtId="0" fontId="210" fillId="0" borderId="0" xfId="0" applyFont="true"/>
    <xf numFmtId="0" fontId="211" fillId="0" borderId="0" xfId="0" applyFont="true"/>
    <xf numFmtId="0" fontId="212" fillId="0" borderId="0" xfId="0" applyFont="true"/>
    <xf numFmtId="0" fontId="213" fillId="0" borderId="0" xfId="0" applyFont="true"/>
    <xf numFmtId="0" fontId="214" fillId="0" borderId="0" xfId="0" applyFont="true"/>
    <xf numFmtId="0" fontId="215" fillId="0" borderId="0" xfId="0" applyFont="true"/>
    <xf numFmtId="0" fontId="216" fillId="0" borderId="0" xfId="0" applyFont="true"/>
    <xf numFmtId="0" fontId="217" fillId="0" borderId="0" xfId="0" applyFont="true"/>
    <xf numFmtId="0" fontId="218" fillId="0" borderId="0" xfId="0" applyFont="true"/>
    <xf numFmtId="0" fontId="219" fillId="0" borderId="0" xfId="0" applyFont="true"/>
    <xf numFmtId="0" fontId="220" fillId="0" borderId="0" xfId="0" applyFont="true"/>
    <xf numFmtId="0" fontId="221" fillId="0" borderId="0" xfId="0" applyFont="true"/>
    <xf numFmtId="0" fontId="222" fillId="0" borderId="0" xfId="0" applyFont="true"/>
    <xf numFmtId="0" fontId="223" fillId="0" borderId="0" xfId="0" applyFont="true"/>
    <xf numFmtId="0" fontId="224" fillId="0" borderId="0" xfId="0" applyFont="true"/>
    <xf numFmtId="0" fontId="225" fillId="0" borderId="0" xfId="0" applyFont="true"/>
    <xf numFmtId="0" fontId="226" fillId="0" borderId="0" xfId="0" applyFont="true"/>
    <xf numFmtId="0" fontId="227" fillId="0" borderId="0" xfId="0" applyFont="true"/>
    <xf numFmtId="0" fontId="228" fillId="0" borderId="0" xfId="0" applyFont="true"/>
    <xf numFmtId="0" fontId="229" fillId="0" borderId="0" xfId="0" applyFont="true"/>
    <xf numFmtId="0" fontId="230" fillId="0" borderId="0" xfId="0" applyFont="true"/>
    <xf numFmtId="0" fontId="231" fillId="0" borderId="0" xfId="0" applyFont="true"/>
    <xf numFmtId="0" fontId="232" fillId="0" borderId="0" xfId="0" applyFont="true"/>
    <xf numFmtId="0" fontId="233" fillId="0" borderId="0" xfId="0" applyFont="true"/>
    <xf numFmtId="0" fontId="234" fillId="0" borderId="0" xfId="0" applyFont="true"/>
    <xf numFmtId="0" fontId="235" fillId="0" borderId="0" xfId="0" applyFont="true"/>
    <xf numFmtId="0" fontId="236" fillId="0" borderId="0" xfId="0" applyFont="true"/>
    <xf numFmtId="0" fontId="237" fillId="0" borderId="0" xfId="0" applyFont="true"/>
    <xf numFmtId="0" fontId="238" fillId="0" borderId="0" xfId="0" applyFont="true"/>
    <xf numFmtId="0" fontId="239" fillId="0" borderId="0" xfId="0" applyFont="true"/>
    <xf numFmtId="0" fontId="240" fillId="0" borderId="0" xfId="0" applyFont="true"/>
    <xf numFmtId="0" fontId="241" fillId="0" borderId="0" xfId="0" applyFont="true"/>
    <xf numFmtId="0" fontId="242" fillId="0" borderId="0" xfId="0" applyFont="true"/>
    <xf numFmtId="0" fontId="243" fillId="0" borderId="0" xfId="0" applyFont="true"/>
    <xf numFmtId="0" fontId="244" fillId="0" borderId="0" xfId="0" applyFont="true"/>
    <xf numFmtId="0" fontId="245" fillId="0" borderId="0" xfId="0" applyFont="true"/>
    <xf numFmtId="0" fontId="246" fillId="0" borderId="0" xfId="0" applyFont="true"/>
    <xf numFmtId="0" fontId="247" fillId="0" borderId="0" xfId="0" applyFont="true"/>
    <xf numFmtId="0" fontId="248" fillId="0" borderId="0" xfId="0" applyFont="true"/>
    <xf numFmtId="0" fontId="249" fillId="0" borderId="0" xfId="0" applyFont="true"/>
    <xf numFmtId="0" fontId="250" fillId="0" borderId="0" xfId="0" applyFont="true"/>
    <xf numFmtId="0" fontId="251" fillId="0" borderId="0" xfId="0" applyFont="true"/>
    <xf numFmtId="0" fontId="252" fillId="0" borderId="0" xfId="0" applyFont="true"/>
    <xf numFmtId="0" fontId="253" fillId="0" borderId="0" xfId="0" applyFont="true"/>
    <xf numFmtId="0" fontId="254" fillId="0" borderId="0" xfId="0" applyFont="true"/>
    <xf numFmtId="0" fontId="255" fillId="0" borderId="0" xfId="0" applyFont="true"/>
    <xf numFmtId="0" fontId="256" fillId="0" borderId="0" xfId="0" applyFont="true"/>
    <xf numFmtId="0" fontId="257" fillId="0" borderId="0" xfId="0" applyFont="true"/>
    <xf numFmtId="0" fontId="258" fillId="0" borderId="0" xfId="0" applyFont="true"/>
    <xf numFmtId="0" fontId="259" fillId="0" borderId="0" xfId="0" applyFont="true"/>
    <xf numFmtId="0" fontId="260" fillId="0" borderId="0" xfId="0" applyFont="true"/>
    <xf numFmtId="0" fontId="261" fillId="0" borderId="0" xfId="0" applyFont="true"/>
    <xf numFmtId="0" fontId="262" fillId="0" borderId="0" xfId="0" applyFont="true"/>
    <xf numFmtId="0" fontId="263" fillId="0" borderId="0" xfId="0" applyFont="true"/>
    <xf numFmtId="0" fontId="264" fillId="0" borderId="0" xfId="0" applyFont="true"/>
    <xf numFmtId="0" fontId="265" fillId="0" borderId="0" xfId="0" applyFont="true"/>
    <xf numFmtId="0" fontId="266" fillId="0" borderId="0" xfId="0" applyFont="true"/>
    <xf numFmtId="0" fontId="267" fillId="0" borderId="0" xfId="0" applyFont="true"/>
    <xf numFmtId="0" fontId="268" fillId="0" borderId="0" xfId="0" applyFont="true"/>
    <xf numFmtId="0" fontId="269" fillId="0" borderId="0" xfId="0" applyFont="true"/>
    <xf numFmtId="0" fontId="270" fillId="0" borderId="0" xfId="0" applyFont="true"/>
    <xf numFmtId="0" fontId="271" fillId="0" borderId="0" xfId="0" applyFont="true"/>
    <xf numFmtId="0" fontId="272" fillId="0" borderId="0" xfId="0" applyFont="true"/>
    <xf numFmtId="0" fontId="273" fillId="0" borderId="0" xfId="0" applyFont="true"/>
    <xf numFmtId="0" fontId="274" fillId="0" borderId="0" xfId="0" applyFont="true"/>
    <xf numFmtId="0" fontId="275" fillId="0" borderId="0" xfId="0" applyFont="true"/>
    <xf numFmtId="0" fontId="276" fillId="0" borderId="0" xfId="0" applyFont="true"/>
    <xf numFmtId="0" fontId="277" fillId="0" borderId="0" xfId="0" applyFont="true"/>
    <xf numFmtId="0" fontId="278" fillId="0" borderId="0" xfId="0" applyFont="true"/>
    <xf numFmtId="0" fontId="279" fillId="0" borderId="0" xfId="0" applyFont="true"/>
    <xf numFmtId="0" fontId="280" fillId="0" borderId="0" xfId="0" applyFont="true"/>
    <xf numFmtId="0" fontId="281" fillId="0" borderId="0" xfId="0" applyFont="true"/>
    <xf numFmtId="0" fontId="282" fillId="0" borderId="0" xfId="0" applyFont="true"/>
    <xf numFmtId="0" fontId="283" fillId="0" borderId="0" xfId="0" applyFont="true"/>
    <xf numFmtId="0" fontId="284" fillId="0" borderId="0" xfId="0" applyFont="true"/>
    <xf numFmtId="0" fontId="285" fillId="0" borderId="0" xfId="0" applyFont="true"/>
    <xf numFmtId="0" fontId="286" fillId="0" borderId="0" xfId="0" applyFont="true"/>
    <xf numFmtId="0" fontId="287" fillId="0" borderId="0" xfId="0" applyFont="true"/>
    <xf numFmtId="0" fontId="288" fillId="0" borderId="0" xfId="0" applyFont="true"/>
    <xf numFmtId="0" fontId="289" fillId="0" borderId="0" xfId="0" applyFont="true"/>
    <xf numFmtId="0" fontId="290" fillId="0" borderId="0" xfId="0" applyFont="true"/>
    <xf numFmtId="0" fontId="291" fillId="0" borderId="0" xfId="0" applyFont="true"/>
    <xf numFmtId="0" fontId="292" fillId="0" borderId="0" xfId="0" applyFont="true"/>
    <xf numFmtId="0" fontId="293" fillId="0" borderId="0" xfId="0" applyFont="true"/>
    <xf numFmtId="0" fontId="294" fillId="0" borderId="0" xfId="0" applyFont="true"/>
    <xf numFmtId="0" fontId="295" fillId="0" borderId="0" xfId="0" applyFont="true"/>
    <xf numFmtId="0" fontId="296" fillId="0" borderId="0" xfId="0" applyFont="true"/>
    <xf numFmtId="0" fontId="297" fillId="0" borderId="0" xfId="0" applyFont="true"/>
    <xf numFmtId="0" fontId="298" fillId="0" borderId="0" xfId="0" applyFont="true"/>
    <xf numFmtId="0" fontId="299" fillId="0" borderId="0" xfId="0" applyFont="true"/>
    <xf numFmtId="0" fontId="300" fillId="0" borderId="0" xfId="0" applyFont="true"/>
    <xf numFmtId="0" fontId="301" fillId="0" borderId="0" xfId="0" applyFont="true"/>
    <xf numFmtId="0" fontId="302" fillId="0" borderId="0" xfId="0" applyFont="true"/>
    <xf numFmtId="0" fontId="303" fillId="0" borderId="0" xfId="0" applyFont="true"/>
    <xf numFmtId="0" fontId="304" fillId="0" borderId="0" xfId="0" applyFont="true"/>
    <xf numFmtId="0" fontId="305" fillId="0" borderId="0" xfId="0" applyFont="true"/>
    <xf numFmtId="0" fontId="306" fillId="0" borderId="0" xfId="0" applyFont="true"/>
    <xf numFmtId="0" fontId="307" fillId="0" borderId="0" xfId="0" applyFont="true"/>
    <xf numFmtId="0" fontId="308" fillId="0" borderId="0" xfId="0" applyFont="true"/>
    <xf numFmtId="0" fontId="309" fillId="0" borderId="0" xfId="0" applyFont="true"/>
    <xf numFmtId="0" fontId="310" fillId="0" borderId="0" xfId="0" applyFont="true"/>
    <xf numFmtId="0" fontId="311" fillId="0" borderId="0" xfId="0" applyFont="true"/>
    <xf numFmtId="0" fontId="312" fillId="0" borderId="0" xfId="0" applyFont="true"/>
    <xf numFmtId="0" fontId="313" fillId="0" borderId="0" xfId="0" applyFont="true"/>
    <xf numFmtId="0" fontId="314" fillId="0" borderId="0" xfId="0" applyFont="true"/>
    <xf numFmtId="0" fontId="315" fillId="0" borderId="0" xfId="0" applyFont="true"/>
    <xf numFmtId="0" fontId="316" fillId="0" borderId="0" xfId="0" applyFont="true"/>
    <xf numFmtId="0" fontId="317" fillId="0" borderId="0" xfId="0" applyFont="true"/>
    <xf numFmtId="0" fontId="318" fillId="0" borderId="0" xfId="0" applyFont="true"/>
    <xf numFmtId="0" fontId="319" fillId="0" borderId="0" xfId="0" applyFont="true"/>
    <xf numFmtId="0" fontId="320" fillId="0" borderId="0" xfId="0" applyFont="true"/>
    <xf numFmtId="0" fontId="321" fillId="0" borderId="0" xfId="0" applyFont="true"/>
    <xf numFmtId="0" fontId="322" fillId="0" borderId="0" xfId="0" applyFont="true"/>
    <xf numFmtId="0" fontId="323" fillId="0" borderId="0" xfId="0" applyFont="true"/>
    <xf numFmtId="0" fontId="324" fillId="0" borderId="0" xfId="0" applyFont="true"/>
    <xf numFmtId="0" fontId="325" fillId="0" borderId="0" xfId="0" applyFont="true"/>
    <xf numFmtId="0" fontId="326" fillId="0" borderId="0" xfId="0" applyFont="true"/>
    <xf numFmtId="0" fontId="327" fillId="0" borderId="0" xfId="0" applyFont="true"/>
    <xf numFmtId="0" fontId="328" fillId="0" borderId="0" xfId="0" applyFont="true"/>
    <xf numFmtId="0" fontId="329" fillId="0" borderId="0" xfId="0" applyFont="true"/>
    <xf numFmtId="0" fontId="330" fillId="0" borderId="0" xfId="0" applyFont="true"/>
    <xf numFmtId="0" fontId="331" fillId="0" borderId="0" xfId="0" applyFont="true"/>
    <xf numFmtId="0" fontId="332" fillId="0" borderId="0" xfId="0" applyFont="true"/>
    <xf numFmtId="0" fontId="333" fillId="0" borderId="0" xfId="0" applyFont="true"/>
    <xf numFmtId="0" fontId="334" fillId="0" borderId="0" xfId="0" applyFont="true"/>
    <xf numFmtId="0" fontId="335" fillId="0" borderId="0" xfId="0" applyFont="true"/>
    <xf numFmtId="0" fontId="336" fillId="0" borderId="0" xfId="0" applyFont="true"/>
    <xf numFmtId="0" fontId="337" fillId="0" borderId="0" xfId="0" applyFont="true"/>
    <xf numFmtId="0" fontId="338" fillId="0" borderId="0" xfId="0" applyFont="true"/>
    <xf numFmtId="0" fontId="339" fillId="0" borderId="0" xfId="0" applyFont="true"/>
    <xf numFmtId="0" fontId="340" fillId="0" borderId="0" xfId="0" applyFont="true"/>
    <xf numFmtId="0" fontId="341" fillId="0" borderId="0" xfId="0" applyFont="true"/>
    <xf numFmtId="0" fontId="342" fillId="0" borderId="0" xfId="0" applyFont="true"/>
    <xf numFmtId="0" fontId="343" fillId="0" borderId="0" xfId="0" applyFont="true"/>
    <xf numFmtId="0" fontId="344" fillId="0" borderId="0" xfId="0" applyFont="true"/>
    <xf numFmtId="0" fontId="345" fillId="0" borderId="0" xfId="0" applyFont="true"/>
    <xf numFmtId="0" fontId="346" fillId="0" borderId="0" xfId="0" applyFont="true"/>
    <xf numFmtId="0" fontId="347" fillId="0" borderId="0" xfId="0" applyFont="true"/>
    <xf numFmtId="0" fontId="348" fillId="0" borderId="0" xfId="0" applyFont="true"/>
    <xf numFmtId="0" fontId="349" fillId="0" borderId="0" xfId="0" applyFont="true"/>
    <xf numFmtId="0" fontId="350" fillId="0" borderId="0" xfId="0" applyFont="true"/>
    <xf numFmtId="0" fontId="351" fillId="0" borderId="0" xfId="0" applyFont="true"/>
    <xf numFmtId="0" fontId="352" fillId="0" borderId="0" xfId="0" applyFont="true"/>
    <xf numFmtId="0" fontId="353" fillId="0" borderId="0" xfId="0" applyFont="true"/>
    <xf numFmtId="0" fontId="354" fillId="0" borderId="0" xfId="0" applyFont="true"/>
    <xf numFmtId="0" fontId="355" fillId="0" borderId="0" xfId="0" applyFont="true"/>
    <xf numFmtId="0" fontId="356" fillId="0" borderId="0" xfId="0" applyFont="true"/>
    <xf numFmtId="0" fontId="357" fillId="0" borderId="0" xfId="0" applyFont="true"/>
    <xf numFmtId="0" fontId="358" fillId="0" borderId="0" xfId="0" applyFont="true"/>
    <xf numFmtId="0" fontId="359" fillId="0" borderId="0" xfId="0" applyFont="true"/>
    <xf numFmtId="0" fontId="360" fillId="0" borderId="0" xfId="0" applyFont="true"/>
    <xf numFmtId="0" fontId="361" fillId="0" borderId="0" xfId="0" applyFont="true"/>
    <xf numFmtId="0" fontId="362" fillId="0" borderId="0" xfId="0" applyFont="true"/>
    <xf numFmtId="0" fontId="363" fillId="0" borderId="0" xfId="0" applyFont="true"/>
    <xf numFmtId="0" fontId="364" fillId="0" borderId="0" xfId="0" applyFont="true"/>
    <xf numFmtId="0" fontId="365" fillId="0" borderId="0" xfId="0" applyFont="true"/>
    <xf numFmtId="0" fontId="366" fillId="0" borderId="0" xfId="0" applyFont="true"/>
    <xf numFmtId="0" fontId="367" fillId="0" borderId="0" xfId="0" applyFont="true"/>
    <xf numFmtId="0" fontId="368" fillId="0" borderId="0" xfId="0" applyFont="true"/>
    <xf numFmtId="0" fontId="369" fillId="0" borderId="0" xfId="0" applyFont="true"/>
    <xf numFmtId="0" fontId="370" fillId="0" borderId="0" xfId="0" applyFont="true"/>
    <xf numFmtId="0" fontId="371" fillId="0" borderId="0" xfId="0" applyFont="true"/>
    <xf numFmtId="0" fontId="372" fillId="0" borderId="0" xfId="0" applyFont="true"/>
    <xf numFmtId="0" fontId="373" fillId="0" borderId="0" xfId="0" applyFont="true"/>
    <xf numFmtId="0" fontId="374" fillId="0" borderId="0" xfId="0" applyFont="true"/>
    <xf numFmtId="0" fontId="375" fillId="0" borderId="0" xfId="0" applyFont="true"/>
    <xf numFmtId="0" fontId="376" fillId="0" borderId="0" xfId="0" applyFont="true"/>
    <xf numFmtId="0" fontId="377" fillId="0" borderId="0" xfId="0" applyFont="true"/>
    <xf numFmtId="0" fontId="378" fillId="0" borderId="0" xfId="0" applyFont="true"/>
    <xf numFmtId="0" fontId="379" fillId="0" borderId="0" xfId="0" applyFont="true"/>
    <xf numFmtId="0" fontId="380" fillId="0" borderId="0" xfId="0" applyFont="true"/>
    <xf numFmtId="0" fontId="381" fillId="0" borderId="0" xfId="0" applyFont="true"/>
    <xf numFmtId="0" fontId="382" fillId="0" borderId="0" xfId="0" applyFont="true"/>
    <xf numFmtId="0" fontId="383" fillId="0" borderId="0" xfId="0" applyFont="true"/>
    <xf numFmtId="0" fontId="384" fillId="0" borderId="0" xfId="0" applyFont="true"/>
    <xf numFmtId="0" fontId="385" fillId="0" borderId="0" xfId="0" applyFont="true"/>
    <xf numFmtId="0" fontId="386" fillId="0" borderId="0" xfId="0" applyFont="true"/>
    <xf numFmtId="0" fontId="387" fillId="0" borderId="0" xfId="0" applyFont="true"/>
    <xf numFmtId="0" fontId="388" fillId="0" borderId="0" xfId="0" applyFont="true"/>
    <xf numFmtId="0" fontId="389" fillId="0" borderId="0" xfId="0" applyFont="true"/>
    <xf numFmtId="0" fontId="390" fillId="0" borderId="0" xfId="0" applyFont="true"/>
    <xf numFmtId="0" fontId="391" fillId="0" borderId="0" xfId="0" applyFont="true"/>
    <xf numFmtId="0" fontId="392" fillId="0" borderId="0" xfId="0" applyFont="true"/>
    <xf numFmtId="0" fontId="393" fillId="0" borderId="0" xfId="0" applyFont="true"/>
    <xf numFmtId="0" fontId="394" fillId="0" borderId="0" xfId="0" applyFont="true"/>
    <xf numFmtId="0" fontId="395" fillId="0" borderId="0" xfId="0" applyFont="true"/>
    <xf numFmtId="0" fontId="396" fillId="0" borderId="0" xfId="0" applyFont="true"/>
    <xf numFmtId="0" fontId="397" fillId="0" borderId="0" xfId="0" applyFont="true"/>
    <xf numFmtId="0" fontId="398" fillId="0" borderId="0" xfId="0" applyFont="true"/>
    <xf numFmtId="0" fontId="399" fillId="0" borderId="0" xfId="0" applyFont="true"/>
    <xf numFmtId="0" fontId="400" fillId="0" borderId="0" xfId="0" applyFont="true"/>
    <xf numFmtId="0" fontId="401" fillId="0" borderId="0" xfId="0" applyFont="true"/>
    <xf numFmtId="0" fontId="402" fillId="0" borderId="0" xfId="0" applyFont="true"/>
    <xf numFmtId="0" fontId="403" fillId="0" borderId="0" xfId="0" applyFont="true"/>
    <xf numFmtId="0" fontId="404" fillId="0" borderId="0" xfId="0" applyFont="true"/>
    <xf numFmtId="0" fontId="405" fillId="0" borderId="0" xfId="0" applyFont="true"/>
    <xf numFmtId="0" fontId="406" fillId="0" borderId="0" xfId="0" applyFont="true"/>
    <xf numFmtId="0" fontId="407" fillId="0" borderId="0" xfId="0" applyFont="true"/>
    <xf numFmtId="0" fontId="408" fillId="0" borderId="0" xfId="0" applyFont="true"/>
    <xf numFmtId="0" fontId="409" fillId="0" borderId="0" xfId="0" applyFont="true"/>
    <xf numFmtId="0" fontId="410" fillId="0" borderId="0" xfId="0" applyFont="true"/>
    <xf numFmtId="0" fontId="411" fillId="0" borderId="0" xfId="0" applyFont="true"/>
    <xf numFmtId="0" fontId="412" fillId="0" borderId="0" xfId="0" applyFont="true"/>
    <xf numFmtId="0" fontId="413" fillId="0" borderId="0" xfId="0" applyFont="true"/>
    <xf numFmtId="0" fontId="414" fillId="0" borderId="0" xfId="0" applyFont="true"/>
    <xf numFmtId="0" fontId="415" fillId="0" borderId="0" xfId="0" applyFont="true"/>
    <xf numFmtId="0" fontId="416" fillId="0" borderId="0" xfId="0" applyFont="true"/>
    <xf numFmtId="0" fontId="417" fillId="0" borderId="0" xfId="0" applyFont="true"/>
    <xf numFmtId="0" fontId="418" fillId="0" borderId="0" xfId="0" applyFont="true"/>
    <xf numFmtId="0" fontId="419" fillId="0" borderId="0" xfId="0" applyFont="true"/>
    <xf numFmtId="0" fontId="420" fillId="0" borderId="0" xfId="0" applyFont="true"/>
    <xf numFmtId="0" fontId="421" fillId="0" borderId="0" xfId="0" applyFont="true"/>
    <xf numFmtId="0" fontId="422" fillId="0" borderId="0" xfId="0" applyFont="true"/>
    <xf numFmtId="0" fontId="423" fillId="0" borderId="0" xfId="0" applyFont="true"/>
    <xf numFmtId="0" fontId="424" fillId="0" borderId="0" xfId="0" applyFont="true"/>
    <xf numFmtId="0" fontId="425" fillId="0" borderId="0" xfId="0" applyFont="true"/>
    <xf numFmtId="0" fontId="426" fillId="0" borderId="0" xfId="0" applyFont="true"/>
    <xf numFmtId="0" fontId="427" fillId="0" borderId="0" xfId="0" applyFont="true"/>
    <xf numFmtId="0" fontId="428" fillId="0" borderId="0" xfId="0" applyFont="true"/>
    <xf numFmtId="0" fontId="429" fillId="0" borderId="0" xfId="0" applyFont="true"/>
    <xf numFmtId="0" fontId="430" fillId="0" borderId="0" xfId="0" applyFont="true"/>
    <xf numFmtId="0" fontId="431" fillId="0" borderId="0" xfId="0" applyFont="true"/>
    <xf numFmtId="0" fontId="432" fillId="0" borderId="0" xfId="0" applyFont="true"/>
    <xf numFmtId="0" fontId="433" fillId="0" borderId="0" xfId="0" applyFont="true"/>
    <xf numFmtId="0" fontId="434" fillId="0" borderId="0" xfId="0" applyFont="true"/>
    <xf numFmtId="0" fontId="435" fillId="0" borderId="0" xfId="0" applyFont="true"/>
    <xf numFmtId="0" fontId="436" fillId="0" borderId="0" xfId="0" applyFont="true"/>
    <xf numFmtId="0" fontId="437" fillId="0" borderId="0" xfId="0" applyFont="true"/>
    <xf numFmtId="0" fontId="438" fillId="0" borderId="0" xfId="0" applyFont="true"/>
    <xf numFmtId="0" fontId="439" fillId="0" borderId="0" xfId="0" applyFont="true"/>
    <xf numFmtId="0" fontId="440" fillId="0" borderId="0" xfId="0" applyFont="true"/>
    <xf numFmtId="0" fontId="441" fillId="0" borderId="0" xfId="0" applyFont="true"/>
    <xf numFmtId="0" fontId="442" fillId="0" borderId="0" xfId="0" applyFont="true"/>
    <xf numFmtId="0" fontId="443" fillId="0" borderId="0" xfId="0" applyFont="true"/>
    <xf numFmtId="0" fontId="444" fillId="0" borderId="0" xfId="0" applyFont="true"/>
    <xf numFmtId="0" fontId="445" fillId="0" borderId="0" xfId="0" applyFont="true"/>
    <xf numFmtId="0" fontId="446" fillId="0" borderId="0" xfId="0" applyFont="true"/>
    <xf numFmtId="0" fontId="447" fillId="0" borderId="0" xfId="0" applyFont="true"/>
    <xf numFmtId="0" fontId="448" fillId="0" borderId="0" xfId="0" applyFont="true"/>
    <xf numFmtId="0" fontId="449" fillId="0" borderId="0" xfId="0" applyFont="true"/>
    <xf numFmtId="0" fontId="450" fillId="0" borderId="0" xfId="0" applyFont="true"/>
    <xf numFmtId="0" fontId="451" fillId="0" borderId="0" xfId="0" applyFont="true"/>
    <xf numFmtId="0" fontId="452" fillId="0" borderId="0" xfId="0" applyFont="true"/>
    <xf numFmtId="0" fontId="453" fillId="0" borderId="0" xfId="0" applyFont="true"/>
    <xf numFmtId="0" fontId="454" fillId="0" borderId="0" xfId="0" applyFont="true"/>
    <xf numFmtId="0" fontId="455" fillId="0" borderId="0" xfId="0" applyFont="true"/>
    <xf numFmtId="0" fontId="456" fillId="0" borderId="0" xfId="0" applyFont="true"/>
    <xf numFmtId="0" fontId="457" fillId="0" borderId="0" xfId="0" applyFont="true"/>
    <xf numFmtId="0" fontId="458" fillId="0" borderId="0" xfId="0" applyFont="true"/>
    <xf numFmtId="0" fontId="459" fillId="0" borderId="0" xfId="0" applyFont="true"/>
    <xf numFmtId="0" fontId="460" fillId="0" borderId="0" xfId="0" applyFont="true"/>
    <xf numFmtId="0" fontId="461" fillId="0" borderId="0" xfId="0" applyFont="true"/>
    <xf numFmtId="0" fontId="462" fillId="0" borderId="0" xfId="0" applyFont="true"/>
    <xf numFmtId="0" fontId="463" fillId="0" borderId="0" xfId="0" applyFont="true"/>
    <xf numFmtId="0" fontId="464" fillId="0" borderId="0" xfId="0" applyFont="true"/>
    <xf numFmtId="0" fontId="465" fillId="0" borderId="0" xfId="0" applyFont="true"/>
    <xf numFmtId="0" fontId="466" fillId="0" borderId="0" xfId="0" applyFont="true"/>
    <xf numFmtId="0" fontId="467" fillId="0" borderId="0" xfId="0" applyFont="true"/>
    <xf numFmtId="0" fontId="468" fillId="0" borderId="0" xfId="0" applyFont="true"/>
    <xf numFmtId="0" fontId="469" fillId="0" borderId="0" xfId="0" applyFont="true"/>
    <xf numFmtId="0" fontId="470" fillId="0" borderId="0" xfId="0" applyFont="true"/>
    <xf numFmtId="0" fontId="471" fillId="0" borderId="0" xfId="0" applyFont="true"/>
    <xf numFmtId="0" fontId="472" fillId="0" borderId="0" xfId="0" applyFont="true"/>
    <xf numFmtId="0" fontId="473" fillId="0" borderId="0" xfId="0" applyFont="true"/>
    <xf numFmtId="0" fontId="474" fillId="0" borderId="0" xfId="0" applyFont="true"/>
    <xf numFmtId="0" fontId="475" fillId="0" borderId="0" xfId="0" applyFont="true"/>
    <xf numFmtId="0" fontId="476" fillId="0" borderId="0" xfId="0" applyFont="true"/>
    <xf numFmtId="0" fontId="477" fillId="0" borderId="0" xfId="0" applyFont="true"/>
    <xf numFmtId="0" fontId="478" fillId="0" borderId="0" xfId="0" applyFont="true"/>
    <xf numFmtId="0" fontId="479" fillId="0" borderId="0" xfId="0" applyFont="true"/>
    <xf numFmtId="0" fontId="480" fillId="0" borderId="0" xfId="0" applyFont="true"/>
    <xf numFmtId="0" fontId="481" fillId="0" borderId="0" xfId="0" applyFont="true"/>
    <xf numFmtId="0" fontId="482" fillId="0" borderId="0" xfId="0" applyFont="true"/>
    <xf numFmtId="0" fontId="483" fillId="0" borderId="0" xfId="0" applyFont="true"/>
    <xf numFmtId="0" fontId="484" fillId="0" borderId="0" xfId="0" applyFont="true"/>
    <xf numFmtId="0" fontId="485" fillId="0" borderId="0" xfId="0" applyFont="true"/>
    <xf numFmtId="0" fontId="486" fillId="0" borderId="0" xfId="0" applyFont="true"/>
    <xf numFmtId="0" fontId="487" fillId="0" borderId="0" xfId="0" applyFont="true"/>
    <xf numFmtId="0" fontId="488" fillId="0" borderId="0" xfId="0" applyFont="true"/>
    <xf numFmtId="0" fontId="489" fillId="0" borderId="0" xfId="0" applyFont="true"/>
    <xf numFmtId="0" fontId="490" fillId="0" borderId="0" xfId="0" applyFont="true"/>
    <xf numFmtId="0" fontId="491" fillId="0" borderId="0" xfId="0" applyFont="true"/>
    <xf numFmtId="0" fontId="492" fillId="0" borderId="0" xfId="0" applyFont="true"/>
    <xf numFmtId="0" fontId="493" fillId="0" borderId="0" xfId="0" applyFont="true"/>
    <xf numFmtId="0" fontId="494" fillId="0" borderId="0" xfId="0" applyFont="true"/>
    <xf numFmtId="0" fontId="495" fillId="0" borderId="0" xfId="0" applyFont="true"/>
    <xf numFmtId="0" fontId="496" fillId="0" borderId="0" xfId="0" applyFont="true"/>
    <xf numFmtId="0" fontId="497" fillId="0" borderId="0" xfId="0" applyFont="true"/>
    <xf numFmtId="0" fontId="498" fillId="0" borderId="0" xfId="0" applyFont="true"/>
    <xf numFmtId="0" fontId="499" fillId="0" borderId="0" xfId="0" applyFont="true"/>
    <xf numFmtId="0" fontId="500" fillId="0" borderId="0" xfId="0" applyFont="true"/>
    <xf numFmtId="0" fontId="501" fillId="0" borderId="0" xfId="0" applyFont="true"/>
    <xf numFmtId="0" fontId="502" fillId="0" borderId="0" xfId="0" applyFont="true"/>
    <xf numFmtId="0" fontId="503" fillId="0" borderId="0" xfId="0" applyFont="true"/>
    <xf numFmtId="0" fontId="504" fillId="0" borderId="0" xfId="0" applyFont="true"/>
    <xf numFmtId="0" fontId="505" fillId="0" borderId="0" xfId="0" applyFont="true"/>
    <xf numFmtId="0" fontId="506" fillId="0" borderId="0" xfId="0" applyFont="true"/>
    <xf numFmtId="0" fontId="507" fillId="0" borderId="0" xfId="0" applyFont="true"/>
    <xf numFmtId="0" fontId="508" fillId="0" borderId="0" xfId="0" applyFont="true"/>
    <xf numFmtId="0" fontId="509" fillId="0" borderId="0" xfId="0" applyFont="true"/>
    <xf numFmtId="0" fontId="510" fillId="0" borderId="0" xfId="0" applyFont="true"/>
    <xf numFmtId="0" fontId="511" fillId="0" borderId="0" xfId="0" applyFont="true"/>
    <xf numFmtId="0" fontId="512" fillId="0" borderId="0" xfId="0" applyFont="true"/>
    <xf numFmtId="0" fontId="513" fillId="0" borderId="0" xfId="0" applyFont="true"/>
    <xf numFmtId="0" fontId="514" fillId="0" borderId="0" xfId="0" applyFont="true"/>
    <xf numFmtId="0" fontId="515" fillId="0" borderId="0" xfId="0" applyFont="true"/>
    <xf numFmtId="0" fontId="516" fillId="0" borderId="0" xfId="0" applyFont="true"/>
    <xf numFmtId="0" fontId="517" fillId="0" borderId="0" xfId="0" applyFont="true"/>
    <xf numFmtId="0" fontId="518" fillId="0" borderId="0" xfId="0" applyFont="true"/>
    <xf numFmtId="0" fontId="519" fillId="0" borderId="0" xfId="0" applyFont="true"/>
    <xf numFmtId="0" fontId="520" fillId="0" borderId="0" xfId="0" applyFont="true"/>
    <xf numFmtId="0" fontId="521" fillId="0" borderId="0" xfId="0" applyFont="true"/>
    <xf numFmtId="0" fontId="522" fillId="0" borderId="0" xfId="0" applyFont="true"/>
    <xf numFmtId="0" fontId="523" fillId="0" borderId="0" xfId="0" applyFont="true"/>
    <xf numFmtId="0" fontId="524" fillId="0" borderId="0" xfId="0" applyFont="true"/>
    <xf numFmtId="0" fontId="525" fillId="0" borderId="0" xfId="0" applyFont="true"/>
    <xf numFmtId="0" fontId="526" fillId="0" borderId="0" xfId="0" applyFont="true"/>
    <xf numFmtId="0" fontId="527" fillId="0" borderId="0" xfId="0" applyFont="true"/>
    <xf numFmtId="0" fontId="528" fillId="0" borderId="0" xfId="0" applyFont="true"/>
    <xf numFmtId="0" fontId="529" fillId="0" borderId="0" xfId="0" applyFont="true"/>
    <xf numFmtId="0" fontId="530" fillId="0" borderId="0" xfId="0" applyFont="true"/>
    <xf numFmtId="0" fontId="531" fillId="0" borderId="0" xfId="0" applyFont="true"/>
    <xf numFmtId="0" fontId="532" fillId="0" borderId="0" xfId="0" applyFont="true"/>
    <xf numFmtId="0" fontId="533" fillId="0" borderId="0" xfId="0" applyFont="true"/>
    <xf numFmtId="0" fontId="534" fillId="0" borderId="0" xfId="0" applyFont="true"/>
    <xf numFmtId="0" fontId="535" fillId="0" borderId="0" xfId="0" applyFont="true"/>
    <xf numFmtId="0" fontId="536" fillId="0" borderId="0" xfId="0" applyFont="true"/>
    <xf numFmtId="0" fontId="537" fillId="0" borderId="0" xfId="0" applyFont="true"/>
    <xf numFmtId="0" fontId="538" fillId="0" borderId="0" xfId="0" applyFont="true"/>
    <xf numFmtId="0" fontId="539" fillId="0" borderId="0" xfId="0" applyFont="true"/>
    <xf numFmtId="0" fontId="540" fillId="0" borderId="0" xfId="0" applyFont="true"/>
    <xf numFmtId="0" fontId="541" fillId="0" borderId="0" xfId="0" applyFont="true"/>
    <xf numFmtId="0" fontId="542" fillId="0" borderId="0" xfId="0" applyFont="true"/>
    <xf numFmtId="0" fontId="543" fillId="0" borderId="0" xfId="0" applyFont="true"/>
    <xf numFmtId="0" fontId="544" fillId="0" borderId="0" xfId="0" applyFont="true"/>
    <xf numFmtId="0" fontId="545" fillId="0" borderId="0" xfId="0" applyFont="true"/>
    <xf numFmtId="0" fontId="546" fillId="0" borderId="0" xfId="0" applyFont="true"/>
    <xf numFmtId="0" fontId="547" fillId="0" borderId="0" xfId="0" applyFont="true"/>
    <xf numFmtId="0" fontId="548" fillId="0" borderId="0" xfId="0" applyFont="true"/>
    <xf numFmtId="0" fontId="549" fillId="0" borderId="0" xfId="0" applyFont="true"/>
    <xf numFmtId="0" fontId="550" fillId="0" borderId="0" xfId="0" applyFont="true"/>
    <xf numFmtId="0" fontId="551" fillId="0" borderId="0" xfId="0" applyFont="true"/>
    <xf numFmtId="0" fontId="552" fillId="0" borderId="0" xfId="0" applyFont="true"/>
    <xf numFmtId="0" fontId="553" fillId="0" borderId="0" xfId="0" applyFont="true"/>
    <xf numFmtId="0" fontId="554" fillId="0" borderId="0" xfId="0" applyFont="true"/>
    <xf numFmtId="0" fontId="555" fillId="0" borderId="0" xfId="0" applyFont="true"/>
    <xf numFmtId="0" fontId="556" fillId="0" borderId="0" xfId="0" applyFont="true"/>
    <xf numFmtId="0" fontId="557" fillId="0" borderId="0" xfId="0" applyFont="true"/>
    <xf numFmtId="0" fontId="558" fillId="0" borderId="0" xfId="0" applyFont="true"/>
    <xf numFmtId="0" fontId="559" fillId="0" borderId="0" xfId="0" applyFont="true"/>
    <xf numFmtId="0" fontId="560" fillId="0" borderId="0" xfId="0" applyFont="true"/>
    <xf numFmtId="0" fontId="561" fillId="0" borderId="0" xfId="0" applyFont="true"/>
    <xf numFmtId="0" fontId="562" fillId="0" borderId="0" xfId="0" applyFont="true"/>
    <xf numFmtId="0" fontId="563" fillId="0" borderId="0" xfId="0" applyFont="true"/>
    <xf numFmtId="0" fontId="564" fillId="0" borderId="0" xfId="0" applyFont="true"/>
    <xf numFmtId="0" fontId="565" fillId="0" borderId="0" xfId="0" applyFont="true"/>
    <xf numFmtId="0" fontId="566" fillId="0" borderId="0" xfId="0" applyFont="true"/>
    <xf numFmtId="0" fontId="567" fillId="0" borderId="0" xfId="0" applyFont="true"/>
    <xf numFmtId="0" fontId="568" fillId="0" borderId="0" xfId="0" applyFont="true"/>
    <xf numFmtId="0" fontId="569" fillId="0" borderId="0" xfId="0" applyFont="true"/>
    <xf numFmtId="0" fontId="570" fillId="0" borderId="0" xfId="0" applyFont="true"/>
    <xf numFmtId="0" fontId="571" fillId="0" borderId="0" xfId="0" applyFont="true"/>
    <xf numFmtId="0" fontId="572" fillId="0" borderId="0" xfId="0" applyFont="true"/>
    <xf numFmtId="0" fontId="573" fillId="0" borderId="0" xfId="0" applyFont="true"/>
    <xf numFmtId="0" fontId="574" fillId="0" borderId="0" xfId="0" applyFont="true"/>
    <xf numFmtId="0" fontId="575" fillId="0" borderId="0" xfId="0" applyFont="true"/>
    <xf numFmtId="0" fontId="576" fillId="0" borderId="0" xfId="0" applyFont="true"/>
    <xf numFmtId="0" fontId="577" fillId="0" borderId="0" xfId="0" applyFont="true"/>
    <xf numFmtId="0" fontId="578" fillId="0" borderId="0" xfId="0" applyFont="true"/>
    <xf numFmtId="0" fontId="579" fillId="0" borderId="0" xfId="0" applyFont="true"/>
    <xf numFmtId="0" fontId="580" fillId="0" borderId="0" xfId="0" applyFont="true"/>
    <xf numFmtId="0" fontId="581" fillId="0" borderId="0" xfId="0" applyFont="true"/>
    <xf numFmtId="0" fontId="582" fillId="0" borderId="0" xfId="0" applyFont="true"/>
    <xf numFmtId="0" fontId="583" fillId="0" borderId="0" xfId="0" applyFont="true"/>
    <xf numFmtId="0" fontId="584" fillId="0" borderId="0" xfId="0" applyFont="true"/>
    <xf numFmtId="0" fontId="585" fillId="0" borderId="0" xfId="0" applyFont="true"/>
    <xf numFmtId="0" fontId="586" fillId="0" borderId="0" xfId="0" applyFont="true"/>
    <xf numFmtId="0" fontId="587" fillId="0" borderId="0" xfId="0" applyFont="true"/>
    <xf numFmtId="0" fontId="588" fillId="0" borderId="0" xfId="0" applyFont="true"/>
    <xf numFmtId="0" fontId="589" fillId="0" borderId="0" xfId="0" applyFont="true"/>
    <xf numFmtId="0" fontId="590" fillId="0" borderId="0" xfId="0" applyFont="true"/>
    <xf numFmtId="0" fontId="591" fillId="0" borderId="0" xfId="0" applyFont="true"/>
    <xf numFmtId="0" fontId="592" fillId="0" borderId="0" xfId="0" applyFont="true"/>
    <xf numFmtId="0" fontId="593" fillId="0" borderId="0" xfId="0" applyFont="true"/>
    <xf numFmtId="0" fontId="594" fillId="0" borderId="0" xfId="0" applyFont="true"/>
    <xf numFmtId="0" fontId="595" fillId="0" borderId="0" xfId="0" applyFont="true"/>
    <xf numFmtId="0" fontId="596" fillId="0" borderId="0" xfId="0" applyFont="true"/>
    <xf numFmtId="0" fontId="597" fillId="0" borderId="0" xfId="0" applyFont="true"/>
    <xf numFmtId="0" fontId="598" fillId="0" borderId="0" xfId="0" applyFont="true"/>
    <xf numFmtId="0" fontId="599" fillId="0" borderId="0" xfId="0" applyFont="true"/>
    <xf numFmtId="0" fontId="600" fillId="0" borderId="0" xfId="0" applyFont="true"/>
    <xf numFmtId="0" fontId="601" fillId="0" borderId="0" xfId="0" applyFont="true"/>
    <xf numFmtId="0" fontId="602" fillId="0" borderId="0" xfId="0" applyFont="true"/>
    <xf numFmtId="0" fontId="603" fillId="0" borderId="0" xfId="0" applyFont="true"/>
    <xf numFmtId="0" fontId="604" fillId="0" borderId="0" xfId="0" applyFont="true"/>
    <xf numFmtId="0" fontId="605" fillId="0" borderId="0" xfId="0" applyFont="true"/>
    <xf numFmtId="0" fontId="606" fillId="0" borderId="0" xfId="0" applyFont="true"/>
    <xf numFmtId="0" fontId="607" fillId="0" borderId="0" xfId="0" applyFont="true"/>
    <xf numFmtId="0" fontId="608" fillId="0" borderId="0" xfId="0" applyFont="true"/>
    <xf numFmtId="0" fontId="609" fillId="0" borderId="0" xfId="0" applyFont="true"/>
    <xf numFmtId="0" fontId="610" fillId="0" borderId="0" xfId="0" applyFont="true"/>
    <xf numFmtId="0" fontId="611" fillId="0" borderId="0" xfId="0" applyFont="true"/>
    <xf numFmtId="0" fontId="612" fillId="0" borderId="0" xfId="0" applyFont="true"/>
    <xf numFmtId="0" fontId="613" fillId="0" borderId="0" xfId="0" applyFont="true"/>
    <xf numFmtId="0" fontId="614" fillId="0" borderId="0" xfId="0" applyFont="true"/>
    <xf numFmtId="0" fontId="615" fillId="0" borderId="0" xfId="0" applyFont="true"/>
    <xf numFmtId="0" fontId="616" fillId="0" borderId="0" xfId="0" applyFont="true"/>
    <xf numFmtId="0" fontId="617" fillId="0" borderId="0" xfId="0" applyFont="true"/>
    <xf numFmtId="0" fontId="618" fillId="0" borderId="0" xfId="0" applyFont="true"/>
    <xf numFmtId="0" fontId="619" fillId="0" borderId="0" xfId="0" applyFont="true"/>
    <xf numFmtId="0" fontId="620" fillId="0" borderId="0" xfId="0" applyFont="true"/>
    <xf numFmtId="0" fontId="621" fillId="0" borderId="0" xfId="0" applyFont="true"/>
    <xf numFmtId="0" fontId="622" fillId="0" borderId="0" xfId="0" applyFont="true"/>
    <xf numFmtId="0" fontId="623" fillId="0" borderId="0" xfId="0" applyFont="true"/>
    <xf numFmtId="0" fontId="624" fillId="0" borderId="0" xfId="0" applyFont="true"/>
    <xf numFmtId="0" fontId="625" fillId="0" borderId="0" xfId="0" applyFont="true"/>
    <xf numFmtId="0" fontId="626" fillId="0" borderId="0" xfId="0" applyFont="true"/>
    <xf numFmtId="0" fontId="627" fillId="0" borderId="0" xfId="0" applyFont="true"/>
    <xf numFmtId="0" fontId="628" fillId="0" borderId="0" xfId="0" applyFont="true"/>
    <xf numFmtId="0" fontId="629" fillId="0" borderId="0" xfId="0" applyFont="true"/>
    <xf numFmtId="0" fontId="630" fillId="0" borderId="0" xfId="0" applyFont="true"/>
    <xf numFmtId="0" fontId="631" fillId="0" borderId="0" xfId="0" applyFont="true"/>
    <xf numFmtId="0" fontId="632" fillId="0" borderId="0" xfId="0" applyFont="true"/>
    <xf numFmtId="0" fontId="633" fillId="0" borderId="0" xfId="0" applyFont="true"/>
    <xf numFmtId="0" fontId="634" fillId="0" borderId="0" xfId="0" applyFont="true"/>
    <xf numFmtId="0" fontId="635" fillId="0" borderId="0" xfId="0" applyFont="true"/>
    <xf numFmtId="0" fontId="636" fillId="0" borderId="0" xfId="0" applyFont="true"/>
    <xf numFmtId="0" fontId="637" fillId="0" borderId="0" xfId="0" applyFont="true"/>
    <xf numFmtId="0" fontId="638" fillId="0" borderId="0" xfId="0" applyFont="true"/>
    <xf numFmtId="0" fontId="639" fillId="0" borderId="0" xfId="0" applyFont="true"/>
    <xf numFmtId="0" fontId="640" fillId="0" borderId="0" xfId="0" applyFont="true"/>
    <xf numFmtId="0" fontId="641" fillId="0" borderId="0" xfId="0" applyFont="true"/>
    <xf numFmtId="0" fontId="642" fillId="0" borderId="0" xfId="0" applyFont="true"/>
    <xf numFmtId="0" fontId="643" fillId="0" borderId="0" xfId="0" applyFont="true"/>
    <xf numFmtId="0" fontId="644" fillId="0" borderId="0" xfId="0" applyFont="true"/>
    <xf numFmtId="0" fontId="645" fillId="0" borderId="0" xfId="0" applyFont="true"/>
    <xf numFmtId="0" fontId="646" fillId="0" borderId="0" xfId="0" applyFont="true"/>
    <xf numFmtId="0" fontId="647" fillId="0" borderId="0" xfId="0" applyFont="true"/>
    <xf numFmtId="0" fontId="648" fillId="0" borderId="0" xfId="0" applyFont="true"/>
    <xf numFmtId="0" fontId="649" fillId="0" borderId="0" xfId="0" applyFont="true"/>
    <xf numFmtId="0" fontId="650" fillId="0" borderId="0" xfId="0" applyFont="true"/>
    <xf numFmtId="0" fontId="651" fillId="0" borderId="0" xfId="0" applyFont="true"/>
    <xf numFmtId="0" fontId="652" fillId="0" borderId="0" xfId="0" applyFont="true"/>
    <xf numFmtId="0" fontId="653" fillId="0" borderId="0" xfId="0" applyFont="true"/>
    <xf numFmtId="0" fontId="654" fillId="0" borderId="0" xfId="0" applyFont="true"/>
    <xf numFmtId="0" fontId="655" fillId="0" borderId="0" xfId="0" applyFont="true"/>
    <xf numFmtId="0" fontId="656" fillId="0" borderId="0" xfId="0" applyFont="true"/>
    <xf numFmtId="0" fontId="657" fillId="0" borderId="0" xfId="0" applyFont="true"/>
    <xf numFmtId="0" fontId="658" fillId="0" borderId="0" xfId="0" applyFont="true"/>
    <xf numFmtId="0" fontId="659" fillId="0" borderId="0" xfId="0" applyFont="true"/>
    <xf numFmtId="0" fontId="660" fillId="0" borderId="0" xfId="0" applyFont="true"/>
    <xf numFmtId="0" fontId="661" fillId="0" borderId="0" xfId="0" applyFont="true"/>
    <xf numFmtId="0" fontId="662" fillId="0" borderId="0" xfId="0" applyFont="true"/>
    <xf numFmtId="0" fontId="663" fillId="0" borderId="0" xfId="0" applyFont="true"/>
    <xf numFmtId="0" fontId="664" fillId="0" borderId="0" xfId="0" applyFont="true"/>
    <xf numFmtId="0" fontId="665" fillId="0" borderId="0" xfId="0" applyFont="true"/>
    <xf numFmtId="0" fontId="666" fillId="0" borderId="0" xfId="0" applyFont="true"/>
    <xf numFmtId="0" fontId="667" fillId="0" borderId="0" xfId="0" applyFont="true"/>
    <xf numFmtId="0" fontId="668" fillId="0" borderId="0" xfId="0" applyFont="true"/>
    <xf numFmtId="0" fontId="669" fillId="0" borderId="0" xfId="0" applyFont="true"/>
    <xf numFmtId="0" fontId="670" fillId="0" borderId="0" xfId="0" applyFont="true"/>
    <xf numFmtId="0" fontId="671" fillId="0" borderId="0" xfId="0" applyFont="true"/>
    <xf numFmtId="0" fontId="672" fillId="0" borderId="0" xfId="0" applyFont="true"/>
    <xf numFmtId="0" fontId="673" fillId="0" borderId="0" xfId="0" applyFont="true"/>
    <xf numFmtId="0" fontId="674" fillId="0" borderId="0" xfId="0" applyFont="true"/>
    <xf numFmtId="0" fontId="675" fillId="0" borderId="0" xfId="0" applyFont="true"/>
    <xf numFmtId="0" fontId="676" fillId="0" borderId="0" xfId="0" applyFont="true"/>
    <xf numFmtId="0" fontId="677" fillId="0" borderId="0" xfId="0" applyFont="true"/>
    <xf numFmtId="0" fontId="678" fillId="0" borderId="0" xfId="0" applyFont="true"/>
    <xf numFmtId="0" fontId="679" fillId="0" borderId="0" xfId="0" applyFont="true"/>
    <xf numFmtId="0" fontId="680" fillId="0" borderId="0" xfId="0" applyFont="true"/>
    <xf numFmtId="0" fontId="681" fillId="0" borderId="0" xfId="0" applyFont="true"/>
    <xf numFmtId="0" fontId="682" fillId="0" borderId="0" xfId="0" applyFont="true"/>
    <xf numFmtId="0" fontId="683" fillId="0" borderId="0" xfId="0" applyFont="true"/>
    <xf numFmtId="0" fontId="684" fillId="0" borderId="0" xfId="0" applyFont="true"/>
    <xf numFmtId="0" fontId="685" fillId="0" borderId="0" xfId="0" applyFont="true"/>
    <xf numFmtId="0" fontId="686" fillId="0" borderId="0" xfId="0" applyFont="true"/>
    <xf numFmtId="0" fontId="687" fillId="0" borderId="0" xfId="0" applyFont="true"/>
    <xf numFmtId="0" fontId="688" fillId="0" borderId="0" xfId="0" applyFont="true"/>
    <xf numFmtId="0" fontId="689" fillId="0" borderId="0" xfId="0" applyFont="true"/>
    <xf numFmtId="0" fontId="690" fillId="0" borderId="0" xfId="0" applyFont="true"/>
    <xf numFmtId="0" fontId="691" fillId="0" borderId="0" xfId="0" applyFont="true"/>
    <xf numFmtId="0" fontId="692" fillId="0" borderId="0" xfId="0" applyFont="true"/>
    <xf numFmtId="0" fontId="693" fillId="0" borderId="0" xfId="0" applyFont="true"/>
    <xf numFmtId="0" fontId="694" fillId="0" borderId="0" xfId="0" applyFont="true"/>
    <xf numFmtId="0" fontId="695" fillId="0" borderId="0" xfId="0" applyFont="true"/>
    <xf numFmtId="0" fontId="696" fillId="0" borderId="0" xfId="0" applyFont="true"/>
    <xf numFmtId="0" fontId="697" fillId="0" borderId="0" xfId="0" applyFont="true"/>
    <xf numFmtId="0" fontId="698" fillId="0" borderId="0" xfId="0" applyFont="true"/>
    <xf numFmtId="0" fontId="699" fillId="0" borderId="0" xfId="0" applyFont="true"/>
    <xf numFmtId="0" fontId="700" fillId="0" borderId="0" xfId="0" applyFont="true"/>
    <xf numFmtId="0" fontId="701" fillId="0" borderId="0" xfId="0" applyFont="true"/>
    <xf numFmtId="0" fontId="702" fillId="0" borderId="0" xfId="0" applyFont="true"/>
    <xf numFmtId="0" fontId="703" fillId="0" borderId="0" xfId="0" applyFont="true"/>
    <xf numFmtId="0" fontId="704" fillId="0" borderId="0" xfId="0" applyFont="true"/>
    <xf numFmtId="0" fontId="705" fillId="0" borderId="0" xfId="0" applyFont="true"/>
    <xf numFmtId="0" fontId="706" fillId="0" borderId="0" xfId="0" applyFont="true"/>
    <xf numFmtId="0" fontId="707" fillId="0" borderId="0" xfId="0" applyFont="true"/>
    <xf numFmtId="0" fontId="708" fillId="0" borderId="0" xfId="0" applyFont="true"/>
    <xf numFmtId="0" fontId="709" fillId="0" borderId="0" xfId="0" applyFont="true"/>
    <xf numFmtId="0" fontId="710" fillId="0" borderId="0" xfId="0" applyFont="true"/>
    <xf numFmtId="0" fontId="711" fillId="0" borderId="0" xfId="0" applyFont="true"/>
    <xf numFmtId="0" fontId="712" fillId="0" borderId="0" xfId="0" applyFont="true"/>
    <xf numFmtId="0" fontId="713" fillId="0" borderId="0" xfId="0" applyFont="true"/>
    <xf numFmtId="0" fontId="714" fillId="0" borderId="0" xfId="0" applyFont="true"/>
    <xf numFmtId="0" fontId="715" fillId="0" borderId="0" xfId="0" applyFont="true"/>
    <xf numFmtId="0" fontId="716" fillId="0" borderId="0" xfId="0" applyFont="true"/>
    <xf numFmtId="0" fontId="717" fillId="0" borderId="0" xfId="0" applyFont="true"/>
    <xf numFmtId="0" fontId="718" fillId="0" borderId="0" xfId="0" applyFont="true"/>
    <xf numFmtId="0" fontId="719" fillId="0" borderId="0" xfId="0" applyFont="true"/>
    <xf numFmtId="0" fontId="720" fillId="0" borderId="0" xfId="0" applyFont="true"/>
    <xf numFmtId="0" fontId="721" fillId="0" borderId="0" xfId="0" applyFont="true"/>
    <xf numFmtId="0" fontId="722" fillId="0" borderId="0" xfId="0" applyFont="true"/>
    <xf numFmtId="0" fontId="723" fillId="0" borderId="0" xfId="0" applyFont="true"/>
    <xf numFmtId="0" fontId="724" fillId="0" borderId="0" xfId="0" applyFont="true"/>
    <xf numFmtId="0" fontId="725" fillId="0" borderId="0" xfId="0" applyFont="true"/>
    <xf numFmtId="0" fontId="726" fillId="0" borderId="0" xfId="0" applyFont="true"/>
    <xf numFmtId="0" fontId="727" fillId="0" borderId="0" xfId="0" applyFont="true"/>
    <xf numFmtId="0" fontId="728" fillId="0" borderId="0" xfId="0" applyFont="true"/>
    <xf numFmtId="0" fontId="729" fillId="0" borderId="0" xfId="0" applyFont="true"/>
    <xf numFmtId="0" fontId="730" fillId="0" borderId="0" xfId="0" applyFont="true"/>
    <xf numFmtId="0" fontId="731" fillId="0" borderId="0" xfId="0" applyFont="true"/>
    <xf numFmtId="0" fontId="732" fillId="0" borderId="0" xfId="0" applyFont="true"/>
    <xf numFmtId="0" fontId="733" fillId="0" borderId="0" xfId="0" applyFont="true"/>
    <xf numFmtId="0" fontId="734" fillId="0" borderId="0" xfId="0" applyFont="true"/>
    <xf numFmtId="0" fontId="735" fillId="0" borderId="0" xfId="0" applyFont="true"/>
    <xf numFmtId="0" fontId="736" fillId="0" borderId="0" xfId="0" applyFont="true"/>
    <xf numFmtId="0" fontId="737" fillId="0" borderId="0" xfId="0" applyFont="true"/>
    <xf numFmtId="0" fontId="738" fillId="0" borderId="0" xfId="0" applyFont="true"/>
    <xf numFmtId="0" fontId="739" fillId="0" borderId="0" xfId="0" applyFont="true"/>
    <xf numFmtId="0" fontId="740" fillId="0" borderId="0" xfId="0" applyFont="true"/>
    <xf numFmtId="0" fontId="741" fillId="0" borderId="0" xfId="0" applyFont="true"/>
    <xf numFmtId="0" fontId="742" fillId="0" borderId="0" xfId="0" applyFont="true"/>
    <xf numFmtId="0" fontId="743" fillId="0" borderId="0" xfId="0" applyFont="true"/>
    <xf numFmtId="0" fontId="744" fillId="0" borderId="0" xfId="0" applyFont="true"/>
    <xf numFmtId="0" fontId="745" fillId="0" borderId="0" xfId="0" applyFont="true"/>
    <xf numFmtId="0" fontId="746" fillId="0" borderId="0" xfId="0" applyFont="true"/>
    <xf numFmtId="0" fontId="747" fillId="0" borderId="0" xfId="0" applyFont="true"/>
    <xf numFmtId="0" fontId="748" fillId="0" borderId="0" xfId="0" applyFont="true"/>
    <xf numFmtId="0" fontId="749" fillId="0" borderId="0" xfId="0" applyFont="true"/>
    <xf numFmtId="0" fontId="750" fillId="0" borderId="0" xfId="0" applyFont="true"/>
    <xf numFmtId="0" fontId="751" fillId="0" borderId="0" xfId="0" applyFont="true"/>
    <xf numFmtId="0" fontId="752" fillId="0" borderId="0" xfId="0" applyFont="true"/>
    <xf numFmtId="0" fontId="753" fillId="0" borderId="0" xfId="0" applyFont="true"/>
    <xf numFmtId="0" fontId="754" fillId="0" borderId="0" xfId="0" applyFont="true"/>
    <xf numFmtId="0" fontId="755" fillId="0" borderId="0" xfId="0" applyFont="true"/>
    <xf numFmtId="0" fontId="756" fillId="0" borderId="0" xfId="0" applyFont="true"/>
    <xf numFmtId="0" fontId="757" fillId="0" borderId="0" xfId="0" applyFont="true"/>
    <xf numFmtId="0" fontId="758" fillId="0" borderId="0" xfId="0" applyFont="true"/>
    <xf numFmtId="0" fontId="759" fillId="0" borderId="0" xfId="0" applyFont="true"/>
    <xf numFmtId="0" fontId="760" fillId="0" borderId="0" xfId="0" applyFont="true"/>
    <xf numFmtId="0" fontId="761" fillId="0" borderId="0" xfId="0" applyFont="true"/>
    <xf numFmtId="0" fontId="762" fillId="0" borderId="0" xfId="0" applyFont="true"/>
    <xf numFmtId="0" fontId="763" fillId="0" borderId="0" xfId="0" applyFont="true"/>
    <xf numFmtId="0" fontId="764" fillId="0" borderId="0" xfId="0" applyFont="true"/>
    <xf numFmtId="0" fontId="765" fillId="0" borderId="0" xfId="0" applyFont="true"/>
    <xf numFmtId="0" fontId="766" fillId="0" borderId="0" xfId="0" applyFont="true"/>
    <xf numFmtId="0" fontId="767" fillId="0" borderId="0" xfId="0" applyFont="true"/>
    <xf numFmtId="0" fontId="768" fillId="0" borderId="0" xfId="0" applyFont="true"/>
    <xf numFmtId="0" fontId="769" fillId="0" borderId="0" xfId="0" applyFont="true"/>
    <xf numFmtId="0" fontId="770" fillId="0" borderId="0" xfId="0" applyFont="true"/>
    <xf numFmtId="0" fontId="771" fillId="0" borderId="0" xfId="0" applyFont="true"/>
    <xf numFmtId="0" fontId="772" fillId="0" borderId="0" xfId="0" applyFont="true"/>
    <xf numFmtId="0" fontId="773" fillId="0" borderId="0" xfId="0" applyFont="true"/>
    <xf numFmtId="0" fontId="774" fillId="0" borderId="0" xfId="0" applyFont="true"/>
    <xf numFmtId="0" fontId="775" fillId="0" borderId="0" xfId="0" applyFont="true"/>
    <xf numFmtId="0" fontId="776" fillId="0" borderId="0" xfId="0" applyFont="true"/>
    <xf numFmtId="0" fontId="777" fillId="0" borderId="0" xfId="0" applyFont="true"/>
    <xf numFmtId="0" fontId="778" fillId="0" borderId="0" xfId="0" applyFont="true"/>
    <xf numFmtId="0" fontId="779" fillId="0" borderId="0" xfId="0" applyFont="true"/>
    <xf numFmtId="0" fontId="780" fillId="0" borderId="0" xfId="0" applyFont="true"/>
    <xf numFmtId="0" fontId="781" fillId="0" borderId="0" xfId="0" applyFont="true"/>
    <xf numFmtId="0" fontId="782" fillId="0" borderId="0" xfId="0" applyFont="true"/>
    <xf numFmtId="0" fontId="783" fillId="0" borderId="0" xfId="0" applyFont="true"/>
    <xf numFmtId="0" fontId="784" fillId="0" borderId="0" xfId="0" applyFont="true"/>
    <xf numFmtId="0" fontId="785" fillId="0" borderId="0" xfId="0" applyFont="true"/>
    <xf numFmtId="0" fontId="786" fillId="0" borderId="0" xfId="0" applyFont="true"/>
    <xf numFmtId="0" fontId="787" fillId="0" borderId="0" xfId="0" applyFont="true"/>
    <xf numFmtId="0" fontId="788" fillId="0" borderId="0" xfId="0" applyFont="true"/>
    <xf numFmtId="0" fontId="789" fillId="0" borderId="0" xfId="0" applyFont="true"/>
    <xf numFmtId="0" fontId="790" fillId="0" borderId="0" xfId="0" applyFont="true"/>
    <xf numFmtId="0" fontId="791" fillId="0" borderId="0" xfId="0" applyFont="true"/>
    <xf numFmtId="0" fontId="792" fillId="0" borderId="0" xfId="0" applyFont="true"/>
    <xf numFmtId="0" fontId="793" fillId="0" borderId="0" xfId="0" applyFont="true"/>
    <xf numFmtId="0" fontId="794" fillId="0" borderId="0" xfId="0" applyFont="true"/>
    <xf numFmtId="0" fontId="795" fillId="0" borderId="0" xfId="0" applyFont="true"/>
    <xf numFmtId="0" fontId="796" fillId="0" borderId="0" xfId="0" applyFont="true"/>
    <xf numFmtId="0" fontId="797" fillId="0" borderId="0" xfId="0" applyFont="true"/>
    <xf numFmtId="0" fontId="798" fillId="0" borderId="0" xfId="0" applyFont="true"/>
    <xf numFmtId="0" fontId="799" fillId="0" borderId="0" xfId="0" applyFont="true"/>
    <xf numFmtId="0" fontId="800" fillId="0" borderId="0" xfId="0" applyFont="true"/>
    <xf numFmtId="0" fontId="801" fillId="0" borderId="0" xfId="0" applyFont="true"/>
    <xf numFmtId="0" fontId="802" fillId="0" borderId="0" xfId="0" applyFont="true"/>
    <xf numFmtId="0" fontId="803" fillId="0" borderId="0" xfId="0" applyFont="true"/>
    <xf numFmtId="0" fontId="804" fillId="0" borderId="0" xfId="0" applyFont="true"/>
    <xf numFmtId="0" fontId="805" fillId="0" borderId="0" xfId="0" applyFont="true"/>
    <xf numFmtId="0" fontId="806" fillId="0" borderId="0" xfId="0" applyFont="true"/>
    <xf numFmtId="0" fontId="807" fillId="0" borderId="0" xfId="0" applyFont="true"/>
    <xf numFmtId="0" fontId="808" fillId="0" borderId="0" xfId="0" applyFont="true"/>
    <xf numFmtId="0" fontId="809" fillId="0" borderId="0" xfId="0" applyFont="true"/>
    <xf numFmtId="0" fontId="810" fillId="0" borderId="0" xfId="0" applyFont="true"/>
    <xf numFmtId="0" fontId="811" fillId="0" borderId="0" xfId="0" applyFont="true"/>
    <xf numFmtId="0" fontId="812" fillId="0" borderId="0" xfId="0" applyFont="true"/>
    <xf numFmtId="0" fontId="813" fillId="0" borderId="0" xfId="0" applyFont="true"/>
    <xf numFmtId="0" fontId="814" fillId="0" borderId="0" xfId="0" applyFont="true"/>
    <xf numFmtId="0" fontId="815" fillId="0" borderId="0" xfId="0" applyFont="true"/>
    <xf numFmtId="0" fontId="816" fillId="0" borderId="0" xfId="0" applyFont="true"/>
    <xf numFmtId="0" fontId="817" fillId="0" borderId="0" xfId="0" applyFont="true"/>
    <xf numFmtId="0" fontId="818" fillId="0" borderId="0" xfId="0" applyFont="true"/>
    <xf numFmtId="0" fontId="819" fillId="0" borderId="0" xfId="0" applyFont="true"/>
    <xf numFmtId="0" fontId="820" fillId="0" borderId="0" xfId="0" applyFont="true"/>
    <xf numFmtId="0" fontId="821" fillId="0" borderId="0" xfId="0" applyFont="true"/>
    <xf numFmtId="0" fontId="822" fillId="0" borderId="0" xfId="0" applyFont="true"/>
    <xf numFmtId="0" fontId="823" fillId="0" borderId="0" xfId="0" applyFont="true"/>
    <xf numFmtId="0" fontId="824" fillId="0" borderId="0" xfId="0" applyFont="true"/>
    <xf numFmtId="0" fontId="825" fillId="0" borderId="0" xfId="0" applyFont="true"/>
    <xf numFmtId="0" fontId="826" fillId="0" borderId="0" xfId="0" applyFont="true"/>
    <xf numFmtId="0" fontId="827" fillId="0" borderId="0" xfId="0" applyFont="true"/>
    <xf numFmtId="0" fontId="828" fillId="0" borderId="0" xfId="0" applyFont="true"/>
    <xf numFmtId="0" fontId="829" fillId="0" borderId="0" xfId="0" applyFont="true"/>
    <xf numFmtId="0" fontId="830" fillId="0" borderId="0" xfId="0" applyFont="true"/>
    <xf numFmtId="0" fontId="831" fillId="0" borderId="0" xfId="0" applyFont="true"/>
    <xf numFmtId="0" fontId="832" fillId="0" borderId="0" xfId="0" applyFont="true"/>
    <xf numFmtId="0" fontId="833" fillId="0" borderId="0" xfId="0" applyFont="true"/>
    <xf numFmtId="0" fontId="834" fillId="0" borderId="0" xfId="0" applyFont="true"/>
    <xf numFmtId="0" fontId="835" fillId="0" borderId="0" xfId="0" applyFont="true"/>
    <xf numFmtId="0" fontId="836" fillId="0" borderId="0" xfId="0" applyFont="true"/>
    <xf numFmtId="0" fontId="837" fillId="0" borderId="0" xfId="0" applyFont="true"/>
    <xf numFmtId="0" fontId="838" fillId="0" borderId="0" xfId="0" applyFont="true"/>
    <xf numFmtId="0" fontId="839" fillId="0" borderId="0" xfId="0" applyFont="true"/>
    <xf numFmtId="0" fontId="840" fillId="0" borderId="0" xfId="0" applyFont="true"/>
    <xf numFmtId="0" fontId="841" fillId="0" borderId="0" xfId="0" applyFont="true"/>
    <xf numFmtId="0" fontId="842" fillId="0" borderId="0" xfId="0" applyFont="true"/>
    <xf numFmtId="0" fontId="843" fillId="0" borderId="0" xfId="0" applyFont="true"/>
    <xf numFmtId="0" fontId="844" fillId="0" borderId="0" xfId="0" applyFont="true"/>
    <xf numFmtId="0" fontId="845" fillId="0" borderId="0" xfId="0" applyFont="true"/>
    <xf numFmtId="0" fontId="846" fillId="0" borderId="0" xfId="0" applyFont="true"/>
    <xf numFmtId="0" fontId="847" fillId="0" borderId="0" xfId="0" applyFont="true"/>
    <xf numFmtId="0" fontId="848" fillId="0" borderId="0" xfId="0" applyFont="true"/>
    <xf numFmtId="0" fontId="849" fillId="0" borderId="0" xfId="0" applyFont="true"/>
    <xf numFmtId="0" fontId="850" fillId="0" borderId="0" xfId="0" applyFont="true"/>
    <xf numFmtId="0" fontId="851" fillId="0" borderId="0" xfId="0" applyFont="true"/>
    <xf numFmtId="0" fontId="852" fillId="0" borderId="0" xfId="0" applyFont="true"/>
    <xf numFmtId="0" fontId="853" fillId="0" borderId="0" xfId="0" applyFont="true"/>
    <xf numFmtId="0" fontId="854" fillId="0" borderId="0" xfId="0" applyFont="true"/>
    <xf numFmtId="0" fontId="855" fillId="0" borderId="0" xfId="0" applyFont="true"/>
    <xf numFmtId="0" fontId="856" fillId="0" borderId="0" xfId="0" applyFont="true"/>
    <xf numFmtId="0" fontId="857" fillId="0" borderId="0" xfId="0" applyFont="true"/>
    <xf numFmtId="0" fontId="858" fillId="0" borderId="0" xfId="0" applyFont="true"/>
    <xf numFmtId="0" fontId="859" fillId="0" borderId="0" xfId="0" applyFont="true"/>
    <xf numFmtId="0" fontId="860" fillId="0" borderId="0" xfId="0" applyFont="true"/>
    <xf numFmtId="0" fontId="861" fillId="0" borderId="0" xfId="0" applyFont="true"/>
    <xf numFmtId="0" fontId="862" fillId="0" borderId="0" xfId="0" applyFont="true"/>
    <xf numFmtId="0" fontId="863" fillId="0" borderId="0" xfId="0" applyFont="true"/>
    <xf numFmtId="0" fontId="864" fillId="0" borderId="0" xfId="0" applyFont="true"/>
    <xf numFmtId="0" fontId="865" fillId="0" borderId="0" xfId="0" applyFont="true"/>
    <xf numFmtId="0" fontId="866" fillId="0" borderId="0" xfId="0" applyFont="true"/>
    <xf numFmtId="0" fontId="867" fillId="0" borderId="0" xfId="0" applyFont="true"/>
    <xf numFmtId="0" fontId="868" fillId="0" borderId="0" xfId="0" applyFont="true"/>
    <xf numFmtId="0" fontId="869" fillId="0" borderId="0" xfId="0" applyFont="true"/>
    <xf numFmtId="0" fontId="870" fillId="0" borderId="0" xfId="0" applyFont="true"/>
    <xf numFmtId="0" fontId="871" fillId="0" borderId="0" xfId="0" applyFont="true"/>
    <xf numFmtId="0" fontId="872" fillId="0" borderId="0" xfId="0" applyFont="true"/>
    <xf numFmtId="0" fontId="873" fillId="0" borderId="0" xfId="0" applyFont="true"/>
    <xf numFmtId="0" fontId="874" fillId="0" borderId="0" xfId="0" applyFont="true"/>
    <xf numFmtId="0" fontId="875" fillId="0" borderId="0" xfId="0" applyFont="true"/>
    <xf numFmtId="0" fontId="876" fillId="0" borderId="0" xfId="0" applyFont="true"/>
    <xf numFmtId="0" fontId="877" fillId="0" borderId="0" xfId="0" applyFont="true"/>
    <xf numFmtId="0" fontId="878" fillId="0" borderId="0" xfId="0" applyFont="true"/>
    <xf numFmtId="0" fontId="879" fillId="0" borderId="0" xfId="0" applyFont="true"/>
    <xf numFmtId="0" fontId="880" fillId="0" borderId="0" xfId="0" applyFont="true"/>
    <xf numFmtId="0" fontId="881" fillId="0" borderId="0" xfId="0" applyFont="true"/>
    <xf numFmtId="0" fontId="882" fillId="0" borderId="0" xfId="0" applyFont="true"/>
    <xf numFmtId="0" fontId="883" fillId="0" borderId="0" xfId="0" applyFont="true"/>
    <xf numFmtId="0" fontId="884" fillId="0" borderId="0" xfId="0" applyFont="true"/>
    <xf numFmtId="0" fontId="885" fillId="0" borderId="0" xfId="0" applyFont="true"/>
    <xf numFmtId="0" fontId="886" fillId="0" borderId="0" xfId="0" applyFont="true"/>
    <xf numFmtId="0" fontId="887" fillId="0" borderId="0" xfId="0" applyFont="true"/>
    <xf numFmtId="0" fontId="888" fillId="0" borderId="0" xfId="0" applyFont="true"/>
    <xf numFmtId="0" fontId="889" fillId="0" borderId="0" xfId="0" applyFont="true"/>
    <xf numFmtId="0" fontId="890" fillId="0" borderId="0" xfId="0" applyFont="true"/>
    <xf numFmtId="0" fontId="891" fillId="0" borderId="0" xfId="0" applyFont="true"/>
    <xf numFmtId="0" fontId="892" fillId="0" borderId="0" xfId="0" applyFont="true"/>
    <xf numFmtId="0" fontId="893" fillId="0" borderId="0" xfId="0" applyFont="true"/>
    <xf numFmtId="0" fontId="894" fillId="0" borderId="0" xfId="0" applyFont="true"/>
    <xf numFmtId="0" fontId="895" fillId="0" borderId="0" xfId="0" applyFont="true"/>
    <xf numFmtId="0" fontId="896" fillId="0" borderId="0" xfId="0" applyFont="true"/>
    <xf numFmtId="0" fontId="897" fillId="0" borderId="0" xfId="0" applyFont="true"/>
    <xf numFmtId="0" fontId="898" fillId="0" borderId="0" xfId="0" applyFont="true"/>
    <xf numFmtId="0" fontId="899" fillId="0" borderId="0" xfId="0" applyFont="true"/>
    <xf numFmtId="0" fontId="900" fillId="0" borderId="0" xfId="0" applyFont="true"/>
    <xf numFmtId="0" fontId="901" fillId="0" borderId="0" xfId="0" applyFont="true"/>
    <xf numFmtId="0" fontId="902" fillId="0" borderId="0" xfId="0" applyFont="true"/>
    <xf numFmtId="0" fontId="903" fillId="0" borderId="0" xfId="0" applyFont="true"/>
    <xf numFmtId="0" fontId="904" fillId="0" borderId="0" xfId="0" applyFont="true"/>
    <xf numFmtId="0" fontId="905" fillId="0" borderId="0" xfId="0" applyFont="true"/>
    <xf numFmtId="0" fontId="906" fillId="0" borderId="0" xfId="0" applyFont="true"/>
    <xf numFmtId="0" fontId="907" fillId="0" borderId="0" xfId="0" applyFont="true"/>
    <xf numFmtId="0" fontId="908" fillId="0" borderId="0" xfId="0" applyFont="true"/>
    <xf numFmtId="0" fontId="909" fillId="0" borderId="0" xfId="0" applyFont="true"/>
    <xf numFmtId="0" fontId="910" fillId="0" borderId="0" xfId="0" applyFont="true"/>
    <xf numFmtId="0" fontId="911" fillId="0" borderId="0" xfId="0" applyFont="true"/>
    <xf numFmtId="0" fontId="912" fillId="0" borderId="0" xfId="0" applyFont="true"/>
    <xf numFmtId="0" fontId="913" fillId="0" borderId="0" xfId="0" applyFont="true"/>
    <xf numFmtId="0" fontId="914" fillId="0" borderId="0" xfId="0" applyFont="true"/>
    <xf numFmtId="0" fontId="915" fillId="0" borderId="0" xfId="0" applyFont="true"/>
    <xf numFmtId="0" fontId="916" fillId="0" borderId="0" xfId="0" applyFont="true"/>
    <xf numFmtId="0" fontId="917" fillId="0" borderId="0" xfId="0" applyFont="true"/>
    <xf numFmtId="0" fontId="918" fillId="0" borderId="0" xfId="0" applyFont="true"/>
    <xf numFmtId="0" fontId="919" fillId="0" borderId="0" xfId="0" applyFont="true"/>
    <xf numFmtId="0" fontId="920" fillId="0" borderId="0" xfId="0" applyFont="true"/>
    <xf numFmtId="0" fontId="921" fillId="0" borderId="0" xfId="0" applyFont="true"/>
    <xf numFmtId="0" fontId="922" fillId="0" borderId="0" xfId="0" applyFont="true"/>
    <xf numFmtId="0" fontId="923" fillId="0" borderId="0" xfId="0" applyFont="true"/>
    <xf numFmtId="0" fontId="924" fillId="0" borderId="0" xfId="0" applyFont="true"/>
    <xf numFmtId="0" fontId="925" fillId="0" borderId="0" xfId="0" applyFont="true"/>
    <xf numFmtId="0" fontId="926" fillId="0" borderId="0" xfId="0" applyFont="true"/>
    <xf numFmtId="0" fontId="927" fillId="0" borderId="0" xfId="0" applyFont="true"/>
    <xf numFmtId="0" fontId="928" fillId="0" borderId="0" xfId="0" applyFont="true"/>
    <xf numFmtId="0" fontId="929" fillId="0" borderId="0" xfId="0" applyFont="true"/>
    <xf numFmtId="0" fontId="930" fillId="0" borderId="0" xfId="0" applyFont="true"/>
    <xf numFmtId="0" fontId="931" fillId="0" borderId="0" xfId="0" applyFont="true"/>
    <xf numFmtId="0" fontId="932" fillId="0" borderId="0" xfId="0" applyFont="true"/>
    <xf numFmtId="0" fontId="933" fillId="0" borderId="0" xfId="0" applyFont="true"/>
    <xf numFmtId="0" fontId="934" fillId="0" borderId="0" xfId="0" applyFont="true"/>
    <xf numFmtId="0" fontId="935" fillId="0" borderId="0" xfId="0" applyFont="true"/>
    <xf numFmtId="0" fontId="936" fillId="0" borderId="0" xfId="0" applyFont="true"/>
    <xf numFmtId="0" fontId="937" fillId="0" borderId="0" xfId="0" applyFont="true"/>
    <xf numFmtId="0" fontId="938" fillId="0" borderId="0" xfId="0" applyFont="true"/>
    <xf numFmtId="0" fontId="939" fillId="0" borderId="0" xfId="0" applyFont="true"/>
    <xf numFmtId="0" fontId="940" fillId="0" borderId="0" xfId="0" applyFont="true"/>
    <xf numFmtId="0" fontId="941" fillId="0" borderId="0" xfId="0" applyFont="true"/>
    <xf numFmtId="0" fontId="942" fillId="0" borderId="0" xfId="0" applyFont="true"/>
    <xf numFmtId="0" fontId="943" fillId="0" borderId="0" xfId="0" applyFont="true"/>
    <xf numFmtId="0" fontId="944" fillId="0" borderId="0" xfId="0" applyFont="true"/>
    <xf numFmtId="0" fontId="945" fillId="0" borderId="0" xfId="0" applyFont="true"/>
    <xf numFmtId="0" fontId="946" fillId="0" borderId="0" xfId="0" applyFont="true"/>
    <xf numFmtId="0" fontId="947" fillId="0" borderId="0" xfId="0" applyFont="true"/>
    <xf numFmtId="0" fontId="948" fillId="0" borderId="0" xfId="0" applyFont="true"/>
    <xf numFmtId="0" fontId="949" fillId="0" borderId="0" xfId="0" applyFont="true"/>
    <xf numFmtId="0" fontId="950" fillId="0" borderId="0" xfId="0" applyFont="true"/>
    <xf numFmtId="0" fontId="951" fillId="0" borderId="0" xfId="0" applyFont="true"/>
    <xf numFmtId="0" fontId="952" fillId="0" borderId="0" xfId="0" applyFont="true"/>
    <xf numFmtId="0" fontId="953" fillId="0" borderId="0" xfId="0" applyFont="true"/>
    <xf numFmtId="0" fontId="954" fillId="0" borderId="0" xfId="0" applyFont="true"/>
    <xf numFmtId="0" fontId="955" fillId="0" borderId="0" xfId="0" applyFont="true"/>
    <xf numFmtId="0" fontId="956" fillId="0" borderId="0" xfId="0" applyFont="true"/>
    <xf numFmtId="0" fontId="957" fillId="0" borderId="0" xfId="0" applyFont="true"/>
    <xf numFmtId="0" fontId="958" fillId="0" borderId="0" xfId="0" applyFont="true"/>
    <xf numFmtId="0" fontId="959" fillId="0" borderId="0" xfId="0" applyFont="true"/>
    <xf numFmtId="0" fontId="960" fillId="0" borderId="0" xfId="0" applyFont="true"/>
    <xf numFmtId="0" fontId="961" fillId="0" borderId="0" xfId="0" applyFont="true"/>
    <xf numFmtId="0" fontId="962" fillId="0" borderId="0" xfId="0" applyFont="true"/>
    <xf numFmtId="0" fontId="963" fillId="0" borderId="0" xfId="0" applyFont="true"/>
    <xf numFmtId="0" fontId="964" fillId="0" borderId="0" xfId="0" applyFont="true"/>
    <xf numFmtId="0" fontId="965" fillId="0" borderId="0" xfId="0" applyFont="true"/>
    <xf numFmtId="0" fontId="966" fillId="0" borderId="0" xfId="0" applyFont="true"/>
    <xf numFmtId="0" fontId="967" fillId="0" borderId="0" xfId="0" applyFont="true"/>
    <xf numFmtId="0" fontId="968" fillId="0" borderId="0" xfId="0" applyFont="true"/>
    <xf numFmtId="0" fontId="969" fillId="0" borderId="0" xfId="0" applyFont="true"/>
    <xf numFmtId="0" fontId="970" fillId="0" borderId="0" xfId="0" applyFont="true"/>
    <xf numFmtId="0" fontId="971" fillId="0" borderId="0" xfId="0" applyFont="true"/>
    <xf numFmtId="0" fontId="972" fillId="0" borderId="0" xfId="0" applyFont="true"/>
    <xf numFmtId="0" fontId="973" fillId="0" borderId="0" xfId="0" applyFont="true"/>
    <xf numFmtId="0" fontId="974" fillId="0" borderId="0" xfId="0" applyFont="true"/>
    <xf numFmtId="0" fontId="975" fillId="0" borderId="0" xfId="0" applyFont="true"/>
    <xf numFmtId="0" fontId="976" fillId="0" borderId="0" xfId="0" applyFont="true"/>
    <xf numFmtId="0" fontId="977" fillId="0" borderId="0" xfId="0" applyFont="true"/>
    <xf numFmtId="0" fontId="978" fillId="0" borderId="0" xfId="0" applyFont="true"/>
    <xf numFmtId="0" fontId="979" fillId="0" borderId="0" xfId="0" applyFont="true"/>
    <xf numFmtId="0" fontId="980" fillId="0" borderId="0" xfId="0" applyFont="true"/>
    <xf numFmtId="0" fontId="981" fillId="0" borderId="0" xfId="0" applyFont="true"/>
    <xf numFmtId="0" fontId="982" fillId="0" borderId="0" xfId="0" applyFont="true"/>
    <xf numFmtId="0" fontId="983" fillId="0" borderId="0" xfId="0" applyFont="true"/>
    <xf numFmtId="0" fontId="984" fillId="0" borderId="0" xfId="0" applyFont="true"/>
    <xf numFmtId="0" fontId="985" fillId="0" borderId="0" xfId="0" applyFont="true"/>
    <xf numFmtId="0" fontId="986" fillId="0" borderId="0" xfId="0" applyFont="true"/>
    <xf numFmtId="0" fontId="987" fillId="0" borderId="0" xfId="0" applyFont="true"/>
    <xf numFmtId="0" fontId="988" fillId="0" borderId="0" xfId="0" applyFont="true"/>
    <xf numFmtId="0" fontId="989" fillId="0" borderId="0" xfId="0" applyFont="true"/>
    <xf numFmtId="0" fontId="990" fillId="0" borderId="0" xfId="0" applyFont="true"/>
    <xf numFmtId="0" fontId="991" fillId="0" borderId="0" xfId="0" applyFont="true"/>
    <xf numFmtId="0" fontId="992" fillId="0" borderId="0" xfId="0" applyFont="true"/>
    <xf numFmtId="0" fontId="993" fillId="0" borderId="0" xfId="0" applyFont="true"/>
    <xf numFmtId="0" fontId="994" fillId="0" borderId="0" xfId="0" applyFont="true"/>
    <xf numFmtId="0" fontId="995" fillId="0" borderId="0" xfId="0" applyFont="true"/>
    <xf numFmtId="0" fontId="996" fillId="0" borderId="0" xfId="0" applyFont="true"/>
    <xf numFmtId="0" fontId="997" fillId="0" borderId="0" xfId="0" applyFont="true"/>
    <xf numFmtId="0" fontId="998" fillId="0" borderId="0" xfId="0" applyFont="true"/>
    <xf numFmtId="0" fontId="999" fillId="0" borderId="0" xfId="0" applyFont="true"/>
    <xf numFmtId="0" fontId="1000" fillId="0" borderId="0" xfId="0" applyFont="true"/>
    <xf numFmtId="0" fontId="1001" fillId="0" borderId="0" xfId="0" applyFont="true"/>
    <xf numFmtId="0" fontId="1002" fillId="0" borderId="0" xfId="0" applyFont="true"/>
    <xf numFmtId="0" fontId="1003" fillId="0" borderId="0" xfId="0" applyFont="true"/>
    <xf numFmtId="0" fontId="1004" fillId="0" borderId="0" xfId="0" applyFont="true"/>
    <xf numFmtId="0" fontId="1005" fillId="0" borderId="0" xfId="0" applyFont="true"/>
    <xf numFmtId="0" fontId="1006" fillId="0" borderId="0" xfId="0" applyFont="true"/>
    <xf numFmtId="0" fontId="1007" fillId="0" borderId="0" xfId="0" applyFont="true"/>
    <xf numFmtId="0" fontId="1008" fillId="0" borderId="0" xfId="0" applyFont="true"/>
    <xf numFmtId="0" fontId="1009" fillId="0" borderId="0" xfId="0" applyFont="true"/>
    <xf numFmtId="0" fontId="1010" fillId="0" borderId="0" xfId="0" applyFont="true"/>
    <xf numFmtId="0" fontId="1011" fillId="0" borderId="0" xfId="0" applyFont="true"/>
    <xf numFmtId="0" fontId="1012" fillId="0" borderId="0" xfId="0" applyFont="true"/>
    <xf numFmtId="0" fontId="1013" fillId="0" borderId="0" xfId="0" applyFont="true"/>
    <xf numFmtId="0" fontId="1014" fillId="0" borderId="0" xfId="0" applyFont="true"/>
    <xf numFmtId="0" fontId="1015" fillId="0" borderId="0" xfId="0" applyFont="true"/>
    <xf numFmtId="0" fontId="1016" fillId="0" borderId="0" xfId="0" applyFont="true"/>
    <xf numFmtId="0" fontId="1017" fillId="0" borderId="0" xfId="0" applyFont="true"/>
    <xf numFmtId="0" fontId="1018" fillId="0" borderId="0" xfId="0" applyFont="true"/>
    <xf numFmtId="0" fontId="1019" fillId="0" borderId="0" xfId="0" applyFont="true"/>
    <xf numFmtId="0" fontId="1020" fillId="0" borderId="0" xfId="0" applyFont="true"/>
    <xf numFmtId="0" fontId="1021" fillId="0" borderId="0" xfId="0" applyFont="true"/>
    <xf numFmtId="0" fontId="1022" fillId="0" borderId="0" xfId="0" applyFont="true"/>
    <xf numFmtId="0" fontId="1023" fillId="0" borderId="0" xfId="0" applyFont="true"/>
    <xf numFmtId="0" fontId="1024" fillId="0" borderId="0" xfId="0" applyFont="true"/>
    <xf numFmtId="0" fontId="1025" fillId="0" borderId="0" xfId="0" applyFont="true"/>
    <xf numFmtId="0" fontId="1026" fillId="0" borderId="0" xfId="0" applyFont="true"/>
    <xf numFmtId="0" fontId="1027" fillId="0" borderId="0" xfId="0" applyFont="true"/>
    <xf numFmtId="0" fontId="1028" fillId="0" borderId="0" xfId="0" applyFont="true"/>
    <xf numFmtId="0" fontId="1029" fillId="0" borderId="0" xfId="0" applyFont="true"/>
    <xf numFmtId="0" fontId="1030" fillId="0" borderId="0" xfId="0" applyFont="true"/>
    <xf numFmtId="0" fontId="1031" fillId="0" borderId="0" xfId="0" applyFont="true"/>
    <xf numFmtId="0" fontId="1032" fillId="0" borderId="0" xfId="0" applyFont="true"/>
    <xf numFmtId="0" fontId="1033" fillId="0" borderId="0" xfId="0" applyFont="true"/>
    <xf numFmtId="0" fontId="1034" fillId="0" borderId="0" xfId="0" applyFont="true"/>
    <xf numFmtId="0" fontId="1035" fillId="0" borderId="0" xfId="0" applyFont="true"/>
    <xf numFmtId="0" fontId="1036" fillId="0" borderId="0" xfId="0" applyFont="true"/>
    <xf numFmtId="0" fontId="1037" fillId="0" borderId="0" xfId="0" applyFont="true"/>
    <xf numFmtId="0" fontId="1038" fillId="0" borderId="0" xfId="0" applyFont="true"/>
    <xf numFmtId="0" fontId="1039" fillId="0" borderId="0" xfId="0" applyFont="true"/>
    <xf numFmtId="0" fontId="1040" fillId="0" borderId="0" xfId="0" applyFont="true"/>
    <xf numFmtId="0" fontId="1041" fillId="0" borderId="0" xfId="0" applyFont="true"/>
    <xf numFmtId="0" fontId="1042" fillId="0" borderId="0" xfId="0" applyFont="true"/>
    <xf numFmtId="0" fontId="1043" fillId="0" borderId="0" xfId="0" applyFont="true"/>
    <xf numFmtId="0" fontId="1044" fillId="0" borderId="0" xfId="0" applyFont="true"/>
    <xf numFmtId="0" fontId="1045" fillId="0" borderId="0" xfId="0" applyFont="true"/>
    <xf numFmtId="0" fontId="1046" fillId="0" borderId="0" xfId="0" applyFont="true"/>
    <xf numFmtId="0" fontId="1047" fillId="0" borderId="0" xfId="0" applyFont="true"/>
    <xf numFmtId="0" fontId="1048" fillId="0" borderId="0" xfId="0" applyFont="true"/>
    <xf numFmtId="0" fontId="1049" fillId="0" borderId="0" xfId="0" applyFont="true"/>
    <xf numFmtId="0" fontId="1050" fillId="0" borderId="0" xfId="0" applyFont="true"/>
    <xf numFmtId="0" fontId="1051" fillId="0" borderId="0" xfId="0" applyFont="true"/>
    <xf numFmtId="0" fontId="1052" fillId="0" borderId="0" xfId="0" applyFont="true"/>
    <xf numFmtId="0" fontId="1053" fillId="0" borderId="0" xfId="0" applyFont="true"/>
    <xf numFmtId="0" fontId="1054" fillId="0" borderId="0" xfId="0" applyFont="true"/>
    <xf numFmtId="0" fontId="1055" fillId="0" borderId="0" xfId="0" applyFont="true"/>
    <xf numFmtId="0" fontId="1056" fillId="0" borderId="0" xfId="0" applyFont="true"/>
    <xf numFmtId="0" fontId="1057" fillId="0" borderId="0" xfId="0" applyFont="true"/>
    <xf numFmtId="0" fontId="1058" fillId="0" borderId="0" xfId="0" applyFont="true"/>
    <xf numFmtId="0" fontId="1059" fillId="0" borderId="0" xfId="0" applyFont="true"/>
    <xf numFmtId="0" fontId="1060" fillId="0" borderId="0" xfId="0" applyFont="true"/>
    <xf numFmtId="0" fontId="1061" fillId="0" borderId="0" xfId="0" applyFont="true"/>
    <xf numFmtId="0" fontId="1062" fillId="0" borderId="0" xfId="0" applyFont="true"/>
    <xf numFmtId="0" fontId="1063" fillId="0" borderId="0" xfId="0" applyFont="true"/>
    <xf numFmtId="0" fontId="1064" fillId="0" borderId="0" xfId="0" applyFont="true"/>
    <xf numFmtId="0" fontId="1065" fillId="0" borderId="0" xfId="0" applyFont="true"/>
    <xf numFmtId="0" fontId="1066" fillId="0" borderId="0" xfId="0" applyFont="true"/>
    <xf numFmtId="0" fontId="1067" fillId="0" borderId="0" xfId="0" applyFont="true"/>
    <xf numFmtId="0" fontId="1068" fillId="0" borderId="0" xfId="0" applyFont="true"/>
    <xf numFmtId="0" fontId="1069" fillId="0" borderId="0" xfId="0" applyFont="true"/>
    <xf numFmtId="0" fontId="1070" fillId="0" borderId="0" xfId="0" applyFont="true"/>
    <xf numFmtId="0" fontId="1071" fillId="0" borderId="0" xfId="0" applyFont="true"/>
    <xf numFmtId="0" fontId="1072" fillId="0" borderId="0" xfId="0" applyFont="true"/>
    <xf numFmtId="0" fontId="1073" fillId="0" borderId="0" xfId="0" applyFont="true"/>
    <xf numFmtId="0" fontId="1074" fillId="0" borderId="0" xfId="0" applyFont="true"/>
    <xf numFmtId="0" fontId="1075" fillId="0" borderId="0" xfId="0" applyFont="true"/>
    <xf numFmtId="0" fontId="1076" fillId="0" borderId="0" xfId="0" applyFont="true"/>
    <xf numFmtId="0" fontId="1077" fillId="0" borderId="0" xfId="0" applyFont="true"/>
    <xf numFmtId="0" fontId="1078" fillId="0" borderId="0" xfId="0" applyFont="true"/>
    <xf numFmtId="0" fontId="1079" fillId="0" borderId="0" xfId="0" applyFont="true"/>
    <xf numFmtId="0" fontId="1080" fillId="0" borderId="0" xfId="0" applyFont="true"/>
    <xf numFmtId="0" fontId="1081" fillId="0" borderId="0" xfId="0" applyFont="true"/>
    <xf numFmtId="0" fontId="1082" fillId="0" borderId="0" xfId="0" applyFont="true"/>
    <xf numFmtId="0" fontId="1083" fillId="0" borderId="0" xfId="0" applyFont="true"/>
    <xf numFmtId="0" fontId="1084" fillId="0" borderId="0" xfId="0" applyFont="true"/>
    <xf numFmtId="0" fontId="1085" fillId="0" borderId="0" xfId="0" applyFont="true"/>
    <xf numFmtId="0" fontId="1086" fillId="0" borderId="0" xfId="0" applyFont="true"/>
    <xf numFmtId="0" fontId="1087" fillId="0" borderId="0" xfId="0" applyFont="true"/>
    <xf numFmtId="0" fontId="1088" fillId="0" borderId="0" xfId="0" applyFont="true"/>
    <xf numFmtId="0" fontId="1089" fillId="0" borderId="0" xfId="0" applyFont="true"/>
    <xf numFmtId="0" fontId="1090" fillId="0" borderId="0" xfId="0" applyFont="true"/>
    <xf numFmtId="0" fontId="1091" fillId="0" borderId="0" xfId="0" applyFont="true"/>
    <xf numFmtId="0" fontId="1092" fillId="0" borderId="0" xfId="0" applyFont="true"/>
    <xf numFmtId="0" fontId="1093" fillId="0" borderId="0" xfId="0" applyFont="true"/>
    <xf numFmtId="0" fontId="1094" fillId="0" borderId="0" xfId="0" applyFont="true"/>
    <xf numFmtId="0" fontId="1095" fillId="0" borderId="0" xfId="0" applyFont="true"/>
    <xf numFmtId="0" fontId="1096" fillId="0" borderId="0" xfId="0" applyFont="true"/>
    <xf numFmtId="0" fontId="1097" fillId="0" borderId="0" xfId="0" applyFont="true"/>
    <xf numFmtId="0" fontId="1098" fillId="0" borderId="0" xfId="0" applyFont="true"/>
    <xf numFmtId="0" fontId="1099" fillId="0" borderId="0" xfId="0" applyFont="true"/>
    <xf numFmtId="0" fontId="1100" fillId="0" borderId="0" xfId="0" applyFont="true"/>
    <xf numFmtId="0" fontId="1101" fillId="0" borderId="0" xfId="0" applyFont="true"/>
    <xf numFmtId="0" fontId="1102" fillId="0" borderId="0" xfId="0" applyFont="true"/>
    <xf numFmtId="0" fontId="1103" fillId="0" borderId="0" xfId="0" applyFont="true"/>
    <xf numFmtId="0" fontId="1104" fillId="0" borderId="0" xfId="0" applyFont="true"/>
    <xf numFmtId="0" fontId="1105" fillId="0" borderId="0" xfId="0" applyFont="true"/>
    <xf numFmtId="0" fontId="1106" fillId="0" borderId="0" xfId="0" applyFont="true"/>
    <xf numFmtId="0" fontId="1107" fillId="0" borderId="0" xfId="0" applyFont="true"/>
    <xf numFmtId="0" fontId="1108" fillId="0" borderId="0" xfId="0" applyFont="true"/>
    <xf numFmtId="0" fontId="1109" fillId="0" borderId="0" xfId="0" applyFont="true"/>
    <xf numFmtId="0" fontId="1110" fillId="0" borderId="0" xfId="0" applyFont="true"/>
    <xf numFmtId="0" fontId="1111" fillId="0" borderId="0" xfId="0" applyFont="true"/>
    <xf numFmtId="0" fontId="1112" fillId="0" borderId="0" xfId="0" applyFont="true"/>
    <xf numFmtId="0" fontId="1113" fillId="0" borderId="0" xfId="0" applyFont="true"/>
    <xf numFmtId="0" fontId="1114" fillId="0" borderId="0" xfId="0" applyFont="true"/>
    <xf numFmtId="0" fontId="1115" fillId="0" borderId="0" xfId="0" applyFont="true"/>
    <xf numFmtId="0" fontId="1116" fillId="0" borderId="0" xfId="0" applyFont="true"/>
    <xf numFmtId="0" fontId="1117" fillId="0" borderId="0" xfId="0" applyFont="true"/>
    <xf numFmtId="0" fontId="1118" fillId="0" borderId="0" xfId="0" applyFont="true"/>
    <xf numFmtId="0" fontId="1119" fillId="0" borderId="0" xfId="0" applyFont="true"/>
    <xf numFmtId="0" fontId="1120" fillId="0" borderId="0" xfId="0" applyFont="true"/>
    <xf numFmtId="0" fontId="1121" fillId="0" borderId="0" xfId="0" applyFont="true"/>
    <xf numFmtId="0" fontId="1122" fillId="0" borderId="0" xfId="0" applyFont="true"/>
    <xf numFmtId="0" fontId="1123" fillId="0" borderId="0" xfId="0" applyFont="true"/>
    <xf numFmtId="0" fontId="1124" fillId="0" borderId="0" xfId="0" applyFont="true"/>
    <xf numFmtId="0" fontId="1125" fillId="0" borderId="0" xfId="0" applyFont="true"/>
    <xf numFmtId="0" fontId="1126" fillId="0" borderId="0" xfId="0" applyFont="true"/>
    <xf numFmtId="0" fontId="1127" fillId="0" borderId="0" xfId="0" applyFont="true"/>
    <xf numFmtId="0" fontId="1128" fillId="0" borderId="0" xfId="0" applyFont="true"/>
    <xf numFmtId="0" fontId="1129" fillId="0" borderId="0" xfId="0" applyFont="true"/>
    <xf numFmtId="0" fontId="1130" fillId="0" borderId="0" xfId="0" applyFont="true"/>
    <xf numFmtId="0" fontId="1131" fillId="0" borderId="0" xfId="0" applyFont="true"/>
    <xf numFmtId="0" fontId="1132" fillId="0" borderId="0" xfId="0" applyFont="true"/>
    <xf numFmtId="0" fontId="1133" fillId="0" borderId="0" xfId="0" applyFont="true"/>
    <xf numFmtId="0" fontId="1134" fillId="0" borderId="0" xfId="0" applyFont="true"/>
    <xf numFmtId="0" fontId="1135" fillId="0" borderId="0" xfId="0" applyFont="true"/>
    <xf numFmtId="0" fontId="1136" fillId="0" borderId="0" xfId="0" applyFont="true"/>
    <xf numFmtId="0" fontId="1137" fillId="0" borderId="0" xfId="0" applyFont="true"/>
    <xf numFmtId="0" fontId="1138" fillId="0" borderId="0" xfId="0" applyFont="true"/>
    <xf numFmtId="0" fontId="1139" fillId="0" borderId="0" xfId="0" applyFont="true"/>
    <xf numFmtId="0" fontId="1140" fillId="0" borderId="0" xfId="0" applyFont="true"/>
    <xf numFmtId="0" fontId="1141" fillId="0" borderId="0" xfId="0" applyFont="true"/>
    <xf numFmtId="0" fontId="1142" fillId="0" borderId="0" xfId="0" applyFont="true"/>
    <xf numFmtId="0" fontId="1143" fillId="0" borderId="0" xfId="0" applyFont="true"/>
    <xf numFmtId="0" fontId="1144" fillId="0" borderId="0" xfId="0" applyFont="true"/>
    <xf numFmtId="0" fontId="1145" fillId="0" borderId="0" xfId="0" applyFont="true"/>
    <xf numFmtId="0" fontId="1146" fillId="0" borderId="0" xfId="0" applyFont="true"/>
    <xf numFmtId="0" fontId="1147" fillId="0" borderId="0" xfId="0" applyFont="true"/>
    <xf numFmtId="0" fontId="1148" fillId="0" borderId="0" xfId="0" applyFont="true"/>
    <xf numFmtId="0" fontId="1149" fillId="0" borderId="0" xfId="0" applyFont="true"/>
    <xf numFmtId="0" fontId="1150" fillId="0" borderId="0" xfId="0" applyFont="true"/>
    <xf numFmtId="0" fontId="1151" fillId="0" borderId="0" xfId="0" applyFont="true"/>
    <xf numFmtId="0" fontId="1152" fillId="0" borderId="0" xfId="0" applyFont="true"/>
    <xf numFmtId="0" fontId="1153" fillId="0" borderId="0" xfId="0" applyFont="true"/>
    <xf numFmtId="0" fontId="1154" fillId="0" borderId="0" xfId="0" applyFont="true"/>
    <xf numFmtId="0" fontId="1155" fillId="0" borderId="0" xfId="0" applyFont="true"/>
    <xf numFmtId="0" fontId="1156" fillId="0" borderId="0" xfId="0" applyFont="true"/>
    <xf numFmtId="0" fontId="1157" fillId="0" borderId="0" xfId="0" applyFont="true"/>
    <xf numFmtId="0" fontId="1158" fillId="0" borderId="0" xfId="0" applyFont="true"/>
    <xf numFmtId="0" fontId="1159" fillId="0" borderId="0" xfId="0" applyFont="true"/>
    <xf numFmtId="0" fontId="1160" fillId="0" borderId="0" xfId="0" applyFont="true"/>
    <xf numFmtId="0" fontId="1161" fillId="0" borderId="0" xfId="0" applyFont="true"/>
    <xf numFmtId="0" fontId="1162" fillId="0" borderId="0" xfId="0" applyFont="true"/>
    <xf numFmtId="0" fontId="1163" fillId="0" borderId="0" xfId="0" applyFont="true"/>
    <xf numFmtId="0" fontId="1164" fillId="0" borderId="0" xfId="0" applyFont="true"/>
    <xf numFmtId="0" fontId="1165" fillId="0" borderId="0" xfId="0" applyFont="true"/>
    <xf numFmtId="0" fontId="1166" fillId="0" borderId="0" xfId="0" applyFont="true"/>
    <xf numFmtId="0" fontId="1167" fillId="0" borderId="0" xfId="0" applyFont="true"/>
    <xf numFmtId="0" fontId="1168" fillId="0" borderId="0" xfId="0" applyFont="true"/>
    <xf numFmtId="0" fontId="1169" fillId="0" borderId="0" xfId="0" applyFont="true"/>
    <xf numFmtId="0" fontId="1170" fillId="0" borderId="0" xfId="0" applyFont="true"/>
    <xf numFmtId="0" fontId="1171" fillId="0" borderId="0" xfId="0" applyFont="true"/>
    <xf numFmtId="0" fontId="1172" fillId="0" borderId="0" xfId="0" applyFont="true"/>
    <xf numFmtId="0" fontId="1173" fillId="0" borderId="0" xfId="0" applyFont="true"/>
    <xf numFmtId="0" fontId="1174" fillId="0" borderId="0" xfId="0" applyFont="true"/>
    <xf numFmtId="0" fontId="1175" fillId="0" borderId="0" xfId="0" applyFont="true"/>
    <xf numFmtId="0" fontId="1176" fillId="0" borderId="0" xfId="0" applyFont="true"/>
    <xf numFmtId="0" fontId="1177" fillId="0" borderId="0" xfId="0" applyFont="true"/>
    <xf numFmtId="0" fontId="1178" fillId="0" borderId="0" xfId="0" applyFont="true"/>
    <xf numFmtId="0" fontId="1179" fillId="0" borderId="0" xfId="0" applyFont="true"/>
    <xf numFmtId="0" fontId="1180" fillId="0" borderId="0" xfId="0" applyFont="true"/>
    <xf numFmtId="0" fontId="1181" fillId="0" borderId="0" xfId="0" applyFont="true"/>
    <xf numFmtId="0" fontId="1182" fillId="0" borderId="0" xfId="0" applyFont="true"/>
    <xf numFmtId="0" fontId="1183" fillId="0" borderId="0" xfId="0" applyFont="true"/>
    <xf numFmtId="0" fontId="1184" fillId="0" borderId="0" xfId="0" applyFont="true"/>
    <xf numFmtId="0" fontId="1185" fillId="0" borderId="0" xfId="0" applyFont="true"/>
    <xf numFmtId="0" fontId="1186" fillId="0" borderId="0" xfId="0" applyFont="true"/>
    <xf numFmtId="0" fontId="1187" fillId="0" borderId="0" xfId="0" applyFont="true"/>
    <xf numFmtId="0" fontId="1188" fillId="0" borderId="0" xfId="0" applyFont="true"/>
    <xf numFmtId="0" fontId="1189" fillId="0" borderId="0" xfId="0" applyFont="true"/>
    <xf numFmtId="0" fontId="1190" fillId="0" borderId="0" xfId="0" applyFont="true"/>
    <xf numFmtId="0" fontId="1191" fillId="0" borderId="0" xfId="0" applyFont="true"/>
    <xf numFmtId="0" fontId="1192" fillId="0" borderId="0" xfId="0" applyFont="true"/>
    <xf numFmtId="0" fontId="1193" fillId="0" borderId="0" xfId="0" applyFont="true"/>
    <xf numFmtId="0" fontId="1194" fillId="0" borderId="0" xfId="0" applyFont="true"/>
    <xf numFmtId="0" fontId="1195" fillId="0" borderId="0" xfId="0" applyFont="true"/>
    <xf numFmtId="0" fontId="1196" fillId="0" borderId="0" xfId="0" applyFont="true"/>
    <xf numFmtId="0" fontId="1197" fillId="0" borderId="0" xfId="0" applyFont="true"/>
    <xf numFmtId="0" fontId="1198" fillId="0" borderId="0" xfId="0" applyFont="true"/>
    <xf numFmtId="0" fontId="1199" fillId="0" borderId="0" xfId="0" applyFont="true"/>
    <xf numFmtId="0" fontId="1200" fillId="0" borderId="0" xfId="0" applyFont="true"/>
    <xf numFmtId="0" fontId="1201" fillId="0" borderId="0" xfId="0" applyFont="true"/>
    <xf numFmtId="0" fontId="1202" fillId="0" borderId="0" xfId="0" applyFont="true"/>
    <xf numFmtId="0" fontId="1203" fillId="0" borderId="0" xfId="0" applyFont="true"/>
    <xf numFmtId="0" fontId="1204" fillId="0" borderId="0" xfId="0" applyFont="true"/>
    <xf numFmtId="0" fontId="1205" fillId="0" borderId="0" xfId="0" applyFont="true"/>
    <xf numFmtId="0" fontId="1206" fillId="0" borderId="0" xfId="0" applyFont="true"/>
    <xf numFmtId="0" fontId="1207" fillId="0" borderId="0" xfId="0" applyFont="true"/>
    <xf numFmtId="0" fontId="1208" fillId="0" borderId="0" xfId="0" applyFont="true"/>
    <xf numFmtId="0" fontId="1209" fillId="0" borderId="0" xfId="0" applyFont="true"/>
    <xf numFmtId="0" fontId="1210" fillId="0" borderId="0" xfId="0" applyFont="true"/>
    <xf numFmtId="0" fontId="1211" fillId="0" borderId="0" xfId="0" applyFont="true"/>
    <xf numFmtId="0" fontId="1212" fillId="0" borderId="0" xfId="0" applyFont="true"/>
    <xf numFmtId="0" fontId="1213" fillId="0" borderId="0" xfId="0" applyFont="true"/>
    <xf numFmtId="0" fontId="1214" fillId="0" borderId="0" xfId="0" applyFont="true"/>
    <xf numFmtId="0" fontId="1215" fillId="0" borderId="0" xfId="0" applyFont="true"/>
    <xf numFmtId="0" fontId="1216" fillId="0" borderId="0" xfId="0" applyFont="true"/>
    <xf numFmtId="0" fontId="1217" fillId="0" borderId="0" xfId="0" applyFont="true"/>
    <xf numFmtId="0" fontId="1218" fillId="0" borderId="0" xfId="0" applyFont="true"/>
    <xf numFmtId="0" fontId="1219" fillId="0" borderId="0" xfId="0" applyFont="true"/>
    <xf numFmtId="0" fontId="1220" fillId="0" borderId="0" xfId="0" applyFont="true"/>
    <xf numFmtId="0" fontId="1221" fillId="0" borderId="0" xfId="0" applyFont="true"/>
    <xf numFmtId="0" fontId="1222" fillId="0" borderId="0" xfId="0" applyFont="true"/>
    <xf numFmtId="0" fontId="1223" fillId="0" borderId="0" xfId="0" applyFont="true"/>
    <xf numFmtId="0" fontId="1224" fillId="0" borderId="0" xfId="0" applyFont="true"/>
    <xf numFmtId="0" fontId="1225" fillId="0" borderId="0" xfId="0" applyFont="true"/>
    <xf numFmtId="0" fontId="1226" fillId="0" borderId="0" xfId="0" applyFont="true"/>
    <xf numFmtId="0" fontId="1227" fillId="0" borderId="0" xfId="0" applyFont="true"/>
    <xf numFmtId="0" fontId="1228" fillId="0" borderId="0" xfId="0" applyFont="true"/>
    <xf numFmtId="0" fontId="1229" fillId="0" borderId="0" xfId="0" applyFont="true"/>
    <xf numFmtId="0" fontId="1230" fillId="0" borderId="0" xfId="0" applyFont="true"/>
    <xf numFmtId="0" fontId="1231" fillId="0" borderId="0" xfId="0" applyFont="true"/>
    <xf numFmtId="0" fontId="1232" fillId="0" borderId="0" xfId="0" applyFont="true"/>
    <xf numFmtId="0" fontId="1233" fillId="0" borderId="0" xfId="0" applyFont="true"/>
    <xf numFmtId="0" fontId="1234" fillId="0" borderId="0" xfId="0" applyFont="true"/>
    <xf numFmtId="0" fontId="1235" fillId="0" borderId="0" xfId="0" applyFont="true"/>
    <xf numFmtId="0" fontId="1236" fillId="0" borderId="0" xfId="0" applyFont="true"/>
    <xf numFmtId="0" fontId="1237" fillId="0" borderId="0" xfId="0" applyFont="true"/>
    <xf numFmtId="0" fontId="1238" fillId="0" borderId="0" xfId="0" applyFont="true"/>
    <xf numFmtId="0" fontId="1239" fillId="0" borderId="0" xfId="0" applyFont="true"/>
    <xf numFmtId="0" fontId="1240" fillId="0" borderId="0" xfId="0" applyFont="true"/>
    <xf numFmtId="0" fontId="1241" fillId="0" borderId="0" xfId="0" applyFont="true"/>
    <xf numFmtId="0" fontId="1242" fillId="0" borderId="0" xfId="0" applyFont="true"/>
    <xf numFmtId="0" fontId="1243" fillId="0" borderId="0" xfId="0" applyFont="true"/>
    <xf numFmtId="0" fontId="1244" fillId="0" borderId="0" xfId="0" applyFont="true"/>
    <xf numFmtId="0" fontId="1245" fillId="0" borderId="0" xfId="0" applyFont="true"/>
    <xf numFmtId="0" fontId="1246" fillId="0" borderId="0" xfId="0" applyFont="true"/>
    <xf numFmtId="0" fontId="1247" fillId="0" borderId="0" xfId="0" applyFont="true"/>
    <xf numFmtId="0" fontId="1248" fillId="0" borderId="0" xfId="0" applyFont="true"/>
    <xf numFmtId="0" fontId="1249" fillId="0" borderId="0" xfId="0" applyFont="true"/>
    <xf numFmtId="0" fontId="1250" fillId="0" borderId="0" xfId="0" applyFont="true"/>
    <xf numFmtId="0" fontId="1251" fillId="0" borderId="0" xfId="0" applyFont="true"/>
    <xf numFmtId="0" fontId="1252" fillId="0" borderId="0" xfId="0" applyFont="true"/>
    <xf numFmtId="0" fontId="1253" fillId="0" borderId="0" xfId="0" applyFont="true"/>
    <xf numFmtId="0" fontId="1254" fillId="0" borderId="0" xfId="0" applyFont="true"/>
    <xf numFmtId="0" fontId="1255" fillId="0" borderId="0" xfId="0" applyFont="true"/>
    <xf numFmtId="0" fontId="1256" fillId="0" borderId="0" xfId="0" applyFont="true"/>
    <xf numFmtId="0" fontId="1257" fillId="0" borderId="0" xfId="0" applyFont="true"/>
    <xf numFmtId="0" fontId="1258" fillId="0" borderId="0" xfId="0" applyFont="true"/>
    <xf numFmtId="0" fontId="1259" fillId="0" borderId="0" xfId="0" applyFont="true"/>
    <xf numFmtId="0" fontId="1260" fillId="0" borderId="0" xfId="0" applyFont="true"/>
    <xf numFmtId="0" fontId="1261" fillId="0" borderId="0" xfId="0" applyFont="true"/>
    <xf numFmtId="0" fontId="1262" fillId="0" borderId="0" xfId="0" applyFont="true"/>
    <xf numFmtId="0" fontId="1263" fillId="0" borderId="0" xfId="0" applyFont="true"/>
    <xf numFmtId="0" fontId="1264" fillId="0" borderId="0" xfId="0" applyFont="true"/>
    <xf numFmtId="0" fontId="1265" fillId="0" borderId="0" xfId="0" applyFont="true"/>
    <xf numFmtId="0" fontId="1266" fillId="0" borderId="0" xfId="0" applyFont="true"/>
    <xf numFmtId="0" fontId="1267" fillId="0" borderId="0" xfId="0" applyFont="true"/>
    <xf numFmtId="0" fontId="1268" fillId="0" borderId="0" xfId="0" applyFont="true"/>
    <xf numFmtId="0" fontId="1269" fillId="0" borderId="0" xfId="0" applyFont="true"/>
    <xf numFmtId="0" fontId="1270" fillId="0" borderId="0" xfId="0" applyFont="true"/>
    <xf numFmtId="0" fontId="1271" fillId="0" borderId="0" xfId="0" applyFont="true"/>
    <xf numFmtId="0" fontId="1272" fillId="0" borderId="0" xfId="0" applyFont="true"/>
    <xf numFmtId="0" fontId="1273" fillId="0" borderId="0" xfId="0" applyFont="true"/>
    <xf numFmtId="0" fontId="1274" fillId="0" borderId="0" xfId="0" applyFont="true"/>
    <xf numFmtId="0" fontId="1275" fillId="0" borderId="0" xfId="0" applyFont="true"/>
    <xf numFmtId="0" fontId="1276" fillId="0" borderId="0" xfId="0" applyFont="true"/>
    <xf numFmtId="0" fontId="1277" fillId="0" borderId="0" xfId="0" applyFont="true"/>
    <xf numFmtId="0" fontId="1278" fillId="0" borderId="0" xfId="0" applyFont="true"/>
    <xf numFmtId="0" fontId="1279" fillId="0" borderId="0" xfId="0" applyFont="true"/>
    <xf numFmtId="0" fontId="1280" fillId="0" borderId="0" xfId="0" applyFont="true"/>
    <xf numFmtId="0" fontId="1281" fillId="0" borderId="0" xfId="0" applyFont="true"/>
    <xf numFmtId="0" fontId="1282" fillId="0" borderId="0" xfId="0" applyFont="true"/>
    <xf numFmtId="0" fontId="1283" fillId="0" borderId="0" xfId="0" applyFont="true"/>
    <xf numFmtId="0" fontId="1284" fillId="0" borderId="0" xfId="0" applyFont="true"/>
    <xf numFmtId="0" fontId="1285" fillId="0" borderId="0" xfId="0" applyFont="true"/>
    <xf numFmtId="0" fontId="1286" fillId="0" borderId="0" xfId="0" applyFont="true"/>
    <xf numFmtId="0" fontId="1287" fillId="0" borderId="0" xfId="0" applyFont="true"/>
    <xf numFmtId="0" fontId="1288" fillId="0" borderId="0" xfId="0" applyFont="true"/>
    <xf numFmtId="0" fontId="1289" fillId="0" borderId="0" xfId="0" applyFont="true"/>
    <xf numFmtId="0" fontId="1290" fillId="0" borderId="0" xfId="0" applyFont="true"/>
    <xf numFmtId="0" fontId="1291" fillId="0" borderId="0" xfId="0" applyFont="true"/>
    <xf numFmtId="0" fontId="1292" fillId="0" borderId="0" xfId="0" applyFont="true"/>
    <xf numFmtId="0" fontId="1293" fillId="0" borderId="0" xfId="0" applyFont="true"/>
    <xf numFmtId="0" fontId="1294" fillId="0" borderId="0" xfId="0" applyFont="true"/>
    <xf numFmtId="0" fontId="1295" fillId="0" borderId="0" xfId="0" applyFont="true"/>
    <xf numFmtId="0" fontId="1296" fillId="0" borderId="0" xfId="0" applyFont="true"/>
    <xf numFmtId="0" fontId="1297" fillId="0" borderId="0" xfId="0" applyFont="true"/>
    <xf numFmtId="0" fontId="1298" fillId="0" borderId="0" xfId="0" applyFont="true"/>
    <xf numFmtId="0" fontId="1299" fillId="0" borderId="0" xfId="0" applyFont="true"/>
    <xf numFmtId="0" fontId="1300" fillId="0" borderId="0" xfId="0" applyFont="true"/>
    <xf numFmtId="0" fontId="1301" fillId="0" borderId="0" xfId="0" applyFont="true"/>
    <xf numFmtId="0" fontId="1302" fillId="0" borderId="0" xfId="0" applyFont="true"/>
    <xf numFmtId="0" fontId="1303" fillId="0" borderId="0" xfId="0" applyFont="true"/>
    <xf numFmtId="0" fontId="1304" fillId="0" borderId="0" xfId="0" applyFont="true"/>
    <xf numFmtId="0" fontId="1305" fillId="0" borderId="0" xfId="0" applyFont="true"/>
    <xf numFmtId="0" fontId="1306" fillId="0" borderId="0" xfId="0" applyFont="true"/>
    <xf numFmtId="0" fontId="1307" fillId="0" borderId="0" xfId="0" applyFont="true"/>
    <xf numFmtId="0" fontId="1308" fillId="0" borderId="0" xfId="0" applyFont="true"/>
    <xf numFmtId="0" fontId="1309" fillId="0" borderId="0" xfId="0" applyFont="true"/>
    <xf numFmtId="0" fontId="1310" fillId="0" borderId="0" xfId="0" applyFont="true"/>
    <xf numFmtId="0" fontId="1311" fillId="0" borderId="0" xfId="0" applyFont="true"/>
    <xf numFmtId="0" fontId="1312" fillId="0" borderId="0" xfId="0" applyFont="true"/>
    <xf numFmtId="0" fontId="1313" fillId="0" borderId="0" xfId="0" applyFont="true"/>
    <xf numFmtId="0" fontId="1314" fillId="0" borderId="0" xfId="0" applyFont="true"/>
    <xf numFmtId="0" fontId="1315" fillId="0" borderId="0" xfId="0" applyFont="true"/>
    <xf numFmtId="0" fontId="1316" fillId="0" borderId="0" xfId="0" applyFont="true"/>
    <xf numFmtId="0" fontId="1317" fillId="0" borderId="0" xfId="0" applyFont="true"/>
    <xf numFmtId="0" fontId="1318" fillId="0" borderId="0" xfId="0" applyFont="true"/>
    <xf numFmtId="0" fontId="1319" fillId="0" borderId="0" xfId="0" applyFont="true"/>
    <xf numFmtId="0" fontId="1320" fillId="0" borderId="0" xfId="0" applyFont="true"/>
    <xf numFmtId="0" fontId="1321" fillId="0" borderId="0" xfId="0" applyFont="true"/>
    <xf numFmtId="0" fontId="1322" fillId="0" borderId="0" xfId="0" applyFont="true"/>
    <xf numFmtId="0" fontId="1323" fillId="0" borderId="0" xfId="0" applyFont="true"/>
    <xf numFmtId="0" fontId="1324" fillId="0" borderId="0" xfId="0" applyFont="true"/>
    <xf numFmtId="0" fontId="1325" fillId="0" borderId="0" xfId="0" applyFont="true"/>
    <xf numFmtId="0" fontId="1326" fillId="0" borderId="0" xfId="0" applyFont="true"/>
    <xf numFmtId="0" fontId="1327" fillId="0" borderId="0" xfId="0" applyFont="true"/>
    <xf numFmtId="0" fontId="1328" fillId="0" borderId="0" xfId="0"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3A%2F%2Fdx.doi.org%2F10.1186%2Fs12891-024-07884-2" TargetMode="External" Type="http://schemas.openxmlformats.org/officeDocument/2006/relationships/hyperlink"/><Relationship Id="rId10" Target="https%3A%2F%2Fwww.webofscience.com%2Fwos%2Fwoscc%2Ffull-record%2FWOS%3A001290422400001" TargetMode="External" Type="http://schemas.openxmlformats.org/officeDocument/2006/relationships/hyperlink"/><Relationship Id="rId100" Target="https%3A%2F%2Fwww.webofscience.com%2Fwos%2Fwoscc%2Ffull-record%2FWOS%3A000630004200001" TargetMode="External" Type="http://schemas.openxmlformats.org/officeDocument/2006/relationships/hyperlink"/><Relationship Id="rId1000" Target="http%3A%2F%2Fdx.doi.org%2F10.1177%2F20420986261467891" TargetMode="External" Type="http://schemas.openxmlformats.org/officeDocument/2006/relationships/hyperlink"/><Relationship Id="rId1001" Target="https%3A%2F%2Fwww.webofscience.com%2Fwos%2Fwoscc%2Ffull-record%2FWOS%3A001829859200001" TargetMode="External" Type="http://schemas.openxmlformats.org/officeDocument/2006/relationships/hyperlink"/><Relationship Id="rId1002" Target="http%3A%2F%2Fdx.doi.org%2F10.1016%2Fj.acra.2024.08.028" TargetMode="External" Type="http://schemas.openxmlformats.org/officeDocument/2006/relationships/hyperlink"/><Relationship Id="rId1003" Target="https%3A%2F%2Fwww.webofscience.com%2Fwos%2Fwoscc%2Ffull-record%2FWOS%3A001433656200001" TargetMode="External" Type="http://schemas.openxmlformats.org/officeDocument/2006/relationships/hyperlink"/><Relationship Id="rId1004" Target="http%3A%2F%2Fdx.doi.org%2F10.1016%2Fj.eclinm.2024.102802" TargetMode="External" Type="http://schemas.openxmlformats.org/officeDocument/2006/relationships/hyperlink"/><Relationship Id="rId1005" Target="https%3A%2F%2Fwww.webofscience.com%2Fwos%2Fwoscc%2Ffull-record%2FWOS%3A001319451600001" TargetMode="External" Type="http://schemas.openxmlformats.org/officeDocument/2006/relationships/hyperlink"/><Relationship Id="rId1006" Target="http%3A%2F%2Fdx.doi.org%2F10.1007%2Fs10278-021-00499-2" TargetMode="External" Type="http://schemas.openxmlformats.org/officeDocument/2006/relationships/hyperlink"/><Relationship Id="rId1007" Target="https%3A%2F%2Fwww.webofscience.com%2Fwos%2Fwoscc%2Ffull-record%2FWOS%3A000684057100001" TargetMode="External" Type="http://schemas.openxmlformats.org/officeDocument/2006/relationships/hyperlink"/><Relationship Id="rId1008" Target="http%3A%2F%2Fdx.doi.org%2F10.1038%2Fs41598-023-44818-9" TargetMode="External" Type="http://schemas.openxmlformats.org/officeDocument/2006/relationships/hyperlink"/><Relationship Id="rId1009" Target="https%3A%2F%2Fwww.webofscience.com%2Fwos%2Fwoscc%2Ffull-record%2FWOS%3A001087127100087" TargetMode="External" Type="http://schemas.openxmlformats.org/officeDocument/2006/relationships/hyperlink"/><Relationship Id="rId101" Target="http%3A%2F%2Fdx.doi.org%2F10.1093%2Fradadv%2Fumaf020" TargetMode="External" Type="http://schemas.openxmlformats.org/officeDocument/2006/relationships/hyperlink"/><Relationship Id="rId1010" Target="http%3A%2F%2Fdx.doi.org%2F10.2214%2FAJR.23.29414" TargetMode="External" Type="http://schemas.openxmlformats.org/officeDocument/2006/relationships/hyperlink"/><Relationship Id="rId1011" Target="https%3A%2F%2Fwww.webofscience.com%2Fwos%2Fwoscc%2Ffull-record%2FWOS%3A001152520400007" TargetMode="External" Type="http://schemas.openxmlformats.org/officeDocument/2006/relationships/hyperlink"/><Relationship Id="rId1012" Target="http%3A%2F%2Fdx.doi.org%2F10.3390%2Fjcm12124005" TargetMode="External" Type="http://schemas.openxmlformats.org/officeDocument/2006/relationships/hyperlink"/><Relationship Id="rId1013" Target="https%3A%2F%2Fwww.webofscience.com%2Fwos%2Fwoscc%2Ffull-record%2FWOS%3A001017245500001" TargetMode="External" Type="http://schemas.openxmlformats.org/officeDocument/2006/relationships/hyperlink"/><Relationship Id="rId1014" Target="http%3A%2F%2Fdx.doi.org%2F10.3390%2Fbioengineering11030293" TargetMode="External" Type="http://schemas.openxmlformats.org/officeDocument/2006/relationships/hyperlink"/><Relationship Id="rId1015" Target="https%3A%2F%2Fwww.webofscience.com%2Fwos%2Fwoscc%2Ffull-record%2FWOS%3A001191734700001" TargetMode="External" Type="http://schemas.openxmlformats.org/officeDocument/2006/relationships/hyperlink"/><Relationship Id="rId1016" Target="http%3A%2F%2Fdx.doi.org%2F10.1186%2Fs13018-024-05128-6" TargetMode="External" Type="http://schemas.openxmlformats.org/officeDocument/2006/relationships/hyperlink"/><Relationship Id="rId1017" Target="https%3A%2F%2Fwww.webofscience.com%2Fwos%2Fwoscc%2Ffull-record%2FWOS%3A001331302600002" TargetMode="External" Type="http://schemas.openxmlformats.org/officeDocument/2006/relationships/hyperlink"/><Relationship Id="rId1018" Target="http%3A%2F%2Fdx.doi.org%2F10.3390%2Fbrainsci11050615" TargetMode="External" Type="http://schemas.openxmlformats.org/officeDocument/2006/relationships/hyperlink"/><Relationship Id="rId1019" Target="https%3A%2F%2Fwww.webofscience.com%2Fwos%2Fwoscc%2Ffull-record%2FWOS%3A000653607800001" TargetMode="External" Type="http://schemas.openxmlformats.org/officeDocument/2006/relationships/hyperlink"/><Relationship Id="rId102" Target="https%3A%2F%2Fwww.webofscience.com%2Fwos%2Fwoscc%2Ffull-record%2FWOS%3A001585297000001" TargetMode="External" Type="http://schemas.openxmlformats.org/officeDocument/2006/relationships/hyperlink"/><Relationship Id="rId1020" Target="http%3A%2F%2Fdx.doi.org%2F10.3389%2Ffcvm.2025.1647882" TargetMode="External" Type="http://schemas.openxmlformats.org/officeDocument/2006/relationships/hyperlink"/><Relationship Id="rId1021" Target="https%3A%2F%2Fwww.webofscience.com%2Fwos%2Fwoscc%2Ffull-record%2FWOS%3A001607788000001" TargetMode="External" Type="http://schemas.openxmlformats.org/officeDocument/2006/relationships/hyperlink"/><Relationship Id="rId1022" Target="http%3A%2F%2Fdx.doi.org%2F10.1007%2Fs00586-026-09872-7" TargetMode="External" Type="http://schemas.openxmlformats.org/officeDocument/2006/relationships/hyperlink"/><Relationship Id="rId1023" Target="https%3A%2F%2Fwww.webofscience.com%2Fwos%2Fwoscc%2Ffull-record%2FWOS%3A001728697100001" TargetMode="External" Type="http://schemas.openxmlformats.org/officeDocument/2006/relationships/hyperlink"/><Relationship Id="rId1024" Target="http%3A%2F%2Fdx.doi.org%2F10.3390%2Fdiagnostics16020267" TargetMode="External" Type="http://schemas.openxmlformats.org/officeDocument/2006/relationships/hyperlink"/><Relationship Id="rId1025" Target="https%3A%2F%2Fwww.webofscience.com%2Fwos%2Fwoscc%2Ffull-record%2FWOS%3A001672798200001" TargetMode="External" Type="http://schemas.openxmlformats.org/officeDocument/2006/relationships/hyperlink"/><Relationship Id="rId1026" Target="http%3A%2F%2Fdx.doi.org%2F10.3174%2Fajnr.A8992" TargetMode="External" Type="http://schemas.openxmlformats.org/officeDocument/2006/relationships/hyperlink"/><Relationship Id="rId1027" Target="https%3A%2F%2Fwww.webofscience.com%2Fwos%2Fwoscc%2Ffull-record%2FWOS%3A001675414100001" TargetMode="External" Type="http://schemas.openxmlformats.org/officeDocument/2006/relationships/hyperlink"/><Relationship Id="rId1028" Target="http%3A%2F%2Fdx.doi.org%2F10.3348%2Fkjr.2020.1468" TargetMode="External" Type="http://schemas.openxmlformats.org/officeDocument/2006/relationships/hyperlink"/><Relationship Id="rId1029" Target="https%3A%2F%2Fwww.webofscience.com%2Fwos%2Fwoscc%2Ffull-record%2FWOS%3A000723390600010" TargetMode="External" Type="http://schemas.openxmlformats.org/officeDocument/2006/relationships/hyperlink"/><Relationship Id="rId103" Target="http%3A%2F%2Fdx.doi.org%2F10.2147%2FIDR.S520062" TargetMode="External" Type="http://schemas.openxmlformats.org/officeDocument/2006/relationships/hyperlink"/><Relationship Id="rId1030" Target="http%3A%2F%2Fdx.doi.org%2F10.3390%2Fjcm12051806" TargetMode="External" Type="http://schemas.openxmlformats.org/officeDocument/2006/relationships/hyperlink"/><Relationship Id="rId1031" Target="https%3A%2F%2Fwww.webofscience.com%2Fwos%2Fwoscc%2Ffull-record%2FWOS%3A000947874200001" TargetMode="External" Type="http://schemas.openxmlformats.org/officeDocument/2006/relationships/hyperlink"/><Relationship Id="rId1032" Target="http%3A%2F%2Fdx.doi.org%2F10.1097%2FRCT.0000000000001840" TargetMode="External" Type="http://schemas.openxmlformats.org/officeDocument/2006/relationships/hyperlink"/><Relationship Id="rId1033" Target="https%3A%2F%2Fwww.webofscience.com%2Fwos%2Fwoscc%2Ffull-record%2FWOS%3A001818645200003" TargetMode="External" Type="http://schemas.openxmlformats.org/officeDocument/2006/relationships/hyperlink"/><Relationship Id="rId1034" Target="http%3A%2F%2Fdx.doi.org%2F10.1371%2Fjournal.pone.0297390" TargetMode="External" Type="http://schemas.openxmlformats.org/officeDocument/2006/relationships/hyperlink"/><Relationship Id="rId1035" Target="https%3A%2F%2Fwww.webofscience.com%2Fwos%2Fwoscc%2Ffull-record%2FWOS%3A001177191300015" TargetMode="External" Type="http://schemas.openxmlformats.org/officeDocument/2006/relationships/hyperlink"/><Relationship Id="rId1036" Target="http%3A%2F%2Fdx.doi.org%2F10.1097%2FCCM.0000000000004966" TargetMode="External" Type="http://schemas.openxmlformats.org/officeDocument/2006/relationships/hyperlink"/><Relationship Id="rId1037" Target="https%3A%2F%2Fwww.webofscience.com%2Fwos%2Fwoscc%2Ffull-record%2FWOS%3A000674100000028" TargetMode="External" Type="http://schemas.openxmlformats.org/officeDocument/2006/relationships/hyperlink"/><Relationship Id="rId1038" Target="http%3A%2F%2Fdx.doi.org%2F10.1007%2Fs00345-022-03965-w" TargetMode="External" Type="http://schemas.openxmlformats.org/officeDocument/2006/relationships/hyperlink"/><Relationship Id="rId1039" Target="https%3A%2F%2Fwww.webofscience.com%2Fwos%2Fwoscc%2Ffull-record%2FWOS%3A000765201800004" TargetMode="External" Type="http://schemas.openxmlformats.org/officeDocument/2006/relationships/hyperlink"/><Relationship Id="rId104" Target="https%3A%2F%2Fwww.webofscience.com%2Fwos%2Fwoscc%2Ffull-record%2FWOS%3A001500698700001" TargetMode="External" Type="http://schemas.openxmlformats.org/officeDocument/2006/relationships/hyperlink"/><Relationship Id="rId1040" Target="http%3A%2F%2Fdx.doi.org%2F10.2340%2F17453674.2026.45871" TargetMode="External" Type="http://schemas.openxmlformats.org/officeDocument/2006/relationships/hyperlink"/><Relationship Id="rId1041" Target="https%3A%2F%2Fwww.webofscience.com%2Fwos%2Fwoscc%2Ffull-record%2FWOS%3A001797926600002" TargetMode="External" Type="http://schemas.openxmlformats.org/officeDocument/2006/relationships/hyperlink"/><Relationship Id="rId1042" Target="http%3A%2F%2Fdx.doi.org%2F10.1007%2Fs11695-025-08321-6" TargetMode="External" Type="http://schemas.openxmlformats.org/officeDocument/2006/relationships/hyperlink"/><Relationship Id="rId1043" Target="https%3A%2F%2Fwww.webofscience.com%2Fwos%2Fwoscc%2Ffull-record%2FWOS%3A001627890400001" TargetMode="External" Type="http://schemas.openxmlformats.org/officeDocument/2006/relationships/hyperlink"/><Relationship Id="rId1044" Target="http%3A%2F%2Fdx.doi.org%2F10.1038%2Fs41598-022-20724-4" TargetMode="External" Type="http://schemas.openxmlformats.org/officeDocument/2006/relationships/hyperlink"/><Relationship Id="rId1045" Target="https%3A%2F%2Fwww.webofscience.com%2Fwos%2Fwoscc%2Ffull-record%2FWOS%3A000865228800002" TargetMode="External" Type="http://schemas.openxmlformats.org/officeDocument/2006/relationships/hyperlink"/><Relationship Id="rId1046" Target="http%3A%2F%2Fdx.doi.org%2F10.3389%2Ffonc.2024.1488118" TargetMode="External" Type="http://schemas.openxmlformats.org/officeDocument/2006/relationships/hyperlink"/><Relationship Id="rId1047" Target="https%3A%2F%2Fwww.webofscience.com%2Fwos%2Fwoscc%2Ffull-record%2FWOS%3A001348317900001" TargetMode="External" Type="http://schemas.openxmlformats.org/officeDocument/2006/relationships/hyperlink"/><Relationship Id="rId1048" Target="http%3A%2F%2Fdx.doi.org%2F10.3389%2Ffped.2026.1870229" TargetMode="External" Type="http://schemas.openxmlformats.org/officeDocument/2006/relationships/hyperlink"/><Relationship Id="rId1049" Target="https%3A%2F%2Fwww.webofscience.com%2Fwos%2Fwoscc%2Ffull-record%2FWOS%3A001840177900001" TargetMode="External" Type="http://schemas.openxmlformats.org/officeDocument/2006/relationships/hyperlink"/><Relationship Id="rId105" Target="http%3A%2F%2Fdx.doi.org%2F10.3390%2Fdiagnostics15222899" TargetMode="External" Type="http://schemas.openxmlformats.org/officeDocument/2006/relationships/hyperlink"/><Relationship Id="rId1050" Target="http%3A%2F%2Fdx.doi.org%2F10.1186%2Fs12916-025-03912-7" TargetMode="External" Type="http://schemas.openxmlformats.org/officeDocument/2006/relationships/hyperlink"/><Relationship Id="rId1051" Target="https%3A%2F%2Fwww.webofscience.com%2Fwos%2Fwoscc%2Ffull-record%2FWOS%3A001428298600005" TargetMode="External" Type="http://schemas.openxmlformats.org/officeDocument/2006/relationships/hyperlink"/><Relationship Id="rId1052" Target="http%3A%2F%2Fdx.doi.org%2F10.1161%2FJAHA.124.037088" TargetMode="External" Type="http://schemas.openxmlformats.org/officeDocument/2006/relationships/hyperlink"/><Relationship Id="rId1053" Target="https%3A%2F%2Fwww.webofscience.com%2Fwos%2Fwoscc%2Ffull-record%2FWOS%3A001332695300021" TargetMode="External" Type="http://schemas.openxmlformats.org/officeDocument/2006/relationships/hyperlink"/><Relationship Id="rId1054" Target="http%3A%2F%2Fdx.doi.org%2F10.1016%2Fj.jncc.2025.12.002" TargetMode="External" Type="http://schemas.openxmlformats.org/officeDocument/2006/relationships/hyperlink"/><Relationship Id="rId1055" Target="https%3A%2F%2Fwww.webofscience.com%2Fwos%2Fwoscc%2Ffull-record%2FWOS%3A001794876800001" TargetMode="External" Type="http://schemas.openxmlformats.org/officeDocument/2006/relationships/hyperlink"/><Relationship Id="rId1056" Target="http%3A%2F%2Fdx.doi.org%2F10.1177%2F20552076261458962" TargetMode="External" Type="http://schemas.openxmlformats.org/officeDocument/2006/relationships/hyperlink"/><Relationship Id="rId1057" Target="https%3A%2F%2Fwww.webofscience.com%2Fwos%2Fwoscc%2Ffull-record%2FWOS%3A001787048900001" TargetMode="External" Type="http://schemas.openxmlformats.org/officeDocument/2006/relationships/hyperlink"/><Relationship Id="rId1058" Target="http%3A%2F%2Fdx.doi.org%2F10.1016%2Fj.cca.2024.119904" TargetMode="External" Type="http://schemas.openxmlformats.org/officeDocument/2006/relationships/hyperlink"/><Relationship Id="rId1059" Target="https%3A%2F%2Fwww.webofscience.com%2Fwos%2Fwoscc%2Ffull-record%2FWOS%3A001294252800001" TargetMode="External" Type="http://schemas.openxmlformats.org/officeDocument/2006/relationships/hyperlink"/><Relationship Id="rId106" Target="https%3A%2F%2Fwww.webofscience.com%2Fwos%2Fwoscc%2Ffull-record%2FWOS%3A001625925700001" TargetMode="External" Type="http://schemas.openxmlformats.org/officeDocument/2006/relationships/hyperlink"/><Relationship Id="rId1060" Target="http%3A%2F%2Fdx.doi.org%2F10.3389%2Ffsurg.2026.1850385" TargetMode="External" Type="http://schemas.openxmlformats.org/officeDocument/2006/relationships/hyperlink"/><Relationship Id="rId1061" Target="https%3A%2F%2Fwww.webofscience.com%2Fwos%2Fwoscc%2Ffull-record%2FWOS%3A001823687700001" TargetMode="External" Type="http://schemas.openxmlformats.org/officeDocument/2006/relationships/hyperlink"/><Relationship Id="rId1062" Target="http%3A%2F%2Fdx.doi.org%2F10.1016%2Fj.seppur.2025.133019" TargetMode="External" Type="http://schemas.openxmlformats.org/officeDocument/2006/relationships/hyperlink"/><Relationship Id="rId1063" Target="https%3A%2F%2Fwww.webofscience.com%2Fwos%2Fwoscc%2Ffull-record%2FWOS%3A001476270900001" TargetMode="External" Type="http://schemas.openxmlformats.org/officeDocument/2006/relationships/hyperlink"/><Relationship Id="rId1064" Target="http%3A%2F%2Fdx.doi.org%2F10.1002%2Fbrb3.71399" TargetMode="External" Type="http://schemas.openxmlformats.org/officeDocument/2006/relationships/hyperlink"/><Relationship Id="rId1065" Target="https%3A%2F%2Fwww.webofscience.com%2Fwos%2Fwoscc%2Ffull-record%2FWOS%3A001746695700001" TargetMode="External" Type="http://schemas.openxmlformats.org/officeDocument/2006/relationships/hyperlink"/><Relationship Id="rId1066" Target="http%3A%2F%2Fdx.doi.org%2F10.1136%2Fbmjment-2025-301964" TargetMode="External" Type="http://schemas.openxmlformats.org/officeDocument/2006/relationships/hyperlink"/><Relationship Id="rId1067" Target="https%3A%2F%2Fwww.webofscience.com%2Fwos%2Fwoscc%2Ffull-record%2FWOS%3A001664095700001" TargetMode="External" Type="http://schemas.openxmlformats.org/officeDocument/2006/relationships/hyperlink"/><Relationship Id="rId1068" Target="http%3A%2F%2Fdx.doi.org%2F10.1016%2Fj.icheatmasstransfer.2023.107228" TargetMode="External" Type="http://schemas.openxmlformats.org/officeDocument/2006/relationships/hyperlink"/><Relationship Id="rId1069" Target="https%3A%2F%2Fwww.webofscience.com%2Fwos%2Fwoscc%2Ffull-record%2FWOS%3A001150802700001" TargetMode="External" Type="http://schemas.openxmlformats.org/officeDocument/2006/relationships/hyperlink"/><Relationship Id="rId107" Target="http%3A%2F%2Fdx.doi.org%2F10.3390%2Flife14060744" TargetMode="External" Type="http://schemas.openxmlformats.org/officeDocument/2006/relationships/hyperlink"/><Relationship Id="rId1070" Target="http%3A%2F%2Fdx.doi.org%2F10.1016%2Fj.eplepsyres.2021.106594" TargetMode="External" Type="http://schemas.openxmlformats.org/officeDocument/2006/relationships/hyperlink"/><Relationship Id="rId1071" Target="https%3A%2F%2Fwww.webofscience.com%2Fwos%2Fwoscc%2Ffull-record%2FWOS%3A000640457900005" TargetMode="External" Type="http://schemas.openxmlformats.org/officeDocument/2006/relationships/hyperlink"/><Relationship Id="rId1072" Target="http%3A%2F%2Fdx.doi.org%2F10.1007%2Fs40620-024-02011-9" TargetMode="External" Type="http://schemas.openxmlformats.org/officeDocument/2006/relationships/hyperlink"/><Relationship Id="rId1073" Target="https%3A%2F%2Fwww.webofscience.com%2Fwos%2Fwoscc%2Ffull-record%2FWOS%3A001263066700001" TargetMode="External" Type="http://schemas.openxmlformats.org/officeDocument/2006/relationships/hyperlink"/><Relationship Id="rId1074" Target="http%3A%2F%2Fdx.doi.org%2F10.3389%2Ffnut.2026.1750814" TargetMode="External" Type="http://schemas.openxmlformats.org/officeDocument/2006/relationships/hyperlink"/><Relationship Id="rId1075" Target="https%3A%2F%2Fwww.webofscience.com%2Fwos%2Fwoscc%2Ffull-record%2FWOS%3A001726289400001" TargetMode="External" Type="http://schemas.openxmlformats.org/officeDocument/2006/relationships/hyperlink"/><Relationship Id="rId1076" Target="http%3A%2F%2Fdx.doi.org%2F10.1200%2FPO.23.00556" TargetMode="External" Type="http://schemas.openxmlformats.org/officeDocument/2006/relationships/hyperlink"/><Relationship Id="rId1077" Target="https%3A%2F%2Fwww.webofscience.com%2Fwos%2Fwoscc%2Ffull-record%2FWOS%3A001283738000003" TargetMode="External" Type="http://schemas.openxmlformats.org/officeDocument/2006/relationships/hyperlink"/><Relationship Id="rId1078" Target="http%3A%2F%2Fdx.doi.org%2F10.1093%2Fehjdh%2Fztad073" TargetMode="External" Type="http://schemas.openxmlformats.org/officeDocument/2006/relationships/hyperlink"/><Relationship Id="rId1079" Target="https%3A%2F%2Fwww.webofscience.com%2Fwos%2Fwoscc%2Ffull-record%2FWOS%3A001186120700003" TargetMode="External" Type="http://schemas.openxmlformats.org/officeDocument/2006/relationships/hyperlink"/><Relationship Id="rId108" Target="https%3A%2F%2Fwww.webofscience.com%2Fwos%2Fwoscc%2Ffull-record%2FWOS%3A001256586900001" TargetMode="External" Type="http://schemas.openxmlformats.org/officeDocument/2006/relationships/hyperlink"/><Relationship Id="rId1080" Target="http%3A%2F%2Fdx.doi.org%2F10.1007%2Fs00240-023-01490-y" TargetMode="External" Type="http://schemas.openxmlformats.org/officeDocument/2006/relationships/hyperlink"/><Relationship Id="rId1081" Target="https%3A%2F%2Fwww.webofscience.com%2Fwos%2Fwoscc%2Ffull-record%2FWOS%3A001075534900001" TargetMode="External" Type="http://schemas.openxmlformats.org/officeDocument/2006/relationships/hyperlink"/><Relationship Id="rId1082" Target="http%3A%2F%2Fdx.doi.org%2F10.1016%2Fj.radonc.2025.111362" TargetMode="External" Type="http://schemas.openxmlformats.org/officeDocument/2006/relationships/hyperlink"/><Relationship Id="rId1083" Target="https%3A%2F%2Fwww.webofscience.com%2Fwos%2Fwoscc%2Ffull-record%2FWOS%3A001659795600001" TargetMode="External" Type="http://schemas.openxmlformats.org/officeDocument/2006/relationships/hyperlink"/><Relationship Id="rId1084" Target="http%3A%2F%2Fdx.doi.org%2F10.1016%2Fj.spinee.2025.03.018" TargetMode="External" Type="http://schemas.openxmlformats.org/officeDocument/2006/relationships/hyperlink"/><Relationship Id="rId1085" Target="https%3A%2F%2Fwww.webofscience.com%2Fwos%2Fwoscc%2Ffull-record%2FWOS%3A001516090500007" TargetMode="External" Type="http://schemas.openxmlformats.org/officeDocument/2006/relationships/hyperlink"/><Relationship Id="rId1086" Target="http%3A%2F%2Fdx.doi.org%2F10.3390%2Fhealthcare14020247" TargetMode="External" Type="http://schemas.openxmlformats.org/officeDocument/2006/relationships/hyperlink"/><Relationship Id="rId1087" Target="https%3A%2F%2Fwww.webofscience.com%2Fwos%2Fwoscc%2Ffull-record%2FWOS%3A001670537300001" TargetMode="External" Type="http://schemas.openxmlformats.org/officeDocument/2006/relationships/hyperlink"/><Relationship Id="rId1088" Target="http%3A%2F%2Fdx.doi.org%2F10.1016%2Fj.intimp.2025.115831" TargetMode="External" Type="http://schemas.openxmlformats.org/officeDocument/2006/relationships/hyperlink"/><Relationship Id="rId1089" Target="https%3A%2F%2Fwww.webofscience.com%2Fwos%2Fwoscc%2Ffull-record%2FWOS%3A001619143300001" TargetMode="External" Type="http://schemas.openxmlformats.org/officeDocument/2006/relationships/hyperlink"/><Relationship Id="rId109" Target="http%3A%2F%2Fdx.doi.org%2F10.1016%2Fj.patrec.2021.09.012" TargetMode="External" Type="http://schemas.openxmlformats.org/officeDocument/2006/relationships/hyperlink"/><Relationship Id="rId1090" Target="http%3A%2F%2Fdx.doi.org%2F10.1016%2Fj.adro.2026.102036" TargetMode="External" Type="http://schemas.openxmlformats.org/officeDocument/2006/relationships/hyperlink"/><Relationship Id="rId1091" Target="https%3A%2F%2Fwww.webofscience.com%2Fwos%2Fwoscc%2Ffull-record%2FWOS%3A001809238600001" TargetMode="External" Type="http://schemas.openxmlformats.org/officeDocument/2006/relationships/hyperlink"/><Relationship Id="rId1092" Target="http%3A%2F%2Fdx.doi.org%2F10.1002%2Fcyto.b.22229" TargetMode="External" Type="http://schemas.openxmlformats.org/officeDocument/2006/relationships/hyperlink"/><Relationship Id="rId1093" Target="https%3A%2F%2Fwww.webofscience.com%2Fwos%2Fwoscc%2Ffull-record%2FWOS%3A001434384700001" TargetMode="External" Type="http://schemas.openxmlformats.org/officeDocument/2006/relationships/hyperlink"/><Relationship Id="rId1094" Target="http%3A%2F%2Fdx.doi.org%2F10.1186%2Fs12967-025-06995-1" TargetMode="External" Type="http://schemas.openxmlformats.org/officeDocument/2006/relationships/hyperlink"/><Relationship Id="rId1095" Target="https%3A%2F%2Fwww.webofscience.com%2Fwos%2Fwoscc%2Ffull-record%2FWOS%3A001562479200013" TargetMode="External" Type="http://schemas.openxmlformats.org/officeDocument/2006/relationships/hyperlink"/><Relationship Id="rId1096" Target="http%3A%2F%2Fdx.doi.org%2F10.1097%2FMD.0000000000048408" TargetMode="External" Type="http://schemas.openxmlformats.org/officeDocument/2006/relationships/hyperlink"/><Relationship Id="rId1097" Target="https%3A%2F%2Fwww.webofscience.com%2Fwos%2Fwoscc%2Ffull-record%2FWOS%3A001760826500036" TargetMode="External" Type="http://schemas.openxmlformats.org/officeDocument/2006/relationships/hyperlink"/><Relationship Id="rId1098" Target="http%3A%2F%2Fdx.doi.org%2F10.1186%2Fs12885-025-15137-1" TargetMode="External" Type="http://schemas.openxmlformats.org/officeDocument/2006/relationships/hyperlink"/><Relationship Id="rId1099" Target="https%3A%2F%2Fwww.webofscience.com%2Fwos%2Fwoscc%2Ffull-record%2FWOS%3A001606913300004" TargetMode="External" Type="http://schemas.openxmlformats.org/officeDocument/2006/relationships/hyperlink"/><Relationship Id="rId11" Target="http%3A%2F%2Fdx.doi.org%2F10.1016%2FS2589-7500%2819%2930004-4" TargetMode="External" Type="http://schemas.openxmlformats.org/officeDocument/2006/relationships/hyperlink"/><Relationship Id="rId110" Target="https%3A%2F%2Fwww.webofscience.com%2Fwos%2Fwoscc%2Ffull-record%2FWOS%3A000704980300006" TargetMode="External" Type="http://schemas.openxmlformats.org/officeDocument/2006/relationships/hyperlink"/><Relationship Id="rId1100" Target="http%3A%2F%2Fdx.doi.org%2F10.1177%2F23259671251333607" TargetMode="External" Type="http://schemas.openxmlformats.org/officeDocument/2006/relationships/hyperlink"/><Relationship Id="rId1101" Target="https%3A%2F%2Fwww.webofscience.com%2Fwos%2Fwoscc%2Ffull-record%2FWOS%3A001481366600001" TargetMode="External" Type="http://schemas.openxmlformats.org/officeDocument/2006/relationships/hyperlink"/><Relationship Id="rId1102" Target="http%3A%2F%2Fdx.doi.org%2F10.1016%2Fj.phro.2024.100668" TargetMode="External" Type="http://schemas.openxmlformats.org/officeDocument/2006/relationships/hyperlink"/><Relationship Id="rId1103" Target="https%3A%2F%2Fwww.webofscience.com%2Fwos%2Fwoscc%2Ffull-record%2FWOS%3A001354823200001" TargetMode="External" Type="http://schemas.openxmlformats.org/officeDocument/2006/relationships/hyperlink"/><Relationship Id="rId1104" Target="http%3A%2F%2Fdx.doi.org%2F10.1097%2FBRS.0000000000004572" TargetMode="External" Type="http://schemas.openxmlformats.org/officeDocument/2006/relationships/hyperlink"/><Relationship Id="rId1105" Target="https%3A%2F%2Fwww.webofscience.com%2Fwos%2Fwoscc%2Ffull-record%2FWOS%3A000948748300008" TargetMode="External" Type="http://schemas.openxmlformats.org/officeDocument/2006/relationships/hyperlink"/><Relationship Id="rId1106" Target="http%3A%2F%2Fdx.doi.org%2F10.1007%2Fs41666-025-00188-7" TargetMode="External" Type="http://schemas.openxmlformats.org/officeDocument/2006/relationships/hyperlink"/><Relationship Id="rId1107" Target="https%3A%2F%2Fwww.webofscience.com%2Fwos%2Fwoscc%2Ffull-record%2FWOS%3A001410563100001" TargetMode="External" Type="http://schemas.openxmlformats.org/officeDocument/2006/relationships/hyperlink"/><Relationship Id="rId1108" Target="http%3A%2F%2Fdx.doi.org%2F10.1016%2Fj.neuroimage.2023.120321" TargetMode="External" Type="http://schemas.openxmlformats.org/officeDocument/2006/relationships/hyperlink"/><Relationship Id="rId1109" Target="https%3A%2F%2Fwww.webofscience.com%2Fwos%2Fwoscc%2Ffull-record%2FWOS%3A001065220200001" TargetMode="External" Type="http://schemas.openxmlformats.org/officeDocument/2006/relationships/hyperlink"/><Relationship Id="rId111" Target="http%3A%2F%2Fdx.doi.org%2F10.3174%2Fajnr.A8715" TargetMode="External" Type="http://schemas.openxmlformats.org/officeDocument/2006/relationships/hyperlink"/><Relationship Id="rId1110" Target="http%3A%2F%2Fdx.doi.org%2F10.1007%2Fs00432-023-05123-0" TargetMode="External" Type="http://schemas.openxmlformats.org/officeDocument/2006/relationships/hyperlink"/><Relationship Id="rId1111" Target="https%3A%2F%2Fwww.webofscience.com%2Fwos%2Fwoscc%2Ffull-record%2FWOS%3A001026615600005" TargetMode="External" Type="http://schemas.openxmlformats.org/officeDocument/2006/relationships/hyperlink"/><Relationship Id="rId1112" Target="http%3A%2F%2Fdx.doi.org%2F10.3389%2Ffradi.2026.1867740" TargetMode="External" Type="http://schemas.openxmlformats.org/officeDocument/2006/relationships/hyperlink"/><Relationship Id="rId1113" Target="https%3A%2F%2Fwww.webofscience.com%2Fwos%2Fwoscc%2Ffull-record%2FWOS%3A001847525100001" TargetMode="External" Type="http://schemas.openxmlformats.org/officeDocument/2006/relationships/hyperlink"/><Relationship Id="rId1114" Target="http%3A%2F%2Fdx.doi.org%2F10.1016%2Fj.phro.2026.100998" TargetMode="External" Type="http://schemas.openxmlformats.org/officeDocument/2006/relationships/hyperlink"/><Relationship Id="rId1115" Target="https%3A%2F%2Fwww.webofscience.com%2Fwos%2Fwoscc%2Ffull-record%2FWOS%3A001779584400001" TargetMode="External" Type="http://schemas.openxmlformats.org/officeDocument/2006/relationships/hyperlink"/><Relationship Id="rId1116" Target="http%3A%2F%2Fdx.doi.org%2F10.1002%2Frcs.2664" TargetMode="External" Type="http://schemas.openxmlformats.org/officeDocument/2006/relationships/hyperlink"/><Relationship Id="rId1117" Target="https%3A%2F%2Fwww.webofscience.com%2Fwos%2Fwoscc%2Ffull-record%2FWOS%3A001270464000001" TargetMode="External" Type="http://schemas.openxmlformats.org/officeDocument/2006/relationships/hyperlink"/><Relationship Id="rId1118" Target="http%3A%2F%2Fdx.doi.org%2F10.3389%2Ffneur.2024.1480792" TargetMode="External" Type="http://schemas.openxmlformats.org/officeDocument/2006/relationships/hyperlink"/><Relationship Id="rId1119" Target="https%3A%2F%2Fwww.webofscience.com%2Fwos%2Fwoscc%2Ffull-record%2FWOS%3A001407341800001" TargetMode="External" Type="http://schemas.openxmlformats.org/officeDocument/2006/relationships/hyperlink"/><Relationship Id="rId112" Target="https%3A%2F%2Fwww.webofscience.com%2Fwos%2Fwoscc%2Ffull-record%2FWOS%3A001542322200001" TargetMode="External" Type="http://schemas.openxmlformats.org/officeDocument/2006/relationships/hyperlink"/><Relationship Id="rId1120" Target="https%3A%2F%2Fwww.webofscience.com%2Fwos%2Fwoscc%2Ffull-record%2FWOS%3A000617319700008" TargetMode="External" Type="http://schemas.openxmlformats.org/officeDocument/2006/relationships/hyperlink"/><Relationship Id="rId1121" Target="http%3A%2F%2Fdx.doi.org%2F10.3389%2Ffonc.2025.1661212" TargetMode="External" Type="http://schemas.openxmlformats.org/officeDocument/2006/relationships/hyperlink"/><Relationship Id="rId1122" Target="https%3A%2F%2Fwww.webofscience.com%2Fwos%2Fwoscc%2Ffull-record%2FWOS%3A001593503300001" TargetMode="External" Type="http://schemas.openxmlformats.org/officeDocument/2006/relationships/hyperlink"/><Relationship Id="rId1123" Target="http%3A%2F%2Fdx.doi.org%2F10.1007%2Fs00261-025-04910-2" TargetMode="External" Type="http://schemas.openxmlformats.org/officeDocument/2006/relationships/hyperlink"/><Relationship Id="rId1124" Target="https%3A%2F%2Fwww.webofscience.com%2Fwos%2Fwoscc%2Ffull-record%2FWOS%3A001479644300001" TargetMode="External" Type="http://schemas.openxmlformats.org/officeDocument/2006/relationships/hyperlink"/><Relationship Id="rId1125" Target="http%3A%2F%2Fdx.doi.org%2F10.2147%2FCLEP.S588848" TargetMode="External" Type="http://schemas.openxmlformats.org/officeDocument/2006/relationships/hyperlink"/><Relationship Id="rId1126" Target="https%3A%2F%2Fwww.webofscience.com%2Fwos%2Fwoscc%2Ffull-record%2FWOS%3A001727186700001" TargetMode="External" Type="http://schemas.openxmlformats.org/officeDocument/2006/relationships/hyperlink"/><Relationship Id="rId1127" Target="http%3A%2F%2Fdx.doi.org%2F10.3389%2Ffendo.2025.1665935" TargetMode="External" Type="http://schemas.openxmlformats.org/officeDocument/2006/relationships/hyperlink"/><Relationship Id="rId1128" Target="https%3A%2F%2Fwww.webofscience.com%2Fwos%2Fwoscc%2Ffull-record%2FWOS%3A001627964200001" TargetMode="External" Type="http://schemas.openxmlformats.org/officeDocument/2006/relationships/hyperlink"/><Relationship Id="rId1129" Target="http%3A%2F%2Fdx.doi.org%2F10.1093%2Fehjdh%2Fztac001" TargetMode="External" Type="http://schemas.openxmlformats.org/officeDocument/2006/relationships/hyperlink"/><Relationship Id="rId113" Target="http%3A%2F%2Fdx.doi.org%2F10.2196%2F39536" TargetMode="External" Type="http://schemas.openxmlformats.org/officeDocument/2006/relationships/hyperlink"/><Relationship Id="rId1130" Target="https%3A%2F%2Fwww.webofscience.com%2Fwos%2Fwoscc%2Ffull-record%2FWOS%3A001142566900002" TargetMode="External" Type="http://schemas.openxmlformats.org/officeDocument/2006/relationships/hyperlink"/><Relationship Id="rId1131" Target="http%3A%2F%2Fdx.doi.org%2F10.1016%2Fj.jpedsurg.2024.161883" TargetMode="External" Type="http://schemas.openxmlformats.org/officeDocument/2006/relationships/hyperlink"/><Relationship Id="rId1132" Target="https%3A%2F%2Fwww.webofscience.com%2Fwos%2Fwoscc%2Ffull-record%2FWOS%3A001359910400001" TargetMode="External" Type="http://schemas.openxmlformats.org/officeDocument/2006/relationships/hyperlink"/><Relationship Id="rId1133" Target="http%3A%2F%2Fdx.doi.org%2F10.1016%2Fj.cmpb.2023.107708" TargetMode="External" Type="http://schemas.openxmlformats.org/officeDocument/2006/relationships/hyperlink"/><Relationship Id="rId1134" Target="https%3A%2F%2Fwww.webofscience.com%2Fwos%2Fwoscc%2Ffull-record%2FWOS%3A001044455700001" TargetMode="External" Type="http://schemas.openxmlformats.org/officeDocument/2006/relationships/hyperlink"/><Relationship Id="rId1135" Target="http%3A%2F%2Fdx.doi.org%2F10.1186%2Fs12884-025-08500-4" TargetMode="External" Type="http://schemas.openxmlformats.org/officeDocument/2006/relationships/hyperlink"/><Relationship Id="rId1136" Target="https%3A%2F%2Fwww.webofscience.com%2Fwos%2Fwoscc%2Ffull-record%2FWOS%3A001651125400011" TargetMode="External" Type="http://schemas.openxmlformats.org/officeDocument/2006/relationships/hyperlink"/><Relationship Id="rId1137" Target="http%3A%2F%2Fdx.doi.org%2F10.1200%2FJCO.24.00117" TargetMode="External" Type="http://schemas.openxmlformats.org/officeDocument/2006/relationships/hyperlink"/><Relationship Id="rId1138" Target="https%3A%2F%2Fwww.webofscience.com%2Fwos%2Fwoscc%2Ffull-record%2FWOS%3A001468556400005" TargetMode="External" Type="http://schemas.openxmlformats.org/officeDocument/2006/relationships/hyperlink"/><Relationship Id="rId1139" Target="http%3A%2F%2Fdx.doi.org%2F10.1007%2Fs12028-022-01610-3" TargetMode="External" Type="http://schemas.openxmlformats.org/officeDocument/2006/relationships/hyperlink"/><Relationship Id="rId114" Target="https%3A%2F%2Fwww.webofscience.com%2Fwos%2Fwoscc%2Ffull-record%2FWOS%3A000917774000006" TargetMode="External" Type="http://schemas.openxmlformats.org/officeDocument/2006/relationships/hyperlink"/><Relationship Id="rId1140" Target="https%3A%2F%2Fwww.webofscience.com%2Fwos%2Fwoscc%2Ffull-record%2FWOS%3A000867530500003" TargetMode="External" Type="http://schemas.openxmlformats.org/officeDocument/2006/relationships/hyperlink"/><Relationship Id="rId1141" Target="http%3A%2F%2Fdx.doi.org%2F10.2196%2F37850" TargetMode="External" Type="http://schemas.openxmlformats.org/officeDocument/2006/relationships/hyperlink"/><Relationship Id="rId1142" Target="https%3A%2F%2Fwww.webofscience.com%2Fwos%2Fwoscc%2Ffull-record%2FWOS%3A000862887700022" TargetMode="External" Type="http://schemas.openxmlformats.org/officeDocument/2006/relationships/hyperlink"/><Relationship Id="rId1143" Target="http%3A%2F%2Fdx.doi.org%2F10.1111%2Fggi.70229" TargetMode="External" Type="http://schemas.openxmlformats.org/officeDocument/2006/relationships/hyperlink"/><Relationship Id="rId1144" Target="https%3A%2F%2Fwww.webofscience.com%2Fwos%2Fwoscc%2Ffull-record%2FWOS%3A001596889500001" TargetMode="External" Type="http://schemas.openxmlformats.org/officeDocument/2006/relationships/hyperlink"/><Relationship Id="rId1145" Target="http%3A%2F%2Fdx.doi.org%2F10.1007%2Fs10067-025-07750-z" TargetMode="External" Type="http://schemas.openxmlformats.org/officeDocument/2006/relationships/hyperlink"/><Relationship Id="rId1146" Target="https%3A%2F%2Fwww.webofscience.com%2Fwos%2Fwoscc%2Ffull-record%2FWOS%3A001615650100001" TargetMode="External" Type="http://schemas.openxmlformats.org/officeDocument/2006/relationships/hyperlink"/><Relationship Id="rId1147" Target="http%3A%2F%2Fdx.doi.org%2F10.1158%2F1078-0432.CCR-20-3286" TargetMode="External" Type="http://schemas.openxmlformats.org/officeDocument/2006/relationships/hyperlink"/><Relationship Id="rId1148" Target="https%3A%2F%2Fwww.webofscience.com%2Fwos%2Fwoscc%2Ffull-record%2FWOS%3A000620168400031" TargetMode="External" Type="http://schemas.openxmlformats.org/officeDocument/2006/relationships/hyperlink"/><Relationship Id="rId1149" Target="http%3A%2F%2Fdx.doi.org%2F10.1007%2Fs10067-025-07880-4" TargetMode="External" Type="http://schemas.openxmlformats.org/officeDocument/2006/relationships/hyperlink"/><Relationship Id="rId115" Target="http%3A%2F%2Fdx.doi.org%2F10.1093%2Fdmfr%2Ftwag054" TargetMode="External" Type="http://schemas.openxmlformats.org/officeDocument/2006/relationships/hyperlink"/><Relationship Id="rId1150" Target="https%3A%2F%2Fwww.webofscience.com%2Fwos%2Fwoscc%2Ffull-record%2FWOS%3A001646053000001" TargetMode="External" Type="http://schemas.openxmlformats.org/officeDocument/2006/relationships/hyperlink"/><Relationship Id="rId1151" Target="http%3A%2F%2Fdx.doi.org%2F10.1007%2Fs11604-024-01704-2" TargetMode="External" Type="http://schemas.openxmlformats.org/officeDocument/2006/relationships/hyperlink"/><Relationship Id="rId1152" Target="https%3A%2F%2Fwww.webofscience.com%2Fwos%2Fwoscc%2Ffull-record%2FWOS%3A001366667600001" TargetMode="External" Type="http://schemas.openxmlformats.org/officeDocument/2006/relationships/hyperlink"/><Relationship Id="rId1153" Target="http%3A%2F%2Fdx.doi.org%2F10.1007%2Fs00330-019-06652-4" TargetMode="External" Type="http://schemas.openxmlformats.org/officeDocument/2006/relationships/hyperlink"/><Relationship Id="rId1154" Target="https%3A%2F%2Fwww.webofscience.com%2Fwos%2Fwoscc%2Ffull-record%2FWOS%3A000516260600002" TargetMode="External" Type="http://schemas.openxmlformats.org/officeDocument/2006/relationships/hyperlink"/><Relationship Id="rId1155" Target="http%3A%2F%2Fdx.doi.org%2F10.1016%2Fj.ebiom.2022.104176" TargetMode="External" Type="http://schemas.openxmlformats.org/officeDocument/2006/relationships/hyperlink"/><Relationship Id="rId1156" Target="https%3A%2F%2Fwww.webofscience.com%2Fwos%2Fwoscc%2Ffull-record%2FWOS%3A000830983200010" TargetMode="External" Type="http://schemas.openxmlformats.org/officeDocument/2006/relationships/hyperlink"/><Relationship Id="rId1157" Target="http%3A%2F%2Fdx.doi.org%2F10.1186%2Fs12874-021-01354-2" TargetMode="External" Type="http://schemas.openxmlformats.org/officeDocument/2006/relationships/hyperlink"/><Relationship Id="rId1158" Target="https%3A%2F%2Fwww.webofscience.com%2Fwos%2Fwoscc%2Ffull-record%2FWOS%3A000686715000003" TargetMode="External" Type="http://schemas.openxmlformats.org/officeDocument/2006/relationships/hyperlink"/><Relationship Id="rId1159" Target="http%3A%2F%2Fdx.doi.org%2F10.1016%2Fj.iswa.2026.200716" TargetMode="External" Type="http://schemas.openxmlformats.org/officeDocument/2006/relationships/hyperlink"/><Relationship Id="rId116" Target="https%3A%2F%2Fwww.webofscience.com%2Fwos%2Fwoscc%2Ffull-record%2FWOS%3A001849723000001" TargetMode="External" Type="http://schemas.openxmlformats.org/officeDocument/2006/relationships/hyperlink"/><Relationship Id="rId1160" Target="https%3A%2F%2Fwww.webofscience.com%2Fwos%2Fwoscc%2Ffull-record%2FWOS%3A001851989800001" TargetMode="External" Type="http://schemas.openxmlformats.org/officeDocument/2006/relationships/hyperlink"/><Relationship Id="rId1161" Target="http%3A%2F%2Fdx.doi.org%2F10.1016%2Fj.ijmedinf.2024.105487" TargetMode="External" Type="http://schemas.openxmlformats.org/officeDocument/2006/relationships/hyperlink"/><Relationship Id="rId1162" Target="https%3A%2F%2Fwww.webofscience.com%2Fwos%2Fwoscc%2Ffull-record%2FWOS%3A001336325600001" TargetMode="External" Type="http://schemas.openxmlformats.org/officeDocument/2006/relationships/hyperlink"/><Relationship Id="rId1163" Target="http%3A%2F%2Fdx.doi.org%2F10.3390%2Fijerph19159057" TargetMode="External" Type="http://schemas.openxmlformats.org/officeDocument/2006/relationships/hyperlink"/><Relationship Id="rId1164" Target="https%3A%2F%2Fwww.webofscience.com%2Fwos%2Fwoscc%2Ffull-record%2FWOS%3A000839313400001" TargetMode="External" Type="http://schemas.openxmlformats.org/officeDocument/2006/relationships/hyperlink"/><Relationship Id="rId1165" Target="http%3A%2F%2Fdx.doi.org%2F10.1016%2Fj.spinee.2021.01.027" TargetMode="External" Type="http://schemas.openxmlformats.org/officeDocument/2006/relationships/hyperlink"/><Relationship Id="rId1166" Target="https%3A%2F%2Fwww.webofscience.com%2Fwos%2Fwoscc%2Ffull-record%2FWOS%3A000704865800012" TargetMode="External" Type="http://schemas.openxmlformats.org/officeDocument/2006/relationships/hyperlink"/><Relationship Id="rId1167" Target="http%3A%2F%2Fdx.doi.org%2F10.1093%2Feuropace%2Feuaf031" TargetMode="External" Type="http://schemas.openxmlformats.org/officeDocument/2006/relationships/hyperlink"/><Relationship Id="rId1168" Target="https%3A%2F%2Fwww.webofscience.com%2Fwos%2Fwoscc%2Ffull-record%2FWOS%3A001457590900001" TargetMode="External" Type="http://schemas.openxmlformats.org/officeDocument/2006/relationships/hyperlink"/><Relationship Id="rId1169" Target="http%3A%2F%2Fdx.doi.org%2F10.3389%2Ffnagi.2026.1855864" TargetMode="External" Type="http://schemas.openxmlformats.org/officeDocument/2006/relationships/hyperlink"/><Relationship Id="rId117" Target="http%3A%2F%2Fdx.doi.org%2F10.3390%2Flife16020357" TargetMode="External" Type="http://schemas.openxmlformats.org/officeDocument/2006/relationships/hyperlink"/><Relationship Id="rId1170" Target="https%3A%2F%2Fwww.webofscience.com%2Fwos%2Fwoscc%2Ffull-record%2FWOS%3A001813140200001" TargetMode="External" Type="http://schemas.openxmlformats.org/officeDocument/2006/relationships/hyperlink"/><Relationship Id="rId1171" Target="http%3A%2F%2Fdx.doi.org%2F10.1177%2F1460458218813600" TargetMode="External" Type="http://schemas.openxmlformats.org/officeDocument/2006/relationships/hyperlink"/><Relationship Id="rId1172" Target="https%3A%2F%2Fwww.webofscience.com%2Fwos%2Fwoscc%2Ffull-record%2FWOS%3A000532778400004" TargetMode="External" Type="http://schemas.openxmlformats.org/officeDocument/2006/relationships/hyperlink"/><Relationship Id="rId1173" Target="http%3A%2F%2Fdx.doi.org%2F10.1080%2F10503307.2020.1823029" TargetMode="External" Type="http://schemas.openxmlformats.org/officeDocument/2006/relationships/hyperlink"/><Relationship Id="rId1174" Target="https%3A%2F%2Fwww.webofscience.com%2Fwos%2Fwoscc%2Ffull-record%2FWOS%3A000572195300001" TargetMode="External" Type="http://schemas.openxmlformats.org/officeDocument/2006/relationships/hyperlink"/><Relationship Id="rId1175" Target="http%3A%2F%2Fdx.doi.org%2F10.1016%2Fj.surg.2025.109406" TargetMode="External" Type="http://schemas.openxmlformats.org/officeDocument/2006/relationships/hyperlink"/><Relationship Id="rId1176" Target="https%3A%2F%2Fwww.webofscience.com%2Fwos%2Fwoscc%2Ffull-record%2FWOS%3A001492021800001" TargetMode="External" Type="http://schemas.openxmlformats.org/officeDocument/2006/relationships/hyperlink"/><Relationship Id="rId1177" Target="http%3A%2F%2Fdx.doi.org%2F10.1186%2Fs12882-026-05109-3" TargetMode="External" Type="http://schemas.openxmlformats.org/officeDocument/2006/relationships/hyperlink"/><Relationship Id="rId1178" Target="https%3A%2F%2Fwww.webofscience.com%2Fwos%2Fwoscc%2Ffull-record%2FWOS%3A001850139900001" TargetMode="External" Type="http://schemas.openxmlformats.org/officeDocument/2006/relationships/hyperlink"/><Relationship Id="rId1179" Target="http%3A%2F%2Fdx.doi.org%2F10.1089%2Fneu.2022.0251" TargetMode="External" Type="http://schemas.openxmlformats.org/officeDocument/2006/relationships/hyperlink"/><Relationship Id="rId118" Target="https%3A%2F%2Fwww.webofscience.com%2Fwos%2Fwoscc%2Ffull-record%2FWOS%3A001702379300001" TargetMode="External" Type="http://schemas.openxmlformats.org/officeDocument/2006/relationships/hyperlink"/><Relationship Id="rId1180" Target="https%3A%2F%2Fwww.webofscience.com%2Fwos%2Fwoscc%2Ffull-record%2FWOS%3A000892090400001" TargetMode="External" Type="http://schemas.openxmlformats.org/officeDocument/2006/relationships/hyperlink"/><Relationship Id="rId1181" Target="http%3A%2F%2Fdx.doi.org%2F10.2196%2F15932" TargetMode="External" Type="http://schemas.openxmlformats.org/officeDocument/2006/relationships/hyperlink"/><Relationship Id="rId1182" Target="https%3A%2F%2Fwww.webofscience.com%2Fwos%2Fwoscc%2Ffull-record%2FWOS%3A000565159200015" TargetMode="External" Type="http://schemas.openxmlformats.org/officeDocument/2006/relationships/hyperlink"/><Relationship Id="rId1183" Target="http%3A%2F%2Fdx.doi.org%2F10.1038%2Fs41551-018-0265-3" TargetMode="External" Type="http://schemas.openxmlformats.org/officeDocument/2006/relationships/hyperlink"/><Relationship Id="rId1184" Target="https%3A%2F%2Fwww.webofscience.com%2Fwos%2Fwoscc%2Ffull-record%2FWOS%3A000444282800011" TargetMode="External" Type="http://schemas.openxmlformats.org/officeDocument/2006/relationships/hyperlink"/><Relationship Id="rId1185" Target="http%3A%2F%2Fdx.doi.org%2F10.1016%2Fj.jcrc.2023.154400" TargetMode="External" Type="http://schemas.openxmlformats.org/officeDocument/2006/relationships/hyperlink"/><Relationship Id="rId1186" Target="https%3A%2F%2Fwww.webofscience.com%2Fwos%2Fwoscc%2Ffull-record%2FWOS%3A001170985800001" TargetMode="External" Type="http://schemas.openxmlformats.org/officeDocument/2006/relationships/hyperlink"/><Relationship Id="rId1187" Target="http%3A%2F%2Fdx.doi.org%2F10.3389%2Ffpubh.2024.1413529" TargetMode="External" Type="http://schemas.openxmlformats.org/officeDocument/2006/relationships/hyperlink"/><Relationship Id="rId1188" Target="https%3A%2F%2Fwww.webofscience.com%2Fwos%2Fwoscc%2Ffull-record%2FWOS%3A001375624400001" TargetMode="External" Type="http://schemas.openxmlformats.org/officeDocument/2006/relationships/hyperlink"/><Relationship Id="rId1189" Target="http%3A%2F%2Fdx.doi.org%2F10.1186%2Fs13054-023-04320-0" TargetMode="External" Type="http://schemas.openxmlformats.org/officeDocument/2006/relationships/hyperlink"/><Relationship Id="rId119" Target="http%3A%2F%2Fdx.doi.org%2F10.14309%2Fajg.0000000000002050" TargetMode="External" Type="http://schemas.openxmlformats.org/officeDocument/2006/relationships/hyperlink"/><Relationship Id="rId1190" Target="https%3A%2F%2Fwww.webofscience.com%2Fwos%2Fwoscc%2Ffull-record%2FWOS%3A000922860900002" TargetMode="External" Type="http://schemas.openxmlformats.org/officeDocument/2006/relationships/hyperlink"/><Relationship Id="rId1191" Target="http%3A%2F%2Fdx.doi.org%2F10.1016%2FS2589-7500%2823%2900067-5" TargetMode="External" Type="http://schemas.openxmlformats.org/officeDocument/2006/relationships/hyperlink"/><Relationship Id="rId1192" Target="https%3A%2F%2Fwww.webofscience.com%2Fwos%2Fwoscc%2Ffull-record%2FWOS%3A001734730300001" TargetMode="External" Type="http://schemas.openxmlformats.org/officeDocument/2006/relationships/hyperlink"/><Relationship Id="rId1193" Target="http%3A%2F%2Fdx.doi.org%2F10.1002%2Fpon.70528" TargetMode="External" Type="http://schemas.openxmlformats.org/officeDocument/2006/relationships/hyperlink"/><Relationship Id="rId1194" Target="https%3A%2F%2Fwww.webofscience.com%2Fwos%2Fwoscc%2Ffull-record%2FWOS%3A001797901900001" TargetMode="External" Type="http://schemas.openxmlformats.org/officeDocument/2006/relationships/hyperlink"/><Relationship Id="rId1195" Target="http%3A%2F%2Fdx.doi.org%2F10.1136%2Fbmjopen-2024-098476" TargetMode="External" Type="http://schemas.openxmlformats.org/officeDocument/2006/relationships/hyperlink"/><Relationship Id="rId1196" Target="https%3A%2F%2Fwww.webofscience.com%2Fwos%2Fwoscc%2Ffull-record%2FWOS%3A001451908500001" TargetMode="External" Type="http://schemas.openxmlformats.org/officeDocument/2006/relationships/hyperlink"/><Relationship Id="rId1197" Target="http%3A%2F%2Fdx.doi.org%2F10.1097%2FSLA.0000000000004132" TargetMode="External" Type="http://schemas.openxmlformats.org/officeDocument/2006/relationships/hyperlink"/><Relationship Id="rId1198" Target="https%3A%2F%2Fwww.webofscience.com%2Fwos%2Fwoscc%2Ffull-record%2FWOS%3A000639399600014" TargetMode="External" Type="http://schemas.openxmlformats.org/officeDocument/2006/relationships/hyperlink"/><Relationship Id="rId1199" Target="http%3A%2F%2Fdx.doi.org%2F10.1136%2Fbmjopen-2024-091793" TargetMode="External" Type="http://schemas.openxmlformats.org/officeDocument/2006/relationships/hyperlink"/><Relationship Id="rId12" Target="https%3A%2F%2Fwww.webofscience.com%2Fwos%2Fwoscc%2Ffull-record%2FWOS%3A000525867400011" TargetMode="External" Type="http://schemas.openxmlformats.org/officeDocument/2006/relationships/hyperlink"/><Relationship Id="rId120" Target="https%3A%2F%2Fwww.webofscience.com%2Fwos%2Fwoscc%2Ffull-record%2FWOS%3A000917940200027" TargetMode="External" Type="http://schemas.openxmlformats.org/officeDocument/2006/relationships/hyperlink"/><Relationship Id="rId1200" Target="https%3A%2F%2Fwww.webofscience.com%2Fwos%2Fwoscc%2Ffull-record%2FWOS%3A001391507100001" TargetMode="External" Type="http://schemas.openxmlformats.org/officeDocument/2006/relationships/hyperlink"/><Relationship Id="rId1201" Target="http%3A%2F%2Fdx.doi.org%2F10.3390%2Fdiagnostics14121208" TargetMode="External" Type="http://schemas.openxmlformats.org/officeDocument/2006/relationships/hyperlink"/><Relationship Id="rId1202" Target="https%3A%2F%2Fwww.webofscience.com%2Fwos%2Fwoscc%2Ffull-record%2FWOS%3A001254472000001" TargetMode="External" Type="http://schemas.openxmlformats.org/officeDocument/2006/relationships/hyperlink"/><Relationship Id="rId1203" Target="http%3A%2F%2Fdx.doi.org%2F10.1016%2FS2589-7500%2823%2900268-6" TargetMode="External" Type="http://schemas.openxmlformats.org/officeDocument/2006/relationships/hyperlink"/><Relationship Id="rId1204" Target="https%3A%2F%2Fwww.webofscience.com%2Fwos%2Fwoscc%2Ffull-record%2FWOS%3A001228530300001" TargetMode="External" Type="http://schemas.openxmlformats.org/officeDocument/2006/relationships/hyperlink"/><Relationship Id="rId1205" Target="http%3A%2F%2Fdx.doi.org%2F10.3389%2Ffendo.2026.1809473" TargetMode="External" Type="http://schemas.openxmlformats.org/officeDocument/2006/relationships/hyperlink"/><Relationship Id="rId1206" Target="https%3A%2F%2Fwww.webofscience.com%2Fwos%2Fwoscc%2Ffull-record%2FWOS%3A001772411700001" TargetMode="External" Type="http://schemas.openxmlformats.org/officeDocument/2006/relationships/hyperlink"/><Relationship Id="rId1207" Target="http%3A%2F%2Fdx.doi.org%2F10.1016%2Fj.spinee.2022.02.009" TargetMode="External" Type="http://schemas.openxmlformats.org/officeDocument/2006/relationships/hyperlink"/><Relationship Id="rId1208" Target="https%3A%2F%2Fwww.webofscience.com%2Fwos%2Fwoscc%2Ffull-record%2FWOS%3A000817045100007" TargetMode="External" Type="http://schemas.openxmlformats.org/officeDocument/2006/relationships/hyperlink"/><Relationship Id="rId1209" Target="http%3A%2F%2Fdx.doi.org%2F10.7189%2Fjogh.16.04031" TargetMode="External" Type="http://schemas.openxmlformats.org/officeDocument/2006/relationships/hyperlink"/><Relationship Id="rId121" Target="http%3A%2F%2Fdx.doi.org%2F10.2196%2F80384" TargetMode="External" Type="http://schemas.openxmlformats.org/officeDocument/2006/relationships/hyperlink"/><Relationship Id="rId1210" Target="https%3A%2F%2Fwww.webofscience.com%2Fwos%2Fwoscc%2Ffull-record%2FWOS%3A001667434600001" TargetMode="External" Type="http://schemas.openxmlformats.org/officeDocument/2006/relationships/hyperlink"/><Relationship Id="rId1211" Target="http%3A%2F%2Fdx.doi.org%2F10.3389%2Ffmed.2026.1806672" TargetMode="External" Type="http://schemas.openxmlformats.org/officeDocument/2006/relationships/hyperlink"/><Relationship Id="rId1212" Target="https%3A%2F%2Fwww.webofscience.com%2Fwos%2Fwoscc%2Ffull-record%2FWOS%3A001770961800001" TargetMode="External" Type="http://schemas.openxmlformats.org/officeDocument/2006/relationships/hyperlink"/><Relationship Id="rId1213" Target="http%3A%2F%2Fdx.doi.org%2F10.3390%2Fdiagnostics16142227" TargetMode="External" Type="http://schemas.openxmlformats.org/officeDocument/2006/relationships/hyperlink"/><Relationship Id="rId1214" Target="https%3A%2F%2Fwww.webofscience.com%2Fwos%2Fwoscc%2Ffull-record%2FWOS%3A001833257900001" TargetMode="External" Type="http://schemas.openxmlformats.org/officeDocument/2006/relationships/hyperlink"/><Relationship Id="rId1215" Target="http%3A%2F%2Fdx.doi.org%2F10.1016%2Fj.jpsychires.2024.06.003" TargetMode="External" Type="http://schemas.openxmlformats.org/officeDocument/2006/relationships/hyperlink"/><Relationship Id="rId1216" Target="https%3A%2F%2Fwww.webofscience.com%2Fwos%2Fwoscc%2Ffull-record%2FWOS%3A001272370700001" TargetMode="External" Type="http://schemas.openxmlformats.org/officeDocument/2006/relationships/hyperlink"/><Relationship Id="rId1217" Target="http%3A%2F%2Fdx.doi.org%2F10.1186%2Fs13054-024-04954-8" TargetMode="External" Type="http://schemas.openxmlformats.org/officeDocument/2006/relationships/hyperlink"/><Relationship Id="rId1218" Target="https%3A%2F%2Fwww.webofscience.com%2Fwos%2Fwoscc%2Ffull-record%2FWOS%3A001238679700001" TargetMode="External" Type="http://schemas.openxmlformats.org/officeDocument/2006/relationships/hyperlink"/><Relationship Id="rId1219" Target="http%3A%2F%2Fdx.doi.org%2F10.3348%2Fkjr.2024.0653" TargetMode="External" Type="http://schemas.openxmlformats.org/officeDocument/2006/relationships/hyperlink"/><Relationship Id="rId122" Target="https%3A%2F%2Fwww.webofscience.com%2Fwos%2Fwoscc%2Ffull-record%2FWOS%3A001765561800001" TargetMode="External" Type="http://schemas.openxmlformats.org/officeDocument/2006/relationships/hyperlink"/><Relationship Id="rId1220" Target="https%3A%2F%2Fwww.webofscience.com%2Fwos%2Fwoscc%2Ffull-record%2FWOS%3A001390274300007" TargetMode="External" Type="http://schemas.openxmlformats.org/officeDocument/2006/relationships/hyperlink"/><Relationship Id="rId1221" Target="http%3A%2F%2Fdx.doi.org%2F10.1016%2Fj.pdpdt.2026.105600" TargetMode="External" Type="http://schemas.openxmlformats.org/officeDocument/2006/relationships/hyperlink"/><Relationship Id="rId1222" Target="https%3A%2F%2Fwww.webofscience.com%2Fwos%2Fwoscc%2Ffull-record%2FWOS%3A001851275500001" TargetMode="External" Type="http://schemas.openxmlformats.org/officeDocument/2006/relationships/hyperlink"/><Relationship Id="rId1223" Target="http%3A%2F%2Fdx.doi.org%2F10.3389%2Ffimmu.2025.1609183" TargetMode="External" Type="http://schemas.openxmlformats.org/officeDocument/2006/relationships/hyperlink"/><Relationship Id="rId1224" Target="https%3A%2F%2Fwww.webofscience.com%2Fwos%2Fwoscc%2Ffull-record%2FWOS%3A001530515100001" TargetMode="External" Type="http://schemas.openxmlformats.org/officeDocument/2006/relationships/hyperlink"/><Relationship Id="rId1225" Target="http%3A%2F%2Fdx.doi.org%2F10.1088%2F1361-6560%2Fae110d" TargetMode="External" Type="http://schemas.openxmlformats.org/officeDocument/2006/relationships/hyperlink"/><Relationship Id="rId1226" Target="https%3A%2F%2Fwww.webofscience.com%2Fwos%2Fwoscc%2Ffull-record%2FWOS%3A001598221500001" TargetMode="External" Type="http://schemas.openxmlformats.org/officeDocument/2006/relationships/hyperlink"/><Relationship Id="rId1227" Target="http%3A%2F%2Fdx.doi.org%2F10.3390%2Fdiagnostics11040675" TargetMode="External" Type="http://schemas.openxmlformats.org/officeDocument/2006/relationships/hyperlink"/><Relationship Id="rId1228" Target="https%3A%2F%2Fwww.webofscience.com%2Fwos%2Fwoscc%2Ffull-record%2FWOS%3A000642996400001" TargetMode="External" Type="http://schemas.openxmlformats.org/officeDocument/2006/relationships/hyperlink"/><Relationship Id="rId1229" Target="http%3A%2F%2Fdx.doi.org%2F10.2196%2F44650" TargetMode="External" Type="http://schemas.openxmlformats.org/officeDocument/2006/relationships/hyperlink"/><Relationship Id="rId123" Target="http%3A%2F%2Fdx.doi.org%2F10.1016%2Fj.jamcollsurg.2021.03.026" TargetMode="External" Type="http://schemas.openxmlformats.org/officeDocument/2006/relationships/hyperlink"/><Relationship Id="rId1230" Target="https%3A%2F%2Fwww.webofscience.com%2Fwos%2Fwoscc%2Ffull-record%2FWOS%3A001015233200010" TargetMode="External" Type="http://schemas.openxmlformats.org/officeDocument/2006/relationships/hyperlink"/><Relationship Id="rId1231" Target="http%3A%2F%2Fdx.doi.org%2F10.1016%2Fj.jointm.2025.10.010" TargetMode="External" Type="http://schemas.openxmlformats.org/officeDocument/2006/relationships/hyperlink"/><Relationship Id="rId1232" Target="https%3A%2F%2Fwww.webofscience.com%2Fwos%2Fwoscc%2Ffull-record%2FWOS%3A001747141600001" TargetMode="External" Type="http://schemas.openxmlformats.org/officeDocument/2006/relationships/hyperlink"/><Relationship Id="rId1233" Target="http%3A%2F%2Fdx.doi.org%2F10.1007%2Fs00520-022-07570-w" TargetMode="External" Type="http://schemas.openxmlformats.org/officeDocument/2006/relationships/hyperlink"/><Relationship Id="rId1234" Target="https%3A%2F%2Fwww.webofscience.com%2Fwos%2Fwoscc%2Ffull-record%2FWOS%3A000911901900002" TargetMode="External" Type="http://schemas.openxmlformats.org/officeDocument/2006/relationships/hyperlink"/><Relationship Id="rId1235" Target="http%3A%2F%2Fdx.doi.org%2F10.31083%2Fj.rcm2409265" TargetMode="External" Type="http://schemas.openxmlformats.org/officeDocument/2006/relationships/hyperlink"/><Relationship Id="rId1236" Target="https%3A%2F%2Fwww.webofscience.com%2Fwos%2Fwoscc%2Ffull-record%2FWOS%3A001085096700018" TargetMode="External" Type="http://schemas.openxmlformats.org/officeDocument/2006/relationships/hyperlink"/><Relationship Id="rId1237" Target="http%3A%2F%2Fdx.doi.org%2F10.1016%2Fj.ejrad.2026.113127" TargetMode="External" Type="http://schemas.openxmlformats.org/officeDocument/2006/relationships/hyperlink"/><Relationship Id="rId1238" Target="https%3A%2F%2Fwww.webofscience.com%2Fwos%2Fwoscc%2Ffull-record%2FWOS%3A001843226400001" TargetMode="External" Type="http://schemas.openxmlformats.org/officeDocument/2006/relationships/hyperlink"/><Relationship Id="rId1239" Target="http%3A%2F%2Fdx.doi.org%2F10.3390%2Fcancers17020331" TargetMode="External" Type="http://schemas.openxmlformats.org/officeDocument/2006/relationships/hyperlink"/><Relationship Id="rId124" Target="https%3A%2F%2Fwww.webofscience.com%2Fwos%2Fwoscc%2Ffull-record%2FWOS%3A000654326000030" TargetMode="External" Type="http://schemas.openxmlformats.org/officeDocument/2006/relationships/hyperlink"/><Relationship Id="rId1240" Target="https%3A%2F%2Fwww.webofscience.com%2Fwos%2Fwoscc%2Ffull-record%2FWOS%3A001405686300001" TargetMode="External" Type="http://schemas.openxmlformats.org/officeDocument/2006/relationships/hyperlink"/><Relationship Id="rId1241" Target="http%3A%2F%2Fdx.doi.org%2F10.3390%2Fjcm9061981" TargetMode="External" Type="http://schemas.openxmlformats.org/officeDocument/2006/relationships/hyperlink"/><Relationship Id="rId1242" Target="https%3A%2F%2Fwww.webofscience.com%2Fwos%2Fwoscc%2Ffull-record%2FWOS%3A000553871600001" TargetMode="External" Type="http://schemas.openxmlformats.org/officeDocument/2006/relationships/hyperlink"/><Relationship Id="rId1243" Target="http%3A%2F%2Fdx.doi.org%2F10.1186%2Fs12911-026-03616-9" TargetMode="External" Type="http://schemas.openxmlformats.org/officeDocument/2006/relationships/hyperlink"/><Relationship Id="rId1244" Target="https%3A%2F%2Fwww.webofscience.com%2Fwos%2Fwoscc%2Ffull-record%2FWOS%3A001846135800001" TargetMode="External" Type="http://schemas.openxmlformats.org/officeDocument/2006/relationships/hyperlink"/><Relationship Id="rId1245" Target="http%3A%2F%2Fdx.doi.org%2F10.52628%2F90.3.12636" TargetMode="External" Type="http://schemas.openxmlformats.org/officeDocument/2006/relationships/hyperlink"/><Relationship Id="rId1246" Target="https%3A%2F%2Fwww.webofscience.com%2Fwos%2Fwoscc%2Ffull-record%2FWOS%3A001421064000016" TargetMode="External" Type="http://schemas.openxmlformats.org/officeDocument/2006/relationships/hyperlink"/><Relationship Id="rId1247" Target="http%3A%2F%2Fdx.doi.org%2F10.1002%2Fjmri.70200" TargetMode="External" Type="http://schemas.openxmlformats.org/officeDocument/2006/relationships/hyperlink"/><Relationship Id="rId1248" Target="https%3A%2F%2Fwww.webofscience.com%2Fwos%2Fwoscc%2Ffull-record%2FWOS%3A001631937800001" TargetMode="External" Type="http://schemas.openxmlformats.org/officeDocument/2006/relationships/hyperlink"/><Relationship Id="rId1249" Target="http%3A%2F%2Fdx.doi.org%2F10.1007%2Fs00432-023-05339-0" TargetMode="External" Type="http://schemas.openxmlformats.org/officeDocument/2006/relationships/hyperlink"/><Relationship Id="rId125" Target="http%3A%2F%2Fdx.doi.org%2F10.5124%2Fjkma.2020.63.11.696" TargetMode="External" Type="http://schemas.openxmlformats.org/officeDocument/2006/relationships/hyperlink"/><Relationship Id="rId1250" Target="https%3A%2F%2Fwww.webofscience.com%2Fwos%2Fwoscc%2Ffull-record%2FWOS%3A001062847400005" TargetMode="External" Type="http://schemas.openxmlformats.org/officeDocument/2006/relationships/hyperlink"/><Relationship Id="rId1251" Target="http%3A%2F%2Fdx.doi.org%2F10.1186%2Fs40644-026-01090-0" TargetMode="External" Type="http://schemas.openxmlformats.org/officeDocument/2006/relationships/hyperlink"/><Relationship Id="rId1252" Target="https%3A%2F%2Fwww.webofscience.com%2Fwos%2Fwoscc%2Ffull-record%2FWOS%3A001853682400001" TargetMode="External" Type="http://schemas.openxmlformats.org/officeDocument/2006/relationships/hyperlink"/><Relationship Id="rId1253" Target="http%3A%2F%2Fdx.doi.org%2F10.3899%2Fjrheum.2024-0074" TargetMode="External" Type="http://schemas.openxmlformats.org/officeDocument/2006/relationships/hyperlink"/><Relationship Id="rId1254" Target="https%3A%2F%2Fwww.webofscience.com%2Fwos%2Fwoscc%2Ffull-record%2FWOS%3A001317303100004" TargetMode="External" Type="http://schemas.openxmlformats.org/officeDocument/2006/relationships/hyperlink"/><Relationship Id="rId1255" Target="http%3A%2F%2Fdx.doi.org%2F10.2196%2F55046" TargetMode="External" Type="http://schemas.openxmlformats.org/officeDocument/2006/relationships/hyperlink"/><Relationship Id="rId1256" Target="https%3A%2F%2Fwww.webofscience.com%2Fwos%2Fwoscc%2Ffull-record%2FWOS%3A001411097200005" TargetMode="External" Type="http://schemas.openxmlformats.org/officeDocument/2006/relationships/hyperlink"/><Relationship Id="rId1257" Target="http%3A%2F%2Fdx.doi.org%2F10.1371%2Fjournal.pone.0287398" TargetMode="External" Type="http://schemas.openxmlformats.org/officeDocument/2006/relationships/hyperlink"/><Relationship Id="rId1258" Target="https%3A%2F%2Fwww.webofscience.com%2Fwos%2Fwoscc%2Ffull-record%2FWOS%3A001038263300008" TargetMode="External" Type="http://schemas.openxmlformats.org/officeDocument/2006/relationships/hyperlink"/><Relationship Id="rId1259" Target="http%3A%2F%2Fdx.doi.org%2F10.1016%2Fj.euf.2023.07.004" TargetMode="External" Type="http://schemas.openxmlformats.org/officeDocument/2006/relationships/hyperlink"/><Relationship Id="rId126" Target="https%3A%2F%2Fwww.webofscience.com%2Fwos%2Fwoscc%2Ffull-record%2FWOS%3A000591648700006" TargetMode="External" Type="http://schemas.openxmlformats.org/officeDocument/2006/relationships/hyperlink"/><Relationship Id="rId1260" Target="https%3A%2F%2Fwww.webofscience.com%2Fwos%2Fwoscc%2Ffull-record%2FWOS%3A001202257100001" TargetMode="External" Type="http://schemas.openxmlformats.org/officeDocument/2006/relationships/hyperlink"/><Relationship Id="rId1261" Target="http%3A%2F%2Fdx.doi.org%2F10.1007%2Fs11701-025-02465-4" TargetMode="External" Type="http://schemas.openxmlformats.org/officeDocument/2006/relationships/hyperlink"/><Relationship Id="rId1262" Target="https%3A%2F%2Fwww.webofscience.com%2Fwos%2Fwoscc%2Ffull-record%2FWOS%3A001520310800001" TargetMode="External" Type="http://schemas.openxmlformats.org/officeDocument/2006/relationships/hyperlink"/><Relationship Id="rId1263" Target="http%3A%2F%2Fdx.doi.org%2F10.1016%2Fj.spinee.2025.03.022" TargetMode="External" Type="http://schemas.openxmlformats.org/officeDocument/2006/relationships/hyperlink"/><Relationship Id="rId1264" Target="https%3A%2F%2Fwww.webofscience.com%2Fwos%2Fwoscc%2Ffull-record%2FWOS%3A001555905300001" TargetMode="External" Type="http://schemas.openxmlformats.org/officeDocument/2006/relationships/hyperlink"/><Relationship Id="rId1265" Target="http%3A%2F%2Fdx.doi.org%2F10.1093%2Fehjqcco%2Fqcad028" TargetMode="External" Type="http://schemas.openxmlformats.org/officeDocument/2006/relationships/hyperlink"/><Relationship Id="rId1266" Target="https%3A%2F%2Fwww.webofscience.com%2Fwos%2Fwoscc%2Ffull-record%2FWOS%3A001008059900001" TargetMode="External" Type="http://schemas.openxmlformats.org/officeDocument/2006/relationships/hyperlink"/><Relationship Id="rId1267" Target="http%3A%2F%2Fdx.doi.org%2F10.3389%2Ffneur.2026.1837898" TargetMode="External" Type="http://schemas.openxmlformats.org/officeDocument/2006/relationships/hyperlink"/><Relationship Id="rId1268" Target="https%3A%2F%2Fwww.webofscience.com%2Fwos%2Fwoscc%2Ffull-record%2FWOS%3A001842456800001" TargetMode="External" Type="http://schemas.openxmlformats.org/officeDocument/2006/relationships/hyperlink"/><Relationship Id="rId1269" Target="http%3A%2F%2Fdx.doi.org%2F10.3390%2Fjcm12237466" TargetMode="External" Type="http://schemas.openxmlformats.org/officeDocument/2006/relationships/hyperlink"/><Relationship Id="rId127" Target="http%3A%2F%2Fdx.doi.org%2F10.1093%2Fjamiaopen%2Fooad109" TargetMode="External" Type="http://schemas.openxmlformats.org/officeDocument/2006/relationships/hyperlink"/><Relationship Id="rId1270" Target="https%3A%2F%2Fwww.webofscience.com%2Fwos%2Fwoscc%2Ffull-record%2FWOS%3A001117719200001" TargetMode="External" Type="http://schemas.openxmlformats.org/officeDocument/2006/relationships/hyperlink"/><Relationship Id="rId1271" Target="http%3A%2F%2Fdx.doi.org%2F10.3389%2Ffonc.2024.1375096" TargetMode="External" Type="http://schemas.openxmlformats.org/officeDocument/2006/relationships/hyperlink"/><Relationship Id="rId1272" Target="https%3A%2F%2Fwww.webofscience.com%2Fwos%2Fwoscc%2Ffull-record%2FWOS%3A001275924600001" TargetMode="External" Type="http://schemas.openxmlformats.org/officeDocument/2006/relationships/hyperlink"/><Relationship Id="rId1273" Target="http%3A%2F%2Fdx.doi.org%2F10.1097%2FJS9.0000000000003469" TargetMode="External" Type="http://schemas.openxmlformats.org/officeDocument/2006/relationships/hyperlink"/><Relationship Id="rId1274" Target="https%3A%2F%2Fwww.webofscience.com%2Fwos%2Fwoscc%2Ffull-record%2FWOS%3A001680465700037" TargetMode="External" Type="http://schemas.openxmlformats.org/officeDocument/2006/relationships/hyperlink"/><Relationship Id="rId1275" Target="http%3A%2F%2Fdx.doi.org%2F10.3389%2Ffonc.2026.1798296" TargetMode="External" Type="http://schemas.openxmlformats.org/officeDocument/2006/relationships/hyperlink"/><Relationship Id="rId1276" Target="https%3A%2F%2Fwww.webofscience.com%2Fwos%2Fwoscc%2Ffull-record%2FWOS%3A001751024700001" TargetMode="External" Type="http://schemas.openxmlformats.org/officeDocument/2006/relationships/hyperlink"/><Relationship Id="rId1277" Target="http%3A%2F%2Fdx.doi.org%2F10.1186%2Fs12911-026-03465-6" TargetMode="External" Type="http://schemas.openxmlformats.org/officeDocument/2006/relationships/hyperlink"/><Relationship Id="rId1278" Target="https%3A%2F%2Fwww.webofscience.com%2Fwos%2Fwoscc%2Ffull-record%2FWOS%3A001769753900001" TargetMode="External" Type="http://schemas.openxmlformats.org/officeDocument/2006/relationships/hyperlink"/><Relationship Id="rId1279" Target="http%3A%2F%2Fdx.doi.org%2F10.1016%2Fj.ijmedinf.2026.106267" TargetMode="External" Type="http://schemas.openxmlformats.org/officeDocument/2006/relationships/hyperlink"/><Relationship Id="rId128" Target="https%3A%2F%2Fwww.webofscience.com%2Fwos%2Fwoscc%2Ffull-record%2FWOS%3A001129074600001" TargetMode="External" Type="http://schemas.openxmlformats.org/officeDocument/2006/relationships/hyperlink"/><Relationship Id="rId1280" Target="https%3A%2F%2Fwww.webofscience.com%2Fwos%2Fwoscc%2Ffull-record%2FWOS%3A001669489500001" TargetMode="External" Type="http://schemas.openxmlformats.org/officeDocument/2006/relationships/hyperlink"/><Relationship Id="rId1281" Target="http%3A%2F%2Fdx.doi.org%2F10.1016%2Fj.ijmedinf.2026.106602" TargetMode="External" Type="http://schemas.openxmlformats.org/officeDocument/2006/relationships/hyperlink"/><Relationship Id="rId1282" Target="https%3A%2F%2Fwww.webofscience.com%2Fwos%2Fwoscc%2Ffull-record%2FWOS%3A001824007200001" TargetMode="External" Type="http://schemas.openxmlformats.org/officeDocument/2006/relationships/hyperlink"/><Relationship Id="rId1283" Target="http%3A%2F%2Fdx.doi.org%2F10.21037%2Fgs-2026-1-0107" TargetMode="External" Type="http://schemas.openxmlformats.org/officeDocument/2006/relationships/hyperlink"/><Relationship Id="rId1284" Target="https%3A%2F%2Fwww.webofscience.com%2Fwos%2Fwoscc%2Ffull-record%2FWOS%3A001821264300012" TargetMode="External" Type="http://schemas.openxmlformats.org/officeDocument/2006/relationships/hyperlink"/><Relationship Id="rId1285" Target="http%3A%2F%2Fdx.doi.org%2F10.2196%2F86087" TargetMode="External" Type="http://schemas.openxmlformats.org/officeDocument/2006/relationships/hyperlink"/><Relationship Id="rId1286" Target="https%3A%2F%2Fwww.webofscience.com%2Fwos%2Fwoscc%2Ffull-record%2FWOS%3A001824822800003" TargetMode="External" Type="http://schemas.openxmlformats.org/officeDocument/2006/relationships/hyperlink"/><Relationship Id="rId1287" Target="http%3A%2F%2Fdx.doi.org%2F10.2196%2F24048" TargetMode="External" Type="http://schemas.openxmlformats.org/officeDocument/2006/relationships/hyperlink"/><Relationship Id="rId1288" Target="https%3A%2F%2Fwww.webofscience.com%2Fwos%2Fwoscc%2Ffull-record%2FWOS%3A000602383300002" TargetMode="External" Type="http://schemas.openxmlformats.org/officeDocument/2006/relationships/hyperlink"/><Relationship Id="rId1289" Target="http%3A%2F%2Fdx.doi.org%2F10.1097%2FRTI.0000000000000798" TargetMode="External" Type="http://schemas.openxmlformats.org/officeDocument/2006/relationships/hyperlink"/><Relationship Id="rId129" Target="http%3A%2F%2Fdx.doi.org%2F10.1038%2Fs41746-025-01664-5" TargetMode="External" Type="http://schemas.openxmlformats.org/officeDocument/2006/relationships/hyperlink"/><Relationship Id="rId1290" Target="https%3A%2F%2Fwww.webofscience.com%2Fwos%2Fwoscc%2Ffull-record%2FWOS%3A001383038700006" TargetMode="External" Type="http://schemas.openxmlformats.org/officeDocument/2006/relationships/hyperlink"/><Relationship Id="rId1291" Target="http%3A%2F%2Fdx.doi.org%2F10.1016%2Fj.ijmedinf.2025.105817" TargetMode="External" Type="http://schemas.openxmlformats.org/officeDocument/2006/relationships/hyperlink"/><Relationship Id="rId1292" Target="https%3A%2F%2Fwww.webofscience.com%2Fwos%2Fwoscc%2Ffull-record%2FWOS%3A001417059100001" TargetMode="External" Type="http://schemas.openxmlformats.org/officeDocument/2006/relationships/hyperlink"/><Relationship Id="rId1293" Target="http%3A%2F%2Fdx.doi.org%2F10.3389%2Ffendo.2026.1699647" TargetMode="External" Type="http://schemas.openxmlformats.org/officeDocument/2006/relationships/hyperlink"/><Relationship Id="rId1294" Target="https%3A%2F%2Fwww.webofscience.com%2Fwos%2Fwoscc%2Ffull-record%2FWOS%3A001713119000001" TargetMode="External" Type="http://schemas.openxmlformats.org/officeDocument/2006/relationships/hyperlink"/><Relationship Id="rId1295" Target="http%3A%2F%2Fdx.doi.org%2F10.1016%2Fj.ijmedinf.2026.106274" TargetMode="External" Type="http://schemas.openxmlformats.org/officeDocument/2006/relationships/hyperlink"/><Relationship Id="rId1296" Target="https%3A%2F%2Fwww.webofscience.com%2Fwos%2Fwoscc%2Ffull-record%2FWOS%3A001665028400001" TargetMode="External" Type="http://schemas.openxmlformats.org/officeDocument/2006/relationships/hyperlink"/><Relationship Id="rId1297" Target="http%3A%2F%2Fdx.doi.org%2F10.1016%2Fj.spinee.2023.01.008" TargetMode="External" Type="http://schemas.openxmlformats.org/officeDocument/2006/relationships/hyperlink"/><Relationship Id="rId1298" Target="https%3A%2F%2Fwww.webofscience.com%2Fwos%2Fwoscc%2Ffull-record%2FWOS%3A000988666700001" TargetMode="External" Type="http://schemas.openxmlformats.org/officeDocument/2006/relationships/hyperlink"/><Relationship Id="rId1299" Target="http%3A%2F%2Fdx.doi.org%2F10.1164%2Frccm.202409-1847OC" TargetMode="External" Type="http://schemas.openxmlformats.org/officeDocument/2006/relationships/hyperlink"/><Relationship Id="rId13" Target="http%3A%2F%2Fdx.doi.org%2F10.3390%2Fvision9040084" TargetMode="External" Type="http://schemas.openxmlformats.org/officeDocument/2006/relationships/hyperlink"/><Relationship Id="rId130" Target="https%3A%2F%2Fwww.webofscience.com%2Fwos%2Fwoscc%2Ffull-record%2FWOS%3A001507899200004" TargetMode="External" Type="http://schemas.openxmlformats.org/officeDocument/2006/relationships/hyperlink"/><Relationship Id="rId1300" Target="https%3A%2F%2Fwww.webofscience.com%2Fwos%2Fwoscc%2Ffull-record%2FWOS%3A001558871400001" TargetMode="External" Type="http://schemas.openxmlformats.org/officeDocument/2006/relationships/hyperlink"/><Relationship Id="rId1301" Target="http%3A%2F%2Fdx.doi.org%2F10.1186%2Fs13054-026-06034-5" TargetMode="External" Type="http://schemas.openxmlformats.org/officeDocument/2006/relationships/hyperlink"/><Relationship Id="rId1302" Target="https%3A%2F%2Fwww.webofscience.com%2Fwos%2Fwoscc%2Ffull-record%2FWOS%3A001815481300001" TargetMode="External" Type="http://schemas.openxmlformats.org/officeDocument/2006/relationships/hyperlink"/><Relationship Id="rId1303" Target="http%3A%2F%2Fdx.doi.org%2F10.1007%2Fs12149-026-02213-0" TargetMode="External" Type="http://schemas.openxmlformats.org/officeDocument/2006/relationships/hyperlink"/><Relationship Id="rId1304" Target="https%3A%2F%2Fwww.webofscience.com%2Fwos%2Fwoscc%2Ffull-record%2FWOS%3A001761271700001" TargetMode="External" Type="http://schemas.openxmlformats.org/officeDocument/2006/relationships/hyperlink"/><Relationship Id="rId1305" Target="http%3A%2F%2Fdx.doi.org%2F10.1200%2FGO.24.00146" TargetMode="External" Type="http://schemas.openxmlformats.org/officeDocument/2006/relationships/hyperlink"/><Relationship Id="rId1306" Target="https%3A%2F%2Fwww.webofscience.com%2Fwos%2Fwoscc%2Ffull-record%2FWOS%3A001379061400001" TargetMode="External" Type="http://schemas.openxmlformats.org/officeDocument/2006/relationships/hyperlink"/><Relationship Id="rId1307" Target="http%3A%2F%2Fdx.doi.org%2F10.3389%2Ffcvm.2026.1908251" TargetMode="External" Type="http://schemas.openxmlformats.org/officeDocument/2006/relationships/hyperlink"/><Relationship Id="rId1308" Target="https%3A%2F%2Fwww.webofscience.com%2Fwos%2Fwoscc%2Ffull-record%2FWOS%3A001846088300001" TargetMode="External" Type="http://schemas.openxmlformats.org/officeDocument/2006/relationships/hyperlink"/><Relationship Id="rId1309" Target="http%3A%2F%2Fdx.doi.org%2F10.1186%2Fs12967-025-06102-4" TargetMode="External" Type="http://schemas.openxmlformats.org/officeDocument/2006/relationships/hyperlink"/><Relationship Id="rId131" Target="http%3A%2F%2Fdx.doi.org%2F10.1111%2Fcodi.70097" TargetMode="External" Type="http://schemas.openxmlformats.org/officeDocument/2006/relationships/hyperlink"/><Relationship Id="rId1310" Target="https%3A%2F%2Fwww.webofscience.com%2Fwos%2Fwoscc%2Ffull-record%2FWOS%3A001403031600003" TargetMode="External" Type="http://schemas.openxmlformats.org/officeDocument/2006/relationships/hyperlink"/><Relationship Id="rId1311" Target="http%3A%2F%2Fdx.doi.org%2F10.3389%2Ffrai.2022.1050803" TargetMode="External" Type="http://schemas.openxmlformats.org/officeDocument/2006/relationships/hyperlink"/><Relationship Id="rId1312" Target="https%3A%2F%2Fwww.webofscience.com%2Fwos%2Fwoscc%2Ffull-record%2FWOS%3A000913862700001" TargetMode="External" Type="http://schemas.openxmlformats.org/officeDocument/2006/relationships/hyperlink"/><Relationship Id="rId1313" Target="http%3A%2F%2Fdx.doi.org%2F10.1016%2Fj.eclinm.2022.101773" TargetMode="External" Type="http://schemas.openxmlformats.org/officeDocument/2006/relationships/hyperlink"/><Relationship Id="rId1314" Target="https%3A%2F%2Fwww.webofscience.com%2Fwos%2Fwoscc%2Ffull-record%2FWOS%3A000922650700008" TargetMode="External" Type="http://schemas.openxmlformats.org/officeDocument/2006/relationships/hyperlink"/><Relationship Id="rId1315" Target="http%3A%2F%2Fdx.doi.org%2F10.1186%2Fs40658-026-00835-x" TargetMode="External" Type="http://schemas.openxmlformats.org/officeDocument/2006/relationships/hyperlink"/><Relationship Id="rId1316" Target="https%3A%2F%2Fwww.webofscience.com%2Fwos%2Fwoscc%2Ffull-record%2FWOS%3A001724362500001" TargetMode="External" Type="http://schemas.openxmlformats.org/officeDocument/2006/relationships/hyperlink"/><Relationship Id="rId1317" Target="http%3A%2F%2Fdx.doi.org%2F10.21037%2Fqims-24-77" TargetMode="External" Type="http://schemas.openxmlformats.org/officeDocument/2006/relationships/hyperlink"/><Relationship Id="rId1318" Target="https%3A%2F%2Fwww.webofscience.com%2Fwos%2Fwoscc%2Ffull-record%2FWOS%3A001312968100010" TargetMode="External" Type="http://schemas.openxmlformats.org/officeDocument/2006/relationships/hyperlink"/><Relationship Id="rId1319" Target="http%3A%2F%2Fdx.doi.org%2F10.1097%2FCCM.0000000000006137" TargetMode="External" Type="http://schemas.openxmlformats.org/officeDocument/2006/relationships/hyperlink"/><Relationship Id="rId132" Target="https%3A%2F%2Fwww.webofscience.com%2Fwos%2Fwoscc%2Ffull-record%2FWOS%3A001473363400001" TargetMode="External" Type="http://schemas.openxmlformats.org/officeDocument/2006/relationships/hyperlink"/><Relationship Id="rId1320" Target="https%3A%2F%2Fwww.webofscience.com%2Fwos%2Fwoscc%2Ffull-record%2FWOS%3A001168124200014" TargetMode="External" Type="http://schemas.openxmlformats.org/officeDocument/2006/relationships/hyperlink"/><Relationship Id="rId1321" Target="http%3A%2F%2Fdx.doi.org%2F10.1016%2Fj.landig.2025.100885" TargetMode="External" Type="http://schemas.openxmlformats.org/officeDocument/2006/relationships/hyperlink"/><Relationship Id="rId1322" Target="https%3A%2F%2Fwww.webofscience.com%2Fwos%2Fwoscc%2Ffull-record%2FWOS%3A001583605800007" TargetMode="External" Type="http://schemas.openxmlformats.org/officeDocument/2006/relationships/hyperlink"/><Relationship Id="rId1323" Target="http%3A%2F%2Fdx.doi.org%2F10.1515%2Fcclm-2025-1624" TargetMode="External" Type="http://schemas.openxmlformats.org/officeDocument/2006/relationships/hyperlink"/><Relationship Id="rId1324" Target="https%3A%2F%2Fwww.webofscience.com%2Fwos%2Fwoscc%2Ffull-record%2FWOS%3A001753299200001" TargetMode="External" Type="http://schemas.openxmlformats.org/officeDocument/2006/relationships/hyperlink"/><Relationship Id="rId1325" Target="http%3A%2F%2Fdx.doi.org%2F10.1371%2Fjournal.pone.0262193" TargetMode="External" Type="http://schemas.openxmlformats.org/officeDocument/2006/relationships/hyperlink"/><Relationship Id="rId1326" Target="https%3A%2F%2Fwww.webofscience.com%2Fwos%2Fwoscc%2Ffull-record%2FWOS%3A000765956200023" TargetMode="External" Type="http://schemas.openxmlformats.org/officeDocument/2006/relationships/hyperlink"/><Relationship Id="rId1327" Target="http%3A%2F%2Fdx.doi.org%2F10.3389%2Ffonc.2025.1586262" TargetMode="External" Type="http://schemas.openxmlformats.org/officeDocument/2006/relationships/hyperlink"/><Relationship Id="rId1328" Target="https%3A%2F%2Fwww.webofscience.com%2Fwos%2Fwoscc%2Ffull-record%2FWOS%3A001503708700001" TargetMode="External" Type="http://schemas.openxmlformats.org/officeDocument/2006/relationships/hyperlink"/><Relationship Id="rId133" Target="http%3A%2F%2Fdx.doi.org%2F10.1093%2Fjamiaopen%2Fooae091" TargetMode="External" Type="http://schemas.openxmlformats.org/officeDocument/2006/relationships/hyperlink"/><Relationship Id="rId134" Target="https%3A%2F%2Fwww.webofscience.com%2Fwos%2Fwoscc%2Ffull-record%2FWOS%3A001314847000001" TargetMode="External" Type="http://schemas.openxmlformats.org/officeDocument/2006/relationships/hyperlink"/><Relationship Id="rId135" Target="http%3A%2F%2Fdx.doi.org%2F10.1001%2Fjamanetworkopen.2020.12892" TargetMode="External" Type="http://schemas.openxmlformats.org/officeDocument/2006/relationships/hyperlink"/><Relationship Id="rId136" Target="https%3A%2F%2Fwww.webofscience.com%2Fwos%2Fwoscc%2Ffull-record%2FWOS%3A000562842500003" TargetMode="External" Type="http://schemas.openxmlformats.org/officeDocument/2006/relationships/hyperlink"/><Relationship Id="rId137" Target="http%3A%2F%2Fdx.doi.org%2F10.2214%2FAJR.24.31639" TargetMode="External" Type="http://schemas.openxmlformats.org/officeDocument/2006/relationships/hyperlink"/><Relationship Id="rId138" Target="https%3A%2F%2Fwww.webofscience.com%2Fwos%2Fwoscc%2Ffull-record%2FWOS%3A001405166700018" TargetMode="External" Type="http://schemas.openxmlformats.org/officeDocument/2006/relationships/hyperlink"/><Relationship Id="rId139" Target="http%3A%2F%2Fdx.doi.org%2F10.1093%2Flabmed%2Flmac049" TargetMode="External" Type="http://schemas.openxmlformats.org/officeDocument/2006/relationships/hyperlink"/><Relationship Id="rId14" Target="https%3A%2F%2Fwww.webofscience.com%2Fwos%2Fwoscc%2Ffull-record%2FWOS%3A001647425800001" TargetMode="External" Type="http://schemas.openxmlformats.org/officeDocument/2006/relationships/hyperlink"/><Relationship Id="rId140" Target="https%3A%2F%2Fwww.webofscience.com%2Fwos%2Fwoscc%2Ffull-record%2FWOS%3A000817224200001" TargetMode="External" Type="http://schemas.openxmlformats.org/officeDocument/2006/relationships/hyperlink"/><Relationship Id="rId141" Target="http%3A%2F%2Fdx.doi.org%2F10.1007%2Fs00586-022-07245-4" TargetMode="External" Type="http://schemas.openxmlformats.org/officeDocument/2006/relationships/hyperlink"/><Relationship Id="rId142" Target="https%3A%2F%2Fwww.webofscience.com%2Fwos%2Fwoscc%2Ffull-record%2FWOS%3A000800814300003" TargetMode="External" Type="http://schemas.openxmlformats.org/officeDocument/2006/relationships/hyperlink"/><Relationship Id="rId143" Target="http%3A%2F%2Fdx.doi.org%2F10.1016%2Fj.diii.2021.10.007" TargetMode="External" Type="http://schemas.openxmlformats.org/officeDocument/2006/relationships/hyperlink"/><Relationship Id="rId144" Target="https%3A%2F%2Fwww.webofscience.com%2Fwos%2Fwoscc%2Ffull-record%2FWOS%3A000761236000004" TargetMode="External" Type="http://schemas.openxmlformats.org/officeDocument/2006/relationships/hyperlink"/><Relationship Id="rId145" Target="http%3A%2F%2Fdx.doi.org%2F10.1016%2Fj.ejrad.2024.111361" TargetMode="External" Type="http://schemas.openxmlformats.org/officeDocument/2006/relationships/hyperlink"/><Relationship Id="rId146" Target="https%3A%2F%2Fwww.webofscience.com%2Fwos%2Fwoscc%2Ffull-record%2FWOS%3A001199542900001" TargetMode="External" Type="http://schemas.openxmlformats.org/officeDocument/2006/relationships/hyperlink"/><Relationship Id="rId147" Target="http%3A%2F%2Fdx.doi.org%2F10.1007%2Fs10822-016-9960-x" TargetMode="External" Type="http://schemas.openxmlformats.org/officeDocument/2006/relationships/hyperlink"/><Relationship Id="rId148" Target="https%3A%2F%2Fwww.webofscience.com%2Fwos%2Fwoscc%2Ffull-record%2FWOS%3A000387088900009" TargetMode="External" Type="http://schemas.openxmlformats.org/officeDocument/2006/relationships/hyperlink"/><Relationship Id="rId149" Target="http%3A%2F%2Fdx.doi.org%2F10.1016%2Fj.phro.2020.06.006" TargetMode="External" Type="http://schemas.openxmlformats.org/officeDocument/2006/relationships/hyperlink"/><Relationship Id="rId15" Target="http%3A%2F%2Fdx.doi.org%2F10.3390%2Fjcm15114287" TargetMode="External" Type="http://schemas.openxmlformats.org/officeDocument/2006/relationships/hyperlink"/><Relationship Id="rId150" Target="https%3A%2F%2Fwww.webofscience.com%2Fwos%2Fwoscc%2Ffull-record%2FWOS%3A000645140700002" TargetMode="External" Type="http://schemas.openxmlformats.org/officeDocument/2006/relationships/hyperlink"/><Relationship Id="rId151" Target="http%3A%2F%2Fdx.doi.org%2F10.4070%2Fkcj.2019.0105" TargetMode="External" Type="http://schemas.openxmlformats.org/officeDocument/2006/relationships/hyperlink"/><Relationship Id="rId152" Target="https%3A%2F%2Fwww.webofscience.com%2Fwos%2Fwoscc%2Ffull-record%2FWOS%3A000503409700009" TargetMode="External" Type="http://schemas.openxmlformats.org/officeDocument/2006/relationships/hyperlink"/><Relationship Id="rId153" Target="http%3A%2F%2Fdx.doi.org%2F10.1002%2Fehf2.14918" TargetMode="External" Type="http://schemas.openxmlformats.org/officeDocument/2006/relationships/hyperlink"/><Relationship Id="rId154" Target="https%3A%2F%2Fwww.webofscience.com%2Fwos%2Fwoscc%2Ffull-record%2FWOS%3A001268037400001" TargetMode="External" Type="http://schemas.openxmlformats.org/officeDocument/2006/relationships/hyperlink"/><Relationship Id="rId155" Target="http%3A%2F%2Fdx.doi.org%2F10.1148%2Fryai.2021200190" TargetMode="External" Type="http://schemas.openxmlformats.org/officeDocument/2006/relationships/hyperlink"/><Relationship Id="rId156" Target="https%3A%2F%2Fwww.webofscience.com%2Fwos%2Fwoscc%2Ffull-record%2FWOS%3A000826909000007" TargetMode="External" Type="http://schemas.openxmlformats.org/officeDocument/2006/relationships/hyperlink"/><Relationship Id="rId157" Target="http%3A%2F%2Fdx.doi.org%2F10.1038%2Fs41433-025-04025-4" TargetMode="External" Type="http://schemas.openxmlformats.org/officeDocument/2006/relationships/hyperlink"/><Relationship Id="rId158" Target="https%3A%2F%2Fwww.webofscience.com%2Fwos%2Fwoscc%2Ffull-record%2FWOS%3A001575992100001" TargetMode="External" Type="http://schemas.openxmlformats.org/officeDocument/2006/relationships/hyperlink"/><Relationship Id="rId159" Target="http%3A%2F%2Fdx.doi.org%2F10.1007%2Fs00330-025-11790-z" TargetMode="External" Type="http://schemas.openxmlformats.org/officeDocument/2006/relationships/hyperlink"/><Relationship Id="rId16" Target="https%3A%2F%2Fwww.webofscience.com%2Fwos%2Fwoscc%2Ffull-record%2FWOS%3A001790056200001" TargetMode="External" Type="http://schemas.openxmlformats.org/officeDocument/2006/relationships/hyperlink"/><Relationship Id="rId160" Target="https%3A%2F%2Fwww.webofscience.com%2Fwos%2Fwoscc%2Ffull-record%2FWOS%3A001523888800001" TargetMode="External" Type="http://schemas.openxmlformats.org/officeDocument/2006/relationships/hyperlink"/><Relationship Id="rId161" Target="http%3A%2F%2Fdx.doi.org%2F10.2214%2FAJR.23.29120" TargetMode="External" Type="http://schemas.openxmlformats.org/officeDocument/2006/relationships/hyperlink"/><Relationship Id="rId162" Target="https%3A%2F%2Fwww.webofscience.com%2Fwos%2Fwoscc%2Ffull-record%2FWOS%3A001075850600020" TargetMode="External" Type="http://schemas.openxmlformats.org/officeDocument/2006/relationships/hyperlink"/><Relationship Id="rId163" Target="http%3A%2F%2Fdx.doi.org%2F10.31083%2FJIN48811" TargetMode="External" Type="http://schemas.openxmlformats.org/officeDocument/2006/relationships/hyperlink"/><Relationship Id="rId164" Target="https%3A%2F%2Fwww.webofscience.com%2Fwos%2Fwoscc%2Ffull-record%2FWOS%3A001752760200003" TargetMode="External" Type="http://schemas.openxmlformats.org/officeDocument/2006/relationships/hyperlink"/><Relationship Id="rId165" Target="http%3A%2F%2Fdx.doi.org%2F10.1016%2Fj.diii.2023.09.008" TargetMode="External" Type="http://schemas.openxmlformats.org/officeDocument/2006/relationships/hyperlink"/><Relationship Id="rId166" Target="https%3A%2F%2Fwww.webofscience.com%2Fwos%2Fwoscc%2Ffull-record%2FWOS%3A001206344400001" TargetMode="External" Type="http://schemas.openxmlformats.org/officeDocument/2006/relationships/hyperlink"/><Relationship Id="rId167" Target="http%3A%2F%2Fdx.doi.org%2F10.1016%2Fj.surg.2022.03.031" TargetMode="External" Type="http://schemas.openxmlformats.org/officeDocument/2006/relationships/hyperlink"/><Relationship Id="rId168" Target="https%3A%2F%2Fwww.webofscience.com%2Fwos%2Fwoscc%2Ffull-record%2FWOS%3A000863530900027" TargetMode="External" Type="http://schemas.openxmlformats.org/officeDocument/2006/relationships/hyperlink"/><Relationship Id="rId169" Target="http%3A%2F%2Fdx.doi.org%2F10.1038%2Fs41746-026-02682-7" TargetMode="External" Type="http://schemas.openxmlformats.org/officeDocument/2006/relationships/hyperlink"/><Relationship Id="rId17" Target="http%3A%2F%2Fdx.doi.org%2F10.3390%2Fjcm13102970" TargetMode="External" Type="http://schemas.openxmlformats.org/officeDocument/2006/relationships/hyperlink"/><Relationship Id="rId170" Target="https%3A%2F%2Fwww.webofscience.com%2Fwos%2Fwoscc%2Ffull-record%2FWOS%3A001812075400002" TargetMode="External" Type="http://schemas.openxmlformats.org/officeDocument/2006/relationships/hyperlink"/><Relationship Id="rId171" Target="http%3A%2F%2Fdx.doi.org%2F10.1016%2Fj.jaapos.2025.104696" TargetMode="External" Type="http://schemas.openxmlformats.org/officeDocument/2006/relationships/hyperlink"/><Relationship Id="rId172" Target="https%3A%2F%2Fwww.webofscience.com%2Fwos%2Fwoscc%2Ffull-record%2FWOS%3A001639276400001" TargetMode="External" Type="http://schemas.openxmlformats.org/officeDocument/2006/relationships/hyperlink"/><Relationship Id="rId173" Target="http%3A%2F%2Fdx.doi.org%2F10.1038%2Fs43856-024-00469-z" TargetMode="External" Type="http://schemas.openxmlformats.org/officeDocument/2006/relationships/hyperlink"/><Relationship Id="rId174" Target="https%3A%2F%2Fwww.webofscience.com%2Fwos%2Fwoscc%2Ffull-record%2FWOS%3A001185201600001" TargetMode="External" Type="http://schemas.openxmlformats.org/officeDocument/2006/relationships/hyperlink"/><Relationship Id="rId175" Target="http%3A%2F%2Fdx.doi.org%2F10.3389%2Ffendo.2026.1746570" TargetMode="External" Type="http://schemas.openxmlformats.org/officeDocument/2006/relationships/hyperlink"/><Relationship Id="rId176" Target="https%3A%2F%2Fwww.webofscience.com%2Fwos%2Fwoscc%2Ffull-record%2FWOS%3A001733305900001" TargetMode="External" Type="http://schemas.openxmlformats.org/officeDocument/2006/relationships/hyperlink"/><Relationship Id="rId177" Target="http%3A%2F%2Fdx.doi.org%2F10.2196%2F73283" TargetMode="External" Type="http://schemas.openxmlformats.org/officeDocument/2006/relationships/hyperlink"/><Relationship Id="rId178" Target="https%3A%2F%2Fwww.webofscience.com%2Fwos%2Fwoscc%2Ffull-record%2FWOS%3A001691737900001" TargetMode="External" Type="http://schemas.openxmlformats.org/officeDocument/2006/relationships/hyperlink"/><Relationship Id="rId179" Target="http%3A%2F%2Fdx.doi.org%2F10.1002%2Fuog.26242" TargetMode="External" Type="http://schemas.openxmlformats.org/officeDocument/2006/relationships/hyperlink"/><Relationship Id="rId18" Target="https%3A%2F%2Fwww.webofscience.com%2Fwos%2Fwoscc%2Ffull-record%2FWOS%3A001233093000001" TargetMode="External" Type="http://schemas.openxmlformats.org/officeDocument/2006/relationships/hyperlink"/><Relationship Id="rId180" Target="https%3A%2F%2Fwww.webofscience.com%2Fwos%2Fwoscc%2Ffull-record%2FWOS%3A001059666400006" TargetMode="External" Type="http://schemas.openxmlformats.org/officeDocument/2006/relationships/hyperlink"/><Relationship Id="rId181" Target="http%3A%2F%2Fdx.doi.org%2F10.1148%2Fradiol.250568" TargetMode="External" Type="http://schemas.openxmlformats.org/officeDocument/2006/relationships/hyperlink"/><Relationship Id="rId182" Target="https%3A%2F%2Fwww.webofscience.com%2Fwos%2Fwoscc%2Ffull-record%2FWOS%3A001583307900001" TargetMode="External" Type="http://schemas.openxmlformats.org/officeDocument/2006/relationships/hyperlink"/><Relationship Id="rId183" Target="http%3A%2F%2Fdx.doi.org%2F10.1016%2Fj.thromres.2022.05.016" TargetMode="External" Type="http://schemas.openxmlformats.org/officeDocument/2006/relationships/hyperlink"/><Relationship Id="rId184" Target="https%3A%2F%2Fwww.webofscience.com%2Fwos%2Fwoscc%2Ffull-record%2FWOS%3A000813001200002" TargetMode="External" Type="http://schemas.openxmlformats.org/officeDocument/2006/relationships/hyperlink"/><Relationship Id="rId185" Target="http%3A%2F%2Fdx.doi.org%2F10.1007%2Fs00228-025-03941-4" TargetMode="External" Type="http://schemas.openxmlformats.org/officeDocument/2006/relationships/hyperlink"/><Relationship Id="rId186" Target="https%3A%2F%2Fwww.webofscience.com%2Fwos%2Fwoscc%2Ffull-record%2FWOS%3A001652510700001" TargetMode="External" Type="http://schemas.openxmlformats.org/officeDocument/2006/relationships/hyperlink"/><Relationship Id="rId187" Target="http%3A%2F%2Fdx.doi.org%2F10.1016%2Fj.amjms.2023.12.009" TargetMode="External" Type="http://schemas.openxmlformats.org/officeDocument/2006/relationships/hyperlink"/><Relationship Id="rId188" Target="https%3A%2F%2Fwww.webofscience.com%2Fwos%2Fwoscc%2Ffull-record%2FWOS%3A001179249300001" TargetMode="External" Type="http://schemas.openxmlformats.org/officeDocument/2006/relationships/hyperlink"/><Relationship Id="rId189" Target="http%3A%2F%2Fdx.doi.org%2F10.1111%2Fadd.15730" TargetMode="External" Type="http://schemas.openxmlformats.org/officeDocument/2006/relationships/hyperlink"/><Relationship Id="rId19" Target="http%3A%2F%2Fdx.doi.org%2F10.1016%2Fj.ejrad.2022.110249" TargetMode="External" Type="http://schemas.openxmlformats.org/officeDocument/2006/relationships/hyperlink"/><Relationship Id="rId190" Target="https%3A%2F%2Fwww.webofscience.com%2Fwos%2Fwoscc%2Ffull-record%2FWOS%3A000722272100001" TargetMode="External" Type="http://schemas.openxmlformats.org/officeDocument/2006/relationships/hyperlink"/><Relationship Id="rId191" Target="http%3A%2F%2Fdx.doi.org%2F10.1111%2Fiwj.13603" TargetMode="External" Type="http://schemas.openxmlformats.org/officeDocument/2006/relationships/hyperlink"/><Relationship Id="rId192" Target="https%3A%2F%2Fwww.webofscience.com%2Fwos%2Fwoscc%2Ffull-record%2FWOS%3A000646659000001" TargetMode="External" Type="http://schemas.openxmlformats.org/officeDocument/2006/relationships/hyperlink"/><Relationship Id="rId193" Target="http%3A%2F%2Fdx.doi.org%2F10.1007%2Fs13755-021-00167-3" TargetMode="External" Type="http://schemas.openxmlformats.org/officeDocument/2006/relationships/hyperlink"/><Relationship Id="rId194" Target="https%3A%2F%2Fwww.webofscience.com%2Fwos%2Fwoscc%2Ffull-record%2FWOS%3A000710212900001" TargetMode="External" Type="http://schemas.openxmlformats.org/officeDocument/2006/relationships/hyperlink"/><Relationship Id="rId195" Target="http%3A%2F%2Fdx.doi.org%2F10.1177%2F20552076261469389" TargetMode="External" Type="http://schemas.openxmlformats.org/officeDocument/2006/relationships/hyperlink"/><Relationship Id="rId196" Target="https%3A%2F%2Fwww.webofscience.com%2Fwos%2Fwoscc%2Ffull-record%2FWOS%3A001823528000001" TargetMode="External" Type="http://schemas.openxmlformats.org/officeDocument/2006/relationships/hyperlink"/><Relationship Id="rId197" Target="http%3A%2F%2Fdx.doi.org%2F10.1186%2Fs12938-026-01585-8" TargetMode="External" Type="http://schemas.openxmlformats.org/officeDocument/2006/relationships/hyperlink"/><Relationship Id="rId198" Target="https%3A%2F%2Fwww.webofscience.com%2Fwos%2Fwoscc%2Ffull-record%2FWOS%3A001809903500001" TargetMode="External" Type="http://schemas.openxmlformats.org/officeDocument/2006/relationships/hyperlink"/><Relationship Id="rId199" Target="http%3A%2F%2Fdx.doi.org%2F10.1370%2Fafm.2902" TargetMode="External" Type="http://schemas.openxmlformats.org/officeDocument/2006/relationships/hyperlink"/><Relationship Id="rId2" Target="https%3A%2F%2Fwww.webofscience.com%2Fwos%2Fwoscc%2Ffull-record%2FWOS%3A001328960400006" TargetMode="External" Type="http://schemas.openxmlformats.org/officeDocument/2006/relationships/hyperlink"/><Relationship Id="rId20" Target="https%3A%2F%2Fwww.webofscience.com%2Fwos%2Fwoscc%2Ffull-record%2FWOS%3A000821198700002" TargetMode="External" Type="http://schemas.openxmlformats.org/officeDocument/2006/relationships/hyperlink"/><Relationship Id="rId200" Target="https%3A%2F%2Fwww.webofscience.com%2Fwos%2Fwoscc%2Ffull-record%2FWOS%3A000942278800003" TargetMode="External" Type="http://schemas.openxmlformats.org/officeDocument/2006/relationships/hyperlink"/><Relationship Id="rId201" Target="http%3A%2F%2Fdx.doi.org%2F10.2196%2F75760" TargetMode="External" Type="http://schemas.openxmlformats.org/officeDocument/2006/relationships/hyperlink"/><Relationship Id="rId202" Target="https%3A%2F%2Fwww.webofscience.com%2Fwos%2Fwoscc%2Ffull-record%2FWOS%3A001571762600001" TargetMode="External" Type="http://schemas.openxmlformats.org/officeDocument/2006/relationships/hyperlink"/><Relationship Id="rId203" Target="http%3A%2F%2Fdx.doi.org%2F10.1016%2Fj.cmpb.2026.109383" TargetMode="External" Type="http://schemas.openxmlformats.org/officeDocument/2006/relationships/hyperlink"/><Relationship Id="rId204" Target="https%3A%2F%2Fwww.webofscience.com%2Fwos%2Fwoscc%2Ffull-record%2FWOS%3A001759416400001" TargetMode="External" Type="http://schemas.openxmlformats.org/officeDocument/2006/relationships/hyperlink"/><Relationship Id="rId205" Target="http%3A%2F%2Fdx.doi.org%2F10.1186%2Fs12865-025-00686-8" TargetMode="External" Type="http://schemas.openxmlformats.org/officeDocument/2006/relationships/hyperlink"/><Relationship Id="rId206" Target="https%3A%2F%2Fwww.webofscience.com%2Fwos%2Fwoscc%2Ffull-record%2FWOS%3A001420194300001" TargetMode="External" Type="http://schemas.openxmlformats.org/officeDocument/2006/relationships/hyperlink"/><Relationship Id="rId207" Target="http%3A%2F%2Fdx.doi.org%2F10.1088%2F1361-6579%2Fad7ad2" TargetMode="External" Type="http://schemas.openxmlformats.org/officeDocument/2006/relationships/hyperlink"/><Relationship Id="rId208" Target="https%3A%2F%2Fwww.webofscience.com%2Fwos%2Fwoscc%2Ffull-record%2FWOS%3A001321520600001" TargetMode="External" Type="http://schemas.openxmlformats.org/officeDocument/2006/relationships/hyperlink"/><Relationship Id="rId209" Target="http%3A%2F%2Fdx.doi.org%2F10.1186%2Fs13054-022-04088-9" TargetMode="External" Type="http://schemas.openxmlformats.org/officeDocument/2006/relationships/hyperlink"/><Relationship Id="rId21" Target="http%3A%2F%2Fdx.doi.org%2F10.1155%2F2022%2F5779276" TargetMode="External" Type="http://schemas.openxmlformats.org/officeDocument/2006/relationships/hyperlink"/><Relationship Id="rId210" Target="https%3A%2F%2Fwww.webofscience.com%2Fwos%2Fwoscc%2Ffull-record%2FWOS%3A000825401500001" TargetMode="External" Type="http://schemas.openxmlformats.org/officeDocument/2006/relationships/hyperlink"/><Relationship Id="rId211" Target="http%3A%2F%2Fdx.doi.org%2F10.1097%2FSAP.0000000000003621" TargetMode="External" Type="http://schemas.openxmlformats.org/officeDocument/2006/relationships/hyperlink"/><Relationship Id="rId212" Target="https%3A%2F%2Fwww.webofscience.com%2Fwos%2Fwoscc%2Ffull-record%2FWOS%3A001036179200015" TargetMode="External" Type="http://schemas.openxmlformats.org/officeDocument/2006/relationships/hyperlink"/><Relationship Id="rId213" Target="http%3A%2F%2Fdx.doi.org%2F10.1016%2Fj.artd.2026.102095" TargetMode="External" Type="http://schemas.openxmlformats.org/officeDocument/2006/relationships/hyperlink"/><Relationship Id="rId214" Target="https%3A%2F%2Fwww.webofscience.com%2Fwos%2Fwoscc%2Ffull-record%2FWOS%3A001836034400001" TargetMode="External" Type="http://schemas.openxmlformats.org/officeDocument/2006/relationships/hyperlink"/><Relationship Id="rId215" Target="http%3A%2F%2Fdx.doi.org%2F10.1002%2Fueg2.12721" TargetMode="External" Type="http://schemas.openxmlformats.org/officeDocument/2006/relationships/hyperlink"/><Relationship Id="rId216" Target="https%3A%2F%2Fwww.webofscience.com%2Fwos%2Fwoscc%2Ffull-record%2FWOS%3A001376827400001" TargetMode="External" Type="http://schemas.openxmlformats.org/officeDocument/2006/relationships/hyperlink"/><Relationship Id="rId217" Target="http%3A%2F%2Fdx.doi.org%2F10.5217%2Fir.2025.00262" TargetMode="External" Type="http://schemas.openxmlformats.org/officeDocument/2006/relationships/hyperlink"/><Relationship Id="rId218" Target="https%3A%2F%2Fwww.webofscience.com%2Fwos%2Fwoscc%2Ffull-record%2FWOS%3A001720185200001" TargetMode="External" Type="http://schemas.openxmlformats.org/officeDocument/2006/relationships/hyperlink"/><Relationship Id="rId219" Target="http%3A%2F%2Fdx.doi.org%2F10.1007%2Fs00330-022-08923-z" TargetMode="External" Type="http://schemas.openxmlformats.org/officeDocument/2006/relationships/hyperlink"/><Relationship Id="rId22" Target="https%3A%2F%2Fwww.webofscience.com%2Fwos%2Fwoscc%2Ffull-record%2FWOS%3A000779446200002" TargetMode="External" Type="http://schemas.openxmlformats.org/officeDocument/2006/relationships/hyperlink"/><Relationship Id="rId220" Target="https%3A%2F%2Fwww.webofscience.com%2Fwos%2Fwoscc%2Ffull-record%2FWOS%3A000813592100005" TargetMode="External" Type="http://schemas.openxmlformats.org/officeDocument/2006/relationships/hyperlink"/><Relationship Id="rId221" Target="http%3A%2F%2Fdx.doi.org%2F10.1007%2Fs11657-024-01372-9" TargetMode="External" Type="http://schemas.openxmlformats.org/officeDocument/2006/relationships/hyperlink"/><Relationship Id="rId222" Target="https%3A%2F%2Fwww.webofscience.com%2Fwos%2Fwoscc%2Ffull-record%2FWOS%3A001181240400001" TargetMode="External" Type="http://schemas.openxmlformats.org/officeDocument/2006/relationships/hyperlink"/><Relationship Id="rId223" Target="http%3A%2F%2Fdx.doi.org%2F10.14309%2Fajg.0000000000003495" TargetMode="External" Type="http://schemas.openxmlformats.org/officeDocument/2006/relationships/hyperlink"/><Relationship Id="rId224" Target="https%3A%2F%2Fwww.webofscience.com%2Fwos%2Fwoscc%2Ffull-record%2FWOS%3A001735069500001" TargetMode="External" Type="http://schemas.openxmlformats.org/officeDocument/2006/relationships/hyperlink"/><Relationship Id="rId225" Target="http%3A%2F%2Fdx.doi.org%2F10.1093%2Fradadv%2Fumag020" TargetMode="External" Type="http://schemas.openxmlformats.org/officeDocument/2006/relationships/hyperlink"/><Relationship Id="rId226" Target="https%3A%2F%2Fwww.webofscience.com%2Fwos%2Fwoscc%2Ffull-record%2FWOS%3A001763071900001" TargetMode="External" Type="http://schemas.openxmlformats.org/officeDocument/2006/relationships/hyperlink"/><Relationship Id="rId227" Target="http%3A%2F%2Fdx.doi.org%2F10.1007%2Fs10278-022-00670-3" TargetMode="External" Type="http://schemas.openxmlformats.org/officeDocument/2006/relationships/hyperlink"/><Relationship Id="rId228" Target="https%3A%2F%2Fwww.webofscience.com%2Fwos%2Fwoscc%2Ffull-record%2FWOS%3A000818660600002" TargetMode="External" Type="http://schemas.openxmlformats.org/officeDocument/2006/relationships/hyperlink"/><Relationship Id="rId229" Target="http%3A%2F%2Fdx.doi.org%2F10.1093%2Fjbi%2Fwbae058" TargetMode="External" Type="http://schemas.openxmlformats.org/officeDocument/2006/relationships/hyperlink"/><Relationship Id="rId23" Target="http%3A%2F%2Fdx.doi.org%2F10.1001%2Fjamanetworkopen.2022.42343" TargetMode="External" Type="http://schemas.openxmlformats.org/officeDocument/2006/relationships/hyperlink"/><Relationship Id="rId230" Target="https%3A%2F%2Fwww.webofscience.com%2Fwos%2Fwoscc%2Ffull-record%2FWOS%3A001330738900001" TargetMode="External" Type="http://schemas.openxmlformats.org/officeDocument/2006/relationships/hyperlink"/><Relationship Id="rId231" Target="http%3A%2F%2Fdx.doi.org%2F10.1001%2Fjamaophthalmol.2022.2135" TargetMode="External" Type="http://schemas.openxmlformats.org/officeDocument/2006/relationships/hyperlink"/><Relationship Id="rId232" Target="https%3A%2F%2Fwww.webofscience.com%2Fwos%2Fwoscc%2Ffull-record%2FWOS%3A000822041800002" TargetMode="External" Type="http://schemas.openxmlformats.org/officeDocument/2006/relationships/hyperlink"/><Relationship Id="rId233" Target="http%3A%2F%2Fdx.doi.org%2F10.1016%2Fj.adaj.2025.11.005" TargetMode="External" Type="http://schemas.openxmlformats.org/officeDocument/2006/relationships/hyperlink"/><Relationship Id="rId234" Target="https%3A%2F%2Fwww.webofscience.com%2Fwos%2Fwoscc%2Ffull-record%2FWOS%3A001795003300001" TargetMode="External" Type="http://schemas.openxmlformats.org/officeDocument/2006/relationships/hyperlink"/><Relationship Id="rId235" Target="http%3A%2F%2Fdx.doi.org%2F10.1007%2Fs00540-026-03854-1" TargetMode="External" Type="http://schemas.openxmlformats.org/officeDocument/2006/relationships/hyperlink"/><Relationship Id="rId236" Target="https%3A%2F%2Fwww.webofscience.com%2Fwos%2Fwoscc%2Ffull-record%2FWOS%3A001826157500001" TargetMode="External" Type="http://schemas.openxmlformats.org/officeDocument/2006/relationships/hyperlink"/><Relationship Id="rId237" Target="http%3A%2F%2Fdx.doi.org%2F10.1093%2Fehjdh%2Fztac065" TargetMode="External" Type="http://schemas.openxmlformats.org/officeDocument/2006/relationships/hyperlink"/><Relationship Id="rId238" Target="https%3A%2F%2Fwww.webofscience.com%2Fwos%2Fwoscc%2Ffull-record%2FWOS%3A001133091600002" TargetMode="External" Type="http://schemas.openxmlformats.org/officeDocument/2006/relationships/hyperlink"/><Relationship Id="rId239" Target="http%3A%2F%2Fdx.doi.org%2F10.1016%2Fj.euo.2024.01.004" TargetMode="External" Type="http://schemas.openxmlformats.org/officeDocument/2006/relationships/hyperlink"/><Relationship Id="rId24" Target="https%3A%2F%2Fwww.webofscience.com%2Fwos%2Fwoscc%2Ffull-record%2FWOS%3A000919416700002" TargetMode="External" Type="http://schemas.openxmlformats.org/officeDocument/2006/relationships/hyperlink"/><Relationship Id="rId240" Target="https%3A%2F%2Fwww.webofscience.com%2Fwos%2Fwoscc%2Ffull-record%2FWOS%3A001325348000001" TargetMode="External" Type="http://schemas.openxmlformats.org/officeDocument/2006/relationships/hyperlink"/><Relationship Id="rId241" Target="http%3A%2F%2Fdx.doi.org%2F10.1111%2Fvde.70105" TargetMode="External" Type="http://schemas.openxmlformats.org/officeDocument/2006/relationships/hyperlink"/><Relationship Id="rId242" Target="https%3A%2F%2Fwww.webofscience.com%2Fwos%2Fwoscc%2Ffull-record%2FWOS%3A001820513100001" TargetMode="External" Type="http://schemas.openxmlformats.org/officeDocument/2006/relationships/hyperlink"/><Relationship Id="rId243" Target="http%3A%2F%2Fdx.doi.org%2F10.1186%2Fs41747-025-00619-5" TargetMode="External" Type="http://schemas.openxmlformats.org/officeDocument/2006/relationships/hyperlink"/><Relationship Id="rId244" Target="https%3A%2F%2Fwww.webofscience.com%2Fwos%2Fwoscc%2Ffull-record%2FWOS%3A001551656800002" TargetMode="External" Type="http://schemas.openxmlformats.org/officeDocument/2006/relationships/hyperlink"/><Relationship Id="rId245" Target="http%3A%2F%2Fdx.doi.org%2F10.1016%2Fj.eclinm.2021.101252" TargetMode="External" Type="http://schemas.openxmlformats.org/officeDocument/2006/relationships/hyperlink"/><Relationship Id="rId246" Target="https%3A%2F%2Fwww.webofscience.com%2Fwos%2Fwoscc%2Ffull-record%2FWOS%3A000747850800037" TargetMode="External" Type="http://schemas.openxmlformats.org/officeDocument/2006/relationships/hyperlink"/><Relationship Id="rId247" Target="http%3A%2F%2Fdx.doi.org%2F10.2196%2F59867" TargetMode="External" Type="http://schemas.openxmlformats.org/officeDocument/2006/relationships/hyperlink"/><Relationship Id="rId248" Target="https%3A%2F%2Fwww.webofscience.com%2Fwos%2Fwoscc%2Ffull-record%2FWOS%3A001376103000001" TargetMode="External" Type="http://schemas.openxmlformats.org/officeDocument/2006/relationships/hyperlink"/><Relationship Id="rId249" Target="http%3A%2F%2Fdx.doi.org%2F10.3389%2Ffnagi.2026.1867251" TargetMode="External" Type="http://schemas.openxmlformats.org/officeDocument/2006/relationships/hyperlink"/><Relationship Id="rId25" Target="http%3A%2F%2Fdx.doi.org%2F10.1093%2Fehjdh%2Fztaf078" TargetMode="External" Type="http://schemas.openxmlformats.org/officeDocument/2006/relationships/hyperlink"/><Relationship Id="rId250" Target="https%3A%2F%2Fwww.webofscience.com%2Fwos%2Fwoscc%2Ffull-record%2FWOS%3A001794702300001" TargetMode="External" Type="http://schemas.openxmlformats.org/officeDocument/2006/relationships/hyperlink"/><Relationship Id="rId251" Target="http%3A%2F%2Fdx.doi.org%2F10.1007%2Fs00062-026-01688-8" TargetMode="External" Type="http://schemas.openxmlformats.org/officeDocument/2006/relationships/hyperlink"/><Relationship Id="rId252" Target="https%3A%2F%2Fwww.webofscience.com%2Fwos%2Fwoscc%2Ffull-record%2FWOS%3A001801097600001" TargetMode="External" Type="http://schemas.openxmlformats.org/officeDocument/2006/relationships/hyperlink"/><Relationship Id="rId253" Target="http%3A%2F%2Fdx.doi.org%2F10.1016%2Fj.isci.2026.115634" TargetMode="External" Type="http://schemas.openxmlformats.org/officeDocument/2006/relationships/hyperlink"/><Relationship Id="rId254" Target="https%3A%2F%2Fwww.webofscience.com%2Fwos%2Fwoscc%2Ffull-record%2FWOS%3A001757143900001" TargetMode="External" Type="http://schemas.openxmlformats.org/officeDocument/2006/relationships/hyperlink"/><Relationship Id="rId255" Target="http%3A%2F%2Fdx.doi.org%2F10.1016%2Fj.suronc.2024.102057" TargetMode="External" Type="http://schemas.openxmlformats.org/officeDocument/2006/relationships/hyperlink"/><Relationship Id="rId256" Target="https%3A%2F%2Fwww.webofscience.com%2Fwos%2Fwoscc%2Ffull-record%2FWOS%3A001382291400001" TargetMode="External" Type="http://schemas.openxmlformats.org/officeDocument/2006/relationships/hyperlink"/><Relationship Id="rId257" Target="http%3A%2F%2Fdx.doi.org%2F10.3390%2Fdiagnostics14131394" TargetMode="External" Type="http://schemas.openxmlformats.org/officeDocument/2006/relationships/hyperlink"/><Relationship Id="rId258" Target="https%3A%2F%2Fwww.webofscience.com%2Fwos%2Fwoscc%2Ffull-record%2FWOS%3A001270115100001" TargetMode="External" Type="http://schemas.openxmlformats.org/officeDocument/2006/relationships/hyperlink"/><Relationship Id="rId259" Target="http%3A%2F%2Fdx.doi.org%2F10.1038%2Fs41433-020-01366-0" TargetMode="External" Type="http://schemas.openxmlformats.org/officeDocument/2006/relationships/hyperlink"/><Relationship Id="rId26" Target="https%3A%2F%2Fwww.webofscience.com%2Fwos%2Fwoscc%2Ffull-record%2FWOS%3A001543059200001" TargetMode="External" Type="http://schemas.openxmlformats.org/officeDocument/2006/relationships/hyperlink"/><Relationship Id="rId260" Target="https%3A%2F%2Fwww.webofscience.com%2Fwos%2Fwoscc%2Ffull-record%2FWOS%3A000607010200004" TargetMode="External" Type="http://schemas.openxmlformats.org/officeDocument/2006/relationships/hyperlink"/><Relationship Id="rId261" Target="http%3A%2F%2Fdx.doi.org%2F10.1016%2Fj.eclinm.2025.103108" TargetMode="External" Type="http://schemas.openxmlformats.org/officeDocument/2006/relationships/hyperlink"/><Relationship Id="rId262" Target="https%3A%2F%2Fwww.webofscience.com%2Fwos%2Fwoscc%2Ffull-record%2FWOS%3A001427397900001" TargetMode="External" Type="http://schemas.openxmlformats.org/officeDocument/2006/relationships/hyperlink"/><Relationship Id="rId263" Target="http%3A%2F%2Fdx.doi.org%2F10.3389%2Ffrai.2025.1512910" TargetMode="External" Type="http://schemas.openxmlformats.org/officeDocument/2006/relationships/hyperlink"/><Relationship Id="rId264" Target="https%3A%2F%2Fwww.webofscience.com%2Fwos%2Fwoscc%2Ffull-record%2FWOS%3A001426873400001" TargetMode="External" Type="http://schemas.openxmlformats.org/officeDocument/2006/relationships/hyperlink"/><Relationship Id="rId265" Target="http%3A%2F%2Fdx.doi.org%2F10.3389%2Ffmed.2025.1598065" TargetMode="External" Type="http://schemas.openxmlformats.org/officeDocument/2006/relationships/hyperlink"/><Relationship Id="rId266" Target="https%3A%2F%2Fwww.webofscience.com%2Fwos%2Fwoscc%2Ffull-record%2FWOS%3A001610111700001" TargetMode="External" Type="http://schemas.openxmlformats.org/officeDocument/2006/relationships/hyperlink"/><Relationship Id="rId267" Target="http%3A%2F%2Fdx.doi.org%2F10.3390%2Fmedicina62020421" TargetMode="External" Type="http://schemas.openxmlformats.org/officeDocument/2006/relationships/hyperlink"/><Relationship Id="rId268" Target="https%3A%2F%2Fwww.webofscience.com%2Fwos%2Fwoscc%2Ffull-record%2FWOS%3A001700778400001" TargetMode="External" Type="http://schemas.openxmlformats.org/officeDocument/2006/relationships/hyperlink"/><Relationship Id="rId269" Target="http%3A%2F%2Fdx.doi.org%2F10.1136%2Fbmjresp-2025-003355" TargetMode="External" Type="http://schemas.openxmlformats.org/officeDocument/2006/relationships/hyperlink"/><Relationship Id="rId27" Target="http%3A%2F%2Fdx.doi.org%2F10.1109%2FACCESS.2021.3101253" TargetMode="External" Type="http://schemas.openxmlformats.org/officeDocument/2006/relationships/hyperlink"/><Relationship Id="rId270" Target="https%3A%2F%2Fwww.webofscience.com%2Fwos%2Fwoscc%2Ffull-record%2FWOS%3A001620615800001" TargetMode="External" Type="http://schemas.openxmlformats.org/officeDocument/2006/relationships/hyperlink"/><Relationship Id="rId271" Target="http%3A%2F%2Fdx.doi.org%2F10.1038%2Fs41598-025-98087-9" TargetMode="External" Type="http://schemas.openxmlformats.org/officeDocument/2006/relationships/hyperlink"/><Relationship Id="rId272" Target="https%3A%2F%2Fwww.webofscience.com%2Fwos%2Fwoscc%2Ffull-record%2FWOS%3A001471192800029" TargetMode="External" Type="http://schemas.openxmlformats.org/officeDocument/2006/relationships/hyperlink"/><Relationship Id="rId273" Target="http%3A%2F%2Fdx.doi.org%2F10.3389%2Ffmed.2026.1888022" TargetMode="External" Type="http://schemas.openxmlformats.org/officeDocument/2006/relationships/hyperlink"/><Relationship Id="rId274" Target="https%3A%2F%2Fwww.webofscience.com%2Fwos%2Fwoscc%2Ffull-record%2FWOS%3A001840147000001" TargetMode="External" Type="http://schemas.openxmlformats.org/officeDocument/2006/relationships/hyperlink"/><Relationship Id="rId275" Target="http%3A%2F%2Fdx.doi.org%2F10.1097%2FCCE.0000000000001232" TargetMode="External" Type="http://schemas.openxmlformats.org/officeDocument/2006/relationships/hyperlink"/><Relationship Id="rId276" Target="https%3A%2F%2Fwww.webofscience.com%2Fwos%2Fwoscc%2Ffull-record%2FWOS%3A001452723600001" TargetMode="External" Type="http://schemas.openxmlformats.org/officeDocument/2006/relationships/hyperlink"/><Relationship Id="rId277" Target="http%3A%2F%2Fdx.doi.org%2F10.1016%2Fj.bja.2025.11.042" TargetMode="External" Type="http://schemas.openxmlformats.org/officeDocument/2006/relationships/hyperlink"/><Relationship Id="rId278" Target="https%3A%2F%2Fwww.webofscience.com%2Fwos%2Fwoscc%2Ffull-record%2FWOS%3A001790555400001" TargetMode="External" Type="http://schemas.openxmlformats.org/officeDocument/2006/relationships/hyperlink"/><Relationship Id="rId279" Target="http%3A%2F%2Fdx.doi.org%2F10.1016%2Fj.ejrad.2026.112695" TargetMode="External" Type="http://schemas.openxmlformats.org/officeDocument/2006/relationships/hyperlink"/><Relationship Id="rId28" Target="https%3A%2F%2Fwww.webofscience.com%2Fwos%2Fwoscc%2Ffull-record%2FWOS%3A000683975300001" TargetMode="External" Type="http://schemas.openxmlformats.org/officeDocument/2006/relationships/hyperlink"/><Relationship Id="rId280" Target="https%3A%2F%2Fwww.webofscience.com%2Fwos%2Fwoscc%2Ffull-record%2FWOS%3A001677700700001" TargetMode="External" Type="http://schemas.openxmlformats.org/officeDocument/2006/relationships/hyperlink"/><Relationship Id="rId281" Target="http%3A%2F%2Fdx.doi.org%2F10.1093%2Fjamia%2Focae088" TargetMode="External" Type="http://schemas.openxmlformats.org/officeDocument/2006/relationships/hyperlink"/><Relationship Id="rId282" Target="https%3A%2F%2Fwww.webofscience.com%2Fwos%2Fwoscc%2Ffull-record%2FWOS%3A001209033200001" TargetMode="External" Type="http://schemas.openxmlformats.org/officeDocument/2006/relationships/hyperlink"/><Relationship Id="rId283" Target="http%3A%2F%2Fdx.doi.org%2F10.4244%2FEIJ-D-25-01352" TargetMode="External" Type="http://schemas.openxmlformats.org/officeDocument/2006/relationships/hyperlink"/><Relationship Id="rId284" Target="https%3A%2F%2Fwww.webofscience.com%2Fwos%2Fwoscc%2Ffull-record%2FWOS%3A001786335800005" TargetMode="External" Type="http://schemas.openxmlformats.org/officeDocument/2006/relationships/hyperlink"/><Relationship Id="rId285" Target="http%3A%2F%2Fdx.doi.org%2F10.1016%2Fj.acra.2019.12.012" TargetMode="External" Type="http://schemas.openxmlformats.org/officeDocument/2006/relationships/hyperlink"/><Relationship Id="rId286" Target="https%3A%2F%2Fwww.webofscience.com%2Fwos%2Fwoscc%2Ffull-record%2FWOS%3A000645627000008" TargetMode="External" Type="http://schemas.openxmlformats.org/officeDocument/2006/relationships/hyperlink"/><Relationship Id="rId287" Target="http%3A%2F%2Fdx.doi.org%2F10.1038%2Fs41598-022-05282-z" TargetMode="External" Type="http://schemas.openxmlformats.org/officeDocument/2006/relationships/hyperlink"/><Relationship Id="rId288" Target="https%3A%2F%2Fwww.webofscience.com%2Fwos%2Fwoscc%2Ffull-record%2FWOS%3A000746700700020" TargetMode="External" Type="http://schemas.openxmlformats.org/officeDocument/2006/relationships/hyperlink"/><Relationship Id="rId289" Target="http%3A%2F%2Fdx.doi.org%2F10.1038%2Fs41598-025-24756-4" TargetMode="External" Type="http://schemas.openxmlformats.org/officeDocument/2006/relationships/hyperlink"/><Relationship Id="rId29" Target="http%3A%2F%2Fdx.doi.org%2F10.3390%2Fdiagnostics13223408" TargetMode="External" Type="http://schemas.openxmlformats.org/officeDocument/2006/relationships/hyperlink"/><Relationship Id="rId290" Target="https%3A%2F%2Fwww.webofscience.com%2Fwos%2Fwoscc%2Ffull-record%2FWOS%3A001620594700042" TargetMode="External" Type="http://schemas.openxmlformats.org/officeDocument/2006/relationships/hyperlink"/><Relationship Id="rId291" Target="http%3A%2F%2Fdx.doi.org%2F10.3389%2Ffendo.2025.1614657" TargetMode="External" Type="http://schemas.openxmlformats.org/officeDocument/2006/relationships/hyperlink"/><Relationship Id="rId292" Target="https%3A%2F%2Fwww.webofscience.com%2Fwos%2Fwoscc%2Ffull-record%2FWOS%3A001511212400001" TargetMode="External" Type="http://schemas.openxmlformats.org/officeDocument/2006/relationships/hyperlink"/><Relationship Id="rId293" Target="http%3A%2F%2Fdx.doi.org%2F10.3389%2Ffmed.2025.1521660" TargetMode="External" Type="http://schemas.openxmlformats.org/officeDocument/2006/relationships/hyperlink"/><Relationship Id="rId294" Target="https%3A%2F%2Fwww.webofscience.com%2Fwos%2Fwoscc%2Ffull-record%2FWOS%3A001424918300001" TargetMode="External" Type="http://schemas.openxmlformats.org/officeDocument/2006/relationships/hyperlink"/><Relationship Id="rId295" Target="http%3A%2F%2Fdx.doi.org%2F10.3390%2Fbioengineering10111333" TargetMode="External" Type="http://schemas.openxmlformats.org/officeDocument/2006/relationships/hyperlink"/><Relationship Id="rId296" Target="https%3A%2F%2Fwww.webofscience.com%2Fwos%2Fwoscc%2Ffull-record%2FWOS%3A001118417100001" TargetMode="External" Type="http://schemas.openxmlformats.org/officeDocument/2006/relationships/hyperlink"/><Relationship Id="rId297" Target="http%3A%2F%2Fdx.doi.org%2F10.1186%2Fs13321-024-00914-0" TargetMode="External" Type="http://schemas.openxmlformats.org/officeDocument/2006/relationships/hyperlink"/><Relationship Id="rId298" Target="https%3A%2F%2Fwww.webofscience.com%2Fwos%2Fwoscc%2Ffull-record%2FWOS%3A001354761100002" TargetMode="External" Type="http://schemas.openxmlformats.org/officeDocument/2006/relationships/hyperlink"/><Relationship Id="rId299" Target="http%3A%2F%2Fdx.doi.org%2F10.1016%2Fj.chest.2020.12.009" TargetMode="External" Type="http://schemas.openxmlformats.org/officeDocument/2006/relationships/hyperlink"/><Relationship Id="rId3" Target="http%3A%2F%2Fdx.doi.org%2F10.1016%2Fj.lddd.2026.100341" TargetMode="External" Type="http://schemas.openxmlformats.org/officeDocument/2006/relationships/hyperlink"/><Relationship Id="rId30" Target="https%3A%2F%2Fwww.webofscience.com%2Fwos%2Fwoscc%2Ffull-record%2FWOS%3A001108183600001" TargetMode="External" Type="http://schemas.openxmlformats.org/officeDocument/2006/relationships/hyperlink"/><Relationship Id="rId300" Target="https%3A%2F%2Fwww.webofscience.com%2Fwos%2Fwoscc%2Ffull-record%2FWOS%3A000660015400049" TargetMode="External" Type="http://schemas.openxmlformats.org/officeDocument/2006/relationships/hyperlink"/><Relationship Id="rId301" Target="http%3A%2F%2Fdx.doi.org%2F10.1186%2Fs12916-026-05110-5" TargetMode="External" Type="http://schemas.openxmlformats.org/officeDocument/2006/relationships/hyperlink"/><Relationship Id="rId302" Target="https%3A%2F%2Fwww.webofscience.com%2Fwos%2Fwoscc%2Ffull-record%2FWOS%3A001839031200001" TargetMode="External" Type="http://schemas.openxmlformats.org/officeDocument/2006/relationships/hyperlink"/><Relationship Id="rId303" Target="http%3A%2F%2Fdx.doi.org%2F10.1302%2F2633-1462.311.BJO-2022-0125.R1" TargetMode="External" Type="http://schemas.openxmlformats.org/officeDocument/2006/relationships/hyperlink"/><Relationship Id="rId304" Target="https%3A%2F%2Fwww.webofscience.com%2Fwos%2Fwoscc%2Ffull-record%2FWOS%3A000910982600004" TargetMode="External" Type="http://schemas.openxmlformats.org/officeDocument/2006/relationships/hyperlink"/><Relationship Id="rId305" Target="http%3A%2F%2Fdx.doi.org%2F10.1016%2Fj.jdent.2024.105228" TargetMode="External" Type="http://schemas.openxmlformats.org/officeDocument/2006/relationships/hyperlink"/><Relationship Id="rId306" Target="https%3A%2F%2Fwww.webofscience.com%2Fwos%2Fwoscc%2Ffull-record%2FWOS%3A001270564000001" TargetMode="External" Type="http://schemas.openxmlformats.org/officeDocument/2006/relationships/hyperlink"/><Relationship Id="rId307" Target="http%3A%2F%2Fdx.doi.org%2F10.1093%2Fdmfr%2Ftwag018" TargetMode="External" Type="http://schemas.openxmlformats.org/officeDocument/2006/relationships/hyperlink"/><Relationship Id="rId308" Target="https%3A%2F%2Fwww.webofscience.com%2Fwos%2Fwoscc%2Ffull-record%2FWOS%3A001743512600001" TargetMode="External" Type="http://schemas.openxmlformats.org/officeDocument/2006/relationships/hyperlink"/><Relationship Id="rId309" Target="http%3A%2F%2Fdx.doi.org%2F10.1016%2Fj.arth.2022.03.002" TargetMode="External" Type="http://schemas.openxmlformats.org/officeDocument/2006/relationships/hyperlink"/><Relationship Id="rId31" Target="http%3A%2F%2Fdx.doi.org%2F10.1136%2Fopenhrt-2024-003072" TargetMode="External" Type="http://schemas.openxmlformats.org/officeDocument/2006/relationships/hyperlink"/><Relationship Id="rId310" Target="https%3A%2F%2Fwww.webofscience.com%2Fwos%2Fwoscc%2Ffull-record%2FWOS%3A001084244100001" TargetMode="External" Type="http://schemas.openxmlformats.org/officeDocument/2006/relationships/hyperlink"/><Relationship Id="rId311" Target="http%3A%2F%2Fdx.doi.org%2F10.1016%2Fj.arth.2023.03.039" TargetMode="External" Type="http://schemas.openxmlformats.org/officeDocument/2006/relationships/hyperlink"/><Relationship Id="rId312" Target="https%3A%2F%2Fwww.webofscience.com%2Fwos%2Fwoscc%2Ffull-record%2FWOS%3A001083264200001" TargetMode="External" Type="http://schemas.openxmlformats.org/officeDocument/2006/relationships/hyperlink"/><Relationship Id="rId313" Target="http%3A%2F%2Fdx.doi.org%2F10.1007%2Fs00261-022-03572-8" TargetMode="External" Type="http://schemas.openxmlformats.org/officeDocument/2006/relationships/hyperlink"/><Relationship Id="rId314" Target="https%3A%2F%2Fwww.webofscience.com%2Fwos%2Fwoscc%2Ffull-record%2FWOS%3A000811958400001" TargetMode="External" Type="http://schemas.openxmlformats.org/officeDocument/2006/relationships/hyperlink"/><Relationship Id="rId315" Target="http%3A%2F%2Fdx.doi.org%2F10.1007%2Fs00259-025-07370-4" TargetMode="External" Type="http://schemas.openxmlformats.org/officeDocument/2006/relationships/hyperlink"/><Relationship Id="rId316" Target="https%3A%2F%2Fwww.webofscience.com%2Fwos%2Fwoscc%2Ffull-record%2FWOS%3A001502665200001" TargetMode="External" Type="http://schemas.openxmlformats.org/officeDocument/2006/relationships/hyperlink"/><Relationship Id="rId317" Target="http%3A%2F%2Fdx.doi.org%2F10.18502%2Fjovr.v19i2.13983" TargetMode="External" Type="http://schemas.openxmlformats.org/officeDocument/2006/relationships/hyperlink"/><Relationship Id="rId318" Target="https%3A%2F%2Fwww.webofscience.com%2Fwos%2Fwoscc%2Ffull-record%2FWOS%3A001252785100005" TargetMode="External" Type="http://schemas.openxmlformats.org/officeDocument/2006/relationships/hyperlink"/><Relationship Id="rId319" Target="http%3A%2F%2Fdx.doi.org%2F10.1186%2Fs13018-023-03909-z" TargetMode="External" Type="http://schemas.openxmlformats.org/officeDocument/2006/relationships/hyperlink"/><Relationship Id="rId32" Target="https%3A%2F%2Fwww.webofscience.com%2Fwos%2Fwoscc%2Ffull-record%2FWOS%3A001474287700001" TargetMode="External" Type="http://schemas.openxmlformats.org/officeDocument/2006/relationships/hyperlink"/><Relationship Id="rId320" Target="https%3A%2F%2Fwww.webofscience.com%2Fwos%2Fwoscc%2Ffull-record%2FWOS%3A001007558000001" TargetMode="External" Type="http://schemas.openxmlformats.org/officeDocument/2006/relationships/hyperlink"/><Relationship Id="rId321" Target="http%3A%2F%2Fdx.doi.org%2F10.1007%2Fs10554-026-03787-6" TargetMode="External" Type="http://schemas.openxmlformats.org/officeDocument/2006/relationships/hyperlink"/><Relationship Id="rId322" Target="https%3A%2F%2Fwww.webofscience.com%2Fwos%2Fwoscc%2Ffull-record%2FWOS%3A001837231700001" TargetMode="External" Type="http://schemas.openxmlformats.org/officeDocument/2006/relationships/hyperlink"/><Relationship Id="rId323" Target="http%3A%2F%2Fdx.doi.org%2F10.1177%2F15459683261469091" TargetMode="External" Type="http://schemas.openxmlformats.org/officeDocument/2006/relationships/hyperlink"/><Relationship Id="rId324" Target="https%3A%2F%2Fwww.webofscience.com%2Fwos%2Fwoscc%2Ffull-record%2FWOS%3A001838339500001" TargetMode="External" Type="http://schemas.openxmlformats.org/officeDocument/2006/relationships/hyperlink"/><Relationship Id="rId325" Target="http%3A%2F%2Fdx.doi.org%2F10.1016%2Fj.jseint.2025.04.024" TargetMode="External" Type="http://schemas.openxmlformats.org/officeDocument/2006/relationships/hyperlink"/><Relationship Id="rId326" Target="https%3A%2F%2Fwww.webofscience.com%2Fwos%2Fwoscc%2Ffull-record%2FWOS%3A001634580300001" TargetMode="External" Type="http://schemas.openxmlformats.org/officeDocument/2006/relationships/hyperlink"/><Relationship Id="rId327" Target="http%3A%2F%2Fdx.doi.org%2F10.1371%2Fjournal.pone.0195861" TargetMode="External" Type="http://schemas.openxmlformats.org/officeDocument/2006/relationships/hyperlink"/><Relationship Id="rId328" Target="https%3A%2F%2Fwww.webofscience.com%2Fwos%2Fwoscc%2Ffull-record%2FWOS%3A000431281900035" TargetMode="External" Type="http://schemas.openxmlformats.org/officeDocument/2006/relationships/hyperlink"/><Relationship Id="rId329" Target="http%3A%2F%2Fdx.doi.org%2F10.2147%2FJIR.S555051" TargetMode="External" Type="http://schemas.openxmlformats.org/officeDocument/2006/relationships/hyperlink"/><Relationship Id="rId33" Target="http%3A%2F%2Fdx.doi.org%2F10.1016%2Fj.jocn.2021.12.031" TargetMode="External" Type="http://schemas.openxmlformats.org/officeDocument/2006/relationships/hyperlink"/><Relationship Id="rId330" Target="https%3A%2F%2Fwww.webofscience.com%2Fwos%2Fwoscc%2Ffull-record%2FWOS%3A001703601500001" TargetMode="External" Type="http://schemas.openxmlformats.org/officeDocument/2006/relationships/hyperlink"/><Relationship Id="rId331" Target="http%3A%2F%2Fdx.doi.org%2F10.1038%2Fs41598-022-27298-1" TargetMode="External" Type="http://schemas.openxmlformats.org/officeDocument/2006/relationships/hyperlink"/><Relationship Id="rId332" Target="https%3A%2F%2Fwww.webofscience.com%2Fwos%2Fwoscc%2Ffull-record%2FWOS%3A000932732000052" TargetMode="External" Type="http://schemas.openxmlformats.org/officeDocument/2006/relationships/hyperlink"/><Relationship Id="rId333" Target="http%3A%2F%2Fdx.doi.org%2F10.2196%2F43734" TargetMode="External" Type="http://schemas.openxmlformats.org/officeDocument/2006/relationships/hyperlink"/><Relationship Id="rId334" Target="https%3A%2F%2Fwww.webofscience.com%2Fwos%2Fwoscc%2Ffull-record%2FWOS%3A001009095500003" TargetMode="External" Type="http://schemas.openxmlformats.org/officeDocument/2006/relationships/hyperlink"/><Relationship Id="rId335" Target="http%3A%2F%2Fdx.doi.org%2F10.14309%2Fajg.0000000000003756" TargetMode="External" Type="http://schemas.openxmlformats.org/officeDocument/2006/relationships/hyperlink"/><Relationship Id="rId336" Target="https%3A%2F%2Fwww.webofscience.com%2Fwos%2Fwoscc%2Ffull-record%2FWOS%3A001735069500009" TargetMode="External" Type="http://schemas.openxmlformats.org/officeDocument/2006/relationships/hyperlink"/><Relationship Id="rId337" Target="http%3A%2F%2Fdx.doi.org%2F10.3390%2Fjcm14041175" TargetMode="External" Type="http://schemas.openxmlformats.org/officeDocument/2006/relationships/hyperlink"/><Relationship Id="rId338" Target="https%3A%2F%2Fwww.webofscience.com%2Fwos%2Fwoscc%2Ffull-record%2FWOS%3A001430120100001" TargetMode="External" Type="http://schemas.openxmlformats.org/officeDocument/2006/relationships/hyperlink"/><Relationship Id="rId339" Target="http%3A%2F%2Fdx.doi.org%2F10.1186%2Fs13619-025-00246-w" TargetMode="External" Type="http://schemas.openxmlformats.org/officeDocument/2006/relationships/hyperlink"/><Relationship Id="rId34" Target="https%3A%2F%2Fwww.webofscience.com%2Fwos%2Fwoscc%2Ffull-record%2FWOS%3A000783823200014" TargetMode="External" Type="http://schemas.openxmlformats.org/officeDocument/2006/relationships/hyperlink"/><Relationship Id="rId340" Target="https%3A%2F%2Fwww.webofscience.com%2Fwos%2Fwoscc%2Ffull-record%2FWOS%3A001528556500001" TargetMode="External" Type="http://schemas.openxmlformats.org/officeDocument/2006/relationships/hyperlink"/><Relationship Id="rId341" Target="http%3A%2F%2Fdx.doi.org%2F10.1093%2Fehjacc%2Fzuad089" TargetMode="External" Type="http://schemas.openxmlformats.org/officeDocument/2006/relationships/hyperlink"/><Relationship Id="rId342" Target="https%3A%2F%2Fwww.webofscience.com%2Fwos%2Fwoscc%2Ffull-record%2FWOS%3A001189035700002" TargetMode="External" Type="http://schemas.openxmlformats.org/officeDocument/2006/relationships/hyperlink"/><Relationship Id="rId343" Target="http%3A%2F%2Fdx.doi.org%2F10.2196%2F41065" TargetMode="External" Type="http://schemas.openxmlformats.org/officeDocument/2006/relationships/hyperlink"/><Relationship Id="rId344" Target="https%3A%2F%2Fwww.webofscience.com%2Fwos%2Fwoscc%2Ffull-record%2FWOS%3A001198447000002" TargetMode="External" Type="http://schemas.openxmlformats.org/officeDocument/2006/relationships/hyperlink"/><Relationship Id="rId345" Target="http%3A%2F%2Fdx.doi.org%2F10.1093%2Fradadv%2Fumag013" TargetMode="External" Type="http://schemas.openxmlformats.org/officeDocument/2006/relationships/hyperlink"/><Relationship Id="rId346" Target="https%3A%2F%2Fwww.webofscience.com%2Fwos%2Fwoscc%2Ffull-record%2FWOS%3A001723585200001" TargetMode="External" Type="http://schemas.openxmlformats.org/officeDocument/2006/relationships/hyperlink"/><Relationship Id="rId347" Target="http%3A%2F%2Fdx.doi.org%2F10.1016%2Fj.isci.2026.116876" TargetMode="External" Type="http://schemas.openxmlformats.org/officeDocument/2006/relationships/hyperlink"/><Relationship Id="rId348" Target="https%3A%2F%2Fwww.webofscience.com%2Fwos%2Fwoscc%2Ffull-record%2FWOS%3A001836019900001" TargetMode="External" Type="http://schemas.openxmlformats.org/officeDocument/2006/relationships/hyperlink"/><Relationship Id="rId349" Target="http%3A%2F%2Fdx.doi.org%2F10.3389%2Ffendo.2025.1692917" TargetMode="External" Type="http://schemas.openxmlformats.org/officeDocument/2006/relationships/hyperlink"/><Relationship Id="rId35" Target="http%3A%2F%2Fdx.doi.org%2F10.1038%2Fs41467-025-58283-7" TargetMode="External" Type="http://schemas.openxmlformats.org/officeDocument/2006/relationships/hyperlink"/><Relationship Id="rId350" Target="https%3A%2F%2Fwww.webofscience.com%2Fwos%2Fwoscc%2Ffull-record%2FWOS%3A001652530300001" TargetMode="External" Type="http://schemas.openxmlformats.org/officeDocument/2006/relationships/hyperlink"/><Relationship Id="rId351" Target="http%3A%2F%2Fdx.doi.org%2F10.14218%2FJCTH.2025.00270" TargetMode="External" Type="http://schemas.openxmlformats.org/officeDocument/2006/relationships/hyperlink"/><Relationship Id="rId352" Target="https%3A%2F%2Fwww.webofscience.com%2Fwos%2Fwoscc%2Ffull-record%2FWOS%3A001533140500001" TargetMode="External" Type="http://schemas.openxmlformats.org/officeDocument/2006/relationships/hyperlink"/><Relationship Id="rId353" Target="http%3A%2F%2Fdx.doi.org%2F10.1097%2FPCC.0000000000002965" TargetMode="External" Type="http://schemas.openxmlformats.org/officeDocument/2006/relationships/hyperlink"/><Relationship Id="rId354" Target="https%3A%2F%2Fwww.webofscience.com%2Fwos%2Fwoscc%2Ffull-record%2FWOS%3A000853548500014" TargetMode="External" Type="http://schemas.openxmlformats.org/officeDocument/2006/relationships/hyperlink"/><Relationship Id="rId355" Target="http%3A%2F%2Fdx.doi.org%2F10.1016%2Fj.schres.2026.03.013" TargetMode="External" Type="http://schemas.openxmlformats.org/officeDocument/2006/relationships/hyperlink"/><Relationship Id="rId356" Target="https%3A%2F%2Fwww.webofscience.com%2Fwos%2Fwoscc%2Ffull-record%2FWOS%3A001732465900001" TargetMode="External" Type="http://schemas.openxmlformats.org/officeDocument/2006/relationships/hyperlink"/><Relationship Id="rId357" Target="http%3A%2F%2Fdx.doi.org%2F10.2147%2FDMSO.S586810" TargetMode="External" Type="http://schemas.openxmlformats.org/officeDocument/2006/relationships/hyperlink"/><Relationship Id="rId358" Target="https%3A%2F%2Fwww.webofscience.com%2Fwos%2Fwoscc%2Ffull-record%2FWOS%3A001710380200001" TargetMode="External" Type="http://schemas.openxmlformats.org/officeDocument/2006/relationships/hyperlink"/><Relationship Id="rId359" Target="http%3A%2F%2Fdx.doi.org%2F10.1016%2Fj.cmpb.2021.106288" TargetMode="External" Type="http://schemas.openxmlformats.org/officeDocument/2006/relationships/hyperlink"/><Relationship Id="rId36" Target="https%3A%2F%2Fwww.webofscience.com%2Fwos%2Fwoscc%2Ffull-record%2FWOS%3A001452497500021" TargetMode="External" Type="http://schemas.openxmlformats.org/officeDocument/2006/relationships/hyperlink"/><Relationship Id="rId360" Target="https%3A%2F%2Fwww.webofscience.com%2Fwos%2Fwoscc%2Ffull-record%2FWOS%3A000685503300013" TargetMode="External" Type="http://schemas.openxmlformats.org/officeDocument/2006/relationships/hyperlink"/><Relationship Id="rId361" Target="http%3A%2F%2Fdx.doi.org%2F10.1371%2Fjournal.pone.0328906" TargetMode="External" Type="http://schemas.openxmlformats.org/officeDocument/2006/relationships/hyperlink"/><Relationship Id="rId362" Target="https%3A%2F%2Fwww.webofscience.com%2Fwos%2Fwoscc%2Ffull-record%2FWOS%3A001542585500034" TargetMode="External" Type="http://schemas.openxmlformats.org/officeDocument/2006/relationships/hyperlink"/><Relationship Id="rId363" Target="http%3A%2F%2Fdx.doi.org%2F10.1016%2Fj.ijmedinf.2026.106575" TargetMode="External" Type="http://schemas.openxmlformats.org/officeDocument/2006/relationships/hyperlink"/><Relationship Id="rId364" Target="https%3A%2F%2Fwww.webofscience.com%2Fwos%2Fwoscc%2Ffull-record%2FWOS%3A001812964700001" TargetMode="External" Type="http://schemas.openxmlformats.org/officeDocument/2006/relationships/hyperlink"/><Relationship Id="rId365" Target="http%3A%2F%2Fdx.doi.org%2F10.1186%2Fs12931-026-03711-5" TargetMode="External" Type="http://schemas.openxmlformats.org/officeDocument/2006/relationships/hyperlink"/><Relationship Id="rId366" Target="https%3A%2F%2Fwww.webofscience.com%2Fwos%2Fwoscc%2Ffull-record%2FWOS%3A001809255100001" TargetMode="External" Type="http://schemas.openxmlformats.org/officeDocument/2006/relationships/hyperlink"/><Relationship Id="rId367" Target="http%3A%2F%2Fdx.doi.org%2F10.3389%2Ffendo.2025.1719698" TargetMode="External" Type="http://schemas.openxmlformats.org/officeDocument/2006/relationships/hyperlink"/><Relationship Id="rId368" Target="https%3A%2F%2Fwww.webofscience.com%2Fwos%2Fwoscc%2Ffull-record%2FWOS%3A001667251100001" TargetMode="External" Type="http://schemas.openxmlformats.org/officeDocument/2006/relationships/hyperlink"/><Relationship Id="rId369" Target="http%3A%2F%2Fdx.doi.org%2F10.1136%2Fbmj-2022-073800" TargetMode="External" Type="http://schemas.openxmlformats.org/officeDocument/2006/relationships/hyperlink"/><Relationship Id="rId37" Target="http%3A%2F%2Fdx.doi.org%2F10.1093%2Fehjdh%2Fztae029" TargetMode="External" Type="http://schemas.openxmlformats.org/officeDocument/2006/relationships/hyperlink"/><Relationship Id="rId370" Target="https%3A%2F%2Fwww.webofscience.com%2Fwos%2Fwoscc%2Ffull-record%2FWOS%3A001099483300002" TargetMode="External" Type="http://schemas.openxmlformats.org/officeDocument/2006/relationships/hyperlink"/><Relationship Id="rId371" Target="http%3A%2F%2Fdx.doi.org%2F10.1016%2FS2352-3026%2825%2900068-7" TargetMode="External" Type="http://schemas.openxmlformats.org/officeDocument/2006/relationships/hyperlink"/><Relationship Id="rId372" Target="https%3A%2F%2Fwww.webofscience.com%2Fwos%2Fwoscc%2Ffull-record%2FWOS%3A001503595800008" TargetMode="External" Type="http://schemas.openxmlformats.org/officeDocument/2006/relationships/hyperlink"/><Relationship Id="rId373" Target="http%3A%2F%2Fdx.doi.org%2F10.1038%2Fs43018-026-01126-1" TargetMode="External" Type="http://schemas.openxmlformats.org/officeDocument/2006/relationships/hyperlink"/><Relationship Id="rId374" Target="https%3A%2F%2Fwww.webofscience.com%2Fwos%2Fwoscc%2Ffull-record%2FWOS%3A001711488100001" TargetMode="External" Type="http://schemas.openxmlformats.org/officeDocument/2006/relationships/hyperlink"/><Relationship Id="rId375" Target="http%3A%2F%2Fdx.doi.org%2F10.1021%2Facs.jcim.3c00160" TargetMode="External" Type="http://schemas.openxmlformats.org/officeDocument/2006/relationships/hyperlink"/><Relationship Id="rId376" Target="https%3A%2F%2Fwww.webofscience.com%2Fwos%2Fwoscc%2Ffull-record%2FWOS%3A001022649400001" TargetMode="External" Type="http://schemas.openxmlformats.org/officeDocument/2006/relationships/hyperlink"/><Relationship Id="rId377" Target="http%3A%2F%2Fdx.doi.org%2F10.1371%2Fjournal.pmed.1002705" TargetMode="External" Type="http://schemas.openxmlformats.org/officeDocument/2006/relationships/hyperlink"/><Relationship Id="rId378" Target="https%3A%2F%2Fwww.webofscience.com%2Fwos%2Fwoscc%2Ffull-record%2FWOS%3A000451827800021" TargetMode="External" Type="http://schemas.openxmlformats.org/officeDocument/2006/relationships/hyperlink"/><Relationship Id="rId379" Target="http%3A%2F%2Fdx.doi.org%2F10.1136%2Fbmjonc-2023-000255" TargetMode="External" Type="http://schemas.openxmlformats.org/officeDocument/2006/relationships/hyperlink"/><Relationship Id="rId38" Target="https%3A%2F%2Fwww.webofscience.com%2Fwos%2Fwoscc%2Ffull-record%2FWOS%3A001216710300001" TargetMode="External" Type="http://schemas.openxmlformats.org/officeDocument/2006/relationships/hyperlink"/><Relationship Id="rId380" Target="https%3A%2F%2Fwww.webofscience.com%2Fwos%2Fwoscc%2Ffull-record%2FWOS%3A001732869200001" TargetMode="External" Type="http://schemas.openxmlformats.org/officeDocument/2006/relationships/hyperlink"/><Relationship Id="rId381" Target="http%3A%2F%2Fdx.doi.org%2F10.1186%2Fs12894-026-02127-z" TargetMode="External" Type="http://schemas.openxmlformats.org/officeDocument/2006/relationships/hyperlink"/><Relationship Id="rId382" Target="https%3A%2F%2Fwww.webofscience.com%2Fwos%2Fwoscc%2Ffull-record%2FWOS%3A001772202600002" TargetMode="External" Type="http://schemas.openxmlformats.org/officeDocument/2006/relationships/hyperlink"/><Relationship Id="rId383" Target="http%3A%2F%2Fdx.doi.org%2F10.1136%2Fbjophthalmol-2020-316594" TargetMode="External" Type="http://schemas.openxmlformats.org/officeDocument/2006/relationships/hyperlink"/><Relationship Id="rId384" Target="https%3A%2F%2Fwww.webofscience.com%2Fwos%2Fwoscc%2Ffull-record%2FWOS%3A000642451300021" TargetMode="External" Type="http://schemas.openxmlformats.org/officeDocument/2006/relationships/hyperlink"/><Relationship Id="rId385" Target="http%3A%2F%2Fdx.doi.org%2F10.1038%2Fs41746-023-00875-y" TargetMode="External" Type="http://schemas.openxmlformats.org/officeDocument/2006/relationships/hyperlink"/><Relationship Id="rId386" Target="https%3A%2F%2Fwww.webofscience.com%2Fwos%2Fwoscc%2Ffull-record%2FWOS%3A001033475900001" TargetMode="External" Type="http://schemas.openxmlformats.org/officeDocument/2006/relationships/hyperlink"/><Relationship Id="rId387" Target="http%3A%2F%2Fdx.doi.org%2F10.1007%2Fs11042-024-18543-y" TargetMode="External" Type="http://schemas.openxmlformats.org/officeDocument/2006/relationships/hyperlink"/><Relationship Id="rId388" Target="https%3A%2F%2Fwww.webofscience.com%2Fwos%2Fwoscc%2Ffull-record%2FWOS%3A001167950900014" TargetMode="External" Type="http://schemas.openxmlformats.org/officeDocument/2006/relationships/hyperlink"/><Relationship Id="rId389" Target="http%3A%2F%2Fdx.doi.org%2F10.1038%2Fs41433-023-02622-9" TargetMode="External" Type="http://schemas.openxmlformats.org/officeDocument/2006/relationships/hyperlink"/><Relationship Id="rId39" Target="http%3A%2F%2Fdx.doi.org%2F10.1530%2FETJ-21-0129" TargetMode="External" Type="http://schemas.openxmlformats.org/officeDocument/2006/relationships/hyperlink"/><Relationship Id="rId390" Target="https%3A%2F%2Fwww.webofscience.com%2Fwos%2Fwoscc%2Ffull-record%2FWOS%3A001006457500001" TargetMode="External" Type="http://schemas.openxmlformats.org/officeDocument/2006/relationships/hyperlink"/><Relationship Id="rId391" Target="http%3A%2F%2Fdx.doi.org%2F10.1177%2F19714009241303078" TargetMode="External" Type="http://schemas.openxmlformats.org/officeDocument/2006/relationships/hyperlink"/><Relationship Id="rId392" Target="https%3A%2F%2Fwww.webofscience.com%2Fwos%2Fwoscc%2Ffull-record%2FWOS%3A001364204600001" TargetMode="External" Type="http://schemas.openxmlformats.org/officeDocument/2006/relationships/hyperlink"/><Relationship Id="rId393" Target="http%3A%2F%2Fdx.doi.org%2F10.1002%2Fjbmr.4477" TargetMode="External" Type="http://schemas.openxmlformats.org/officeDocument/2006/relationships/hyperlink"/><Relationship Id="rId394" Target="https%3A%2F%2Fwww.webofscience.com%2Fwos%2Fwoscc%2Ffull-record%2FWOS%3A000729628900001" TargetMode="External" Type="http://schemas.openxmlformats.org/officeDocument/2006/relationships/hyperlink"/><Relationship Id="rId395" Target="http%3A%2F%2Fdx.doi.org%2F10.1093%2Fnoajnl%2Fvdae199" TargetMode="External" Type="http://schemas.openxmlformats.org/officeDocument/2006/relationships/hyperlink"/><Relationship Id="rId396" Target="https%3A%2F%2Fwww.webofscience.com%2Fwos%2Fwoscc%2Ffull-record%2FWOS%3A001373564800001" TargetMode="External" Type="http://schemas.openxmlformats.org/officeDocument/2006/relationships/hyperlink"/><Relationship Id="rId397" Target="http%3A%2F%2Fdx.doi.org%2F10.1016%2FS2589-7500%2821%2900056-X" TargetMode="External" Type="http://schemas.openxmlformats.org/officeDocument/2006/relationships/hyperlink"/><Relationship Id="rId398" Target="https%3A%2F%2Fwww.webofscience.com%2Fwos%2Fwoscc%2Ffull-record%2FWOS%3A000654685600005" TargetMode="External" Type="http://schemas.openxmlformats.org/officeDocument/2006/relationships/hyperlink"/><Relationship Id="rId399" Target="http%3A%2F%2Fdx.doi.org%2F10.1016%2Fj.ejmp.2021.02.010" TargetMode="External" Type="http://schemas.openxmlformats.org/officeDocument/2006/relationships/hyperlink"/><Relationship Id="rId4" Target="https%3A%2F%2Fwww.webofscience.com%2Fwos%2Fwoscc%2Ffull-record%2FWOS%3A001728727600001" TargetMode="External" Type="http://schemas.openxmlformats.org/officeDocument/2006/relationships/hyperlink"/><Relationship Id="rId40" Target="https%3A%2F%2Fwww.webofscience.com%2Fwos%2Fwoscc%2Ffull-record%2FWOS%3A000808463200004" TargetMode="External" Type="http://schemas.openxmlformats.org/officeDocument/2006/relationships/hyperlink"/><Relationship Id="rId400" Target="https%3A%2F%2Fwww.webofscience.com%2Fwos%2Fwoscc%2Ffull-record%2FWOS%3A000657912000007" TargetMode="External" Type="http://schemas.openxmlformats.org/officeDocument/2006/relationships/hyperlink"/><Relationship Id="rId401" Target="http%3A%2F%2Fdx.doi.org%2F10.1007%2Fs00330-023-10235-9" TargetMode="External" Type="http://schemas.openxmlformats.org/officeDocument/2006/relationships/hyperlink"/><Relationship Id="rId402" Target="https%3A%2F%2Fwww.webofscience.com%2Fwos%2Fwoscc%2Ffull-record%2FWOS%3A001379776200061" TargetMode="External" Type="http://schemas.openxmlformats.org/officeDocument/2006/relationships/hyperlink"/><Relationship Id="rId403" Target="http%3A%2F%2Fdx.doi.org%2F10.1016%2Fj.ejrad.2024.111685" TargetMode="External" Type="http://schemas.openxmlformats.org/officeDocument/2006/relationships/hyperlink"/><Relationship Id="rId404" Target="https%3A%2F%2Fwww.webofscience.com%2Fwos%2Fwoscc%2Ffull-record%2FWOS%3A001303983600001" TargetMode="External" Type="http://schemas.openxmlformats.org/officeDocument/2006/relationships/hyperlink"/><Relationship Id="rId405" Target="http%3A%2F%2Fdx.doi.org%2F10.1093%2Frheumatology%2Fkeae215" TargetMode="External" Type="http://schemas.openxmlformats.org/officeDocument/2006/relationships/hyperlink"/><Relationship Id="rId406" Target="https%3A%2F%2Fwww.webofscience.com%2Fwos%2Fwoscc%2Ffull-record%2FWOS%3A001222519100001" TargetMode="External" Type="http://schemas.openxmlformats.org/officeDocument/2006/relationships/hyperlink"/><Relationship Id="rId407" Target="http%3A%2F%2Fdx.doi.org%2F10.2196%2F67576" TargetMode="External" Type="http://schemas.openxmlformats.org/officeDocument/2006/relationships/hyperlink"/><Relationship Id="rId408" Target="https%3A%2F%2Fwww.webofscience.com%2Fwos%2Fwoscc%2Ffull-record%2FWOS%3A001462271200003" TargetMode="External" Type="http://schemas.openxmlformats.org/officeDocument/2006/relationships/hyperlink"/><Relationship Id="rId409" Target="http%3A%2F%2Fdx.doi.org%2F10.1177%2F02841851231202323" TargetMode="External" Type="http://schemas.openxmlformats.org/officeDocument/2006/relationships/hyperlink"/><Relationship Id="rId41" Target="http%3A%2F%2Fdx.doi.org%2F10.1016%2Fj.bja.2022.06.031" TargetMode="External" Type="http://schemas.openxmlformats.org/officeDocument/2006/relationships/hyperlink"/><Relationship Id="rId410" Target="https%3A%2F%2Fwww.webofscience.com%2Fwos%2Fwoscc%2Ffull-record%2FWOS%3A001070641500001" TargetMode="External" Type="http://schemas.openxmlformats.org/officeDocument/2006/relationships/hyperlink"/><Relationship Id="rId411" Target="http%3A%2F%2Fdx.doi.org%2F10.1016%2Fj.ejrad.2025.112430" TargetMode="External" Type="http://schemas.openxmlformats.org/officeDocument/2006/relationships/hyperlink"/><Relationship Id="rId412" Target="https%3A%2F%2Fwww.webofscience.com%2Fwos%2Fwoscc%2Ffull-record%2FWOS%3A001584231900001" TargetMode="External" Type="http://schemas.openxmlformats.org/officeDocument/2006/relationships/hyperlink"/><Relationship Id="rId413" Target="http%3A%2F%2Fdx.doi.org%2F10.3390%2Fbioengineering12010020" TargetMode="External" Type="http://schemas.openxmlformats.org/officeDocument/2006/relationships/hyperlink"/><Relationship Id="rId414" Target="https%3A%2F%2Fwww.webofscience.com%2Fwos%2Fwoscc%2Ffull-record%2FWOS%3A001404576600001" TargetMode="External" Type="http://schemas.openxmlformats.org/officeDocument/2006/relationships/hyperlink"/><Relationship Id="rId415" Target="http%3A%2F%2Fdx.doi.org%2F10.3174%2Fajnr.A7695" TargetMode="External" Type="http://schemas.openxmlformats.org/officeDocument/2006/relationships/hyperlink"/><Relationship Id="rId416" Target="https%3A%2F%2Fwww.webofscience.com%2Fwos%2Fwoscc%2Ffull-record%2FWOS%3A000883714700001" TargetMode="External" Type="http://schemas.openxmlformats.org/officeDocument/2006/relationships/hyperlink"/><Relationship Id="rId417" Target="http%3A%2F%2Fdx.doi.org%2F10.1159%2F000551704" TargetMode="External" Type="http://schemas.openxmlformats.org/officeDocument/2006/relationships/hyperlink"/><Relationship Id="rId418" Target="https%3A%2F%2Fwww.webofscience.com%2Fwos%2Fwoscc%2Ffull-record%2FWOS%3A001801595900001" TargetMode="External" Type="http://schemas.openxmlformats.org/officeDocument/2006/relationships/hyperlink"/><Relationship Id="rId419" Target="http%3A%2F%2Fdx.doi.org%2F10.1177%2F15266028241295563" TargetMode="External" Type="http://schemas.openxmlformats.org/officeDocument/2006/relationships/hyperlink"/><Relationship Id="rId42" Target="https%3A%2F%2Fwww.webofscience.com%2Fwos%2Fwoscc%2Ffull-record%2FWOS%3A000961675800001" TargetMode="External" Type="http://schemas.openxmlformats.org/officeDocument/2006/relationships/hyperlink"/><Relationship Id="rId420" Target="https%3A%2F%2Fwww.webofscience.com%2Fwos%2Fwoscc%2Ffull-record%2FWOS%3A001353382400001" TargetMode="External" Type="http://schemas.openxmlformats.org/officeDocument/2006/relationships/hyperlink"/><Relationship Id="rId421" Target="http%3A%2F%2Fdx.doi.org%2F10.34133%2Fresearch.0426" TargetMode="External" Type="http://schemas.openxmlformats.org/officeDocument/2006/relationships/hyperlink"/><Relationship Id="rId422" Target="https%3A%2F%2Fwww.webofscience.com%2Fwos%2Fwoscc%2Ffull-record%2FWOS%3A001292248700001" TargetMode="External" Type="http://schemas.openxmlformats.org/officeDocument/2006/relationships/hyperlink"/><Relationship Id="rId423" Target="http%3A%2F%2Fdx.doi.org%2F10.1007%2Fs00330-022-09315-z" TargetMode="External" Type="http://schemas.openxmlformats.org/officeDocument/2006/relationships/hyperlink"/><Relationship Id="rId424" Target="https%3A%2F%2Fwww.webofscience.com%2Fwos%2Fwoscc%2Ffull-record%2FWOS%3A000911288500001" TargetMode="External" Type="http://schemas.openxmlformats.org/officeDocument/2006/relationships/hyperlink"/><Relationship Id="rId425" Target="http%3A%2F%2Fdx.doi.org%2F10.1038%2Fs41598-022-16514-7" TargetMode="External" Type="http://schemas.openxmlformats.org/officeDocument/2006/relationships/hyperlink"/><Relationship Id="rId426" Target="https%3A%2F%2Fwww.webofscience.com%2Fwos%2Fwoscc%2Ffull-record%2FWOS%3A000831887000056" TargetMode="External" Type="http://schemas.openxmlformats.org/officeDocument/2006/relationships/hyperlink"/><Relationship Id="rId427" Target="http%3A%2F%2Fdx.doi.org%2F10.1111%2Fjce.13889" TargetMode="External" Type="http://schemas.openxmlformats.org/officeDocument/2006/relationships/hyperlink"/><Relationship Id="rId428" Target="https%3A%2F%2Fwww.webofscience.com%2Fwos%2Fwoscc%2Ffull-record%2FWOS%3A000471046800006" TargetMode="External" Type="http://schemas.openxmlformats.org/officeDocument/2006/relationships/hyperlink"/><Relationship Id="rId429" Target="http%3A%2F%2Fdx.doi.org%2F10.1038%2Fs41746-024-01227-0" TargetMode="External" Type="http://schemas.openxmlformats.org/officeDocument/2006/relationships/hyperlink"/><Relationship Id="rId43" Target="http%3A%2F%2Fdx.doi.org%2F10.1016%2Fj.amjcard.2026.06.005" TargetMode="External" Type="http://schemas.openxmlformats.org/officeDocument/2006/relationships/hyperlink"/><Relationship Id="rId430" Target="https%3A%2F%2Fwww.webofscience.com%2Fwos%2Fwoscc%2Ffull-record%2FWOS%3A001307864500001" TargetMode="External" Type="http://schemas.openxmlformats.org/officeDocument/2006/relationships/hyperlink"/><Relationship Id="rId431" Target="http%3A%2F%2Fdx.doi.org%2F10.1007%2Fs00784-026-06790-2" TargetMode="External" Type="http://schemas.openxmlformats.org/officeDocument/2006/relationships/hyperlink"/><Relationship Id="rId432" Target="https%3A%2F%2Fwww.webofscience.com%2Fwos%2Fwoscc%2Ffull-record%2FWOS%3A001697961400001" TargetMode="External" Type="http://schemas.openxmlformats.org/officeDocument/2006/relationships/hyperlink"/><Relationship Id="rId433" Target="http%3A%2F%2Fdx.doi.org%2F10.1111%2Fedt.70022" TargetMode="External" Type="http://schemas.openxmlformats.org/officeDocument/2006/relationships/hyperlink"/><Relationship Id="rId434" Target="https%3A%2F%2Fwww.webofscience.com%2Fwos%2Fwoscc%2Ffull-record%2FWOS%3A001583643000001" TargetMode="External" Type="http://schemas.openxmlformats.org/officeDocument/2006/relationships/hyperlink"/><Relationship Id="rId435" Target="http%3A%2F%2Fdx.doi.org%2F10.6065%2Fapem.2346050.025" TargetMode="External" Type="http://schemas.openxmlformats.org/officeDocument/2006/relationships/hyperlink"/><Relationship Id="rId436" Target="https%3A%2F%2Fwww.webofscience.com%2Fwos%2Fwoscc%2Ffull-record%2FWOS%3A001218248900005" TargetMode="External" Type="http://schemas.openxmlformats.org/officeDocument/2006/relationships/hyperlink"/><Relationship Id="rId437" Target="http%3A%2F%2Fdx.doi.org%2F10.1136%2Fbmjopen-2024-084183" TargetMode="External" Type="http://schemas.openxmlformats.org/officeDocument/2006/relationships/hyperlink"/><Relationship Id="rId438" Target="https%3A%2F%2Fwww.webofscience.com%2Fwos%2Fwoscc%2Ffull-record%2FWOS%3A001265212100025" TargetMode="External" Type="http://schemas.openxmlformats.org/officeDocument/2006/relationships/hyperlink"/><Relationship Id="rId439" Target="http%3A%2F%2Fdx.doi.org%2F10.1016%2Fj.ijmedinf.2025.106169" TargetMode="External" Type="http://schemas.openxmlformats.org/officeDocument/2006/relationships/hyperlink"/><Relationship Id="rId44" Target="https%3A%2F%2Fwww.webofscience.com%2Fwos%2Fwoscc%2Ffull-record%2FWOS%3A001813385100001" TargetMode="External" Type="http://schemas.openxmlformats.org/officeDocument/2006/relationships/hyperlink"/><Relationship Id="rId440" Target="https%3A%2F%2Fwww.webofscience.com%2Fwos%2Fwoscc%2Ffull-record%2FWOS%3A001615029700004" TargetMode="External" Type="http://schemas.openxmlformats.org/officeDocument/2006/relationships/hyperlink"/><Relationship Id="rId441" Target="http%3A%2F%2Fdx.doi.org%2F10.3389%2Ffcvm.2026.1870642" TargetMode="External" Type="http://schemas.openxmlformats.org/officeDocument/2006/relationships/hyperlink"/><Relationship Id="rId442" Target="https%3A%2F%2Fwww.webofscience.com%2Fwos%2Fwoscc%2Ffull-record%2FWOS%3A001808601200001" TargetMode="External" Type="http://schemas.openxmlformats.org/officeDocument/2006/relationships/hyperlink"/><Relationship Id="rId443" Target="http%3A%2F%2Fdx.doi.org%2F10.3390%2Fbioengineering11101001" TargetMode="External" Type="http://schemas.openxmlformats.org/officeDocument/2006/relationships/hyperlink"/><Relationship Id="rId444" Target="https%3A%2F%2Fwww.webofscience.com%2Fwos%2Fwoscc%2Ffull-record%2FWOS%3A001344440900001" TargetMode="External" Type="http://schemas.openxmlformats.org/officeDocument/2006/relationships/hyperlink"/><Relationship Id="rId445" Target="http%3A%2F%2Fdx.doi.org%2F10.1016%2Fj.acvd.2023.04.003" TargetMode="External" Type="http://schemas.openxmlformats.org/officeDocument/2006/relationships/hyperlink"/><Relationship Id="rId446" Target="https%3A%2F%2Fwww.webofscience.com%2Fwos%2Fwoscc%2Ffull-record%2FWOS%3A001009537000001" TargetMode="External" Type="http://schemas.openxmlformats.org/officeDocument/2006/relationships/hyperlink"/><Relationship Id="rId447" Target="http%3A%2F%2Fdx.doi.org%2F10.1097%2FCCM.0000000000005758" TargetMode="External" Type="http://schemas.openxmlformats.org/officeDocument/2006/relationships/hyperlink"/><Relationship Id="rId448" Target="https%3A%2F%2Fwww.webofscience.com%2Fwos%2Fwoscc%2Ffull-record%2FWOS%3A000919597500020" TargetMode="External" Type="http://schemas.openxmlformats.org/officeDocument/2006/relationships/hyperlink"/><Relationship Id="rId449" Target="http%3A%2F%2Fdx.doi.org%2F10.1016%2Fj.chstcc.2026.100241" TargetMode="External" Type="http://schemas.openxmlformats.org/officeDocument/2006/relationships/hyperlink"/><Relationship Id="rId45" Target="http%3A%2F%2Fdx.doi.org%2F10.1038%2Fs41746-021-00460-1" TargetMode="External" Type="http://schemas.openxmlformats.org/officeDocument/2006/relationships/hyperlink"/><Relationship Id="rId450" Target="https%3A%2F%2Fwww.webofscience.com%2Fwos%2Fwoscc%2Ffull-record%2FWOS%3A001724046600001" TargetMode="External" Type="http://schemas.openxmlformats.org/officeDocument/2006/relationships/hyperlink"/><Relationship Id="rId451" Target="http%3A%2F%2Fdx.doi.org%2F10.5858%2Farpa.2022-0066-OA" TargetMode="External" Type="http://schemas.openxmlformats.org/officeDocument/2006/relationships/hyperlink"/><Relationship Id="rId452" Target="https%3A%2F%2Fwww.webofscience.com%2Fwos%2Fwoscc%2Ffull-record%2FWOS%3A001108713600001" TargetMode="External" Type="http://schemas.openxmlformats.org/officeDocument/2006/relationships/hyperlink"/><Relationship Id="rId453" Target="http%3A%2F%2Fdx.doi.org%2F10.21037%2Ftp-2026-1-0146" TargetMode="External" Type="http://schemas.openxmlformats.org/officeDocument/2006/relationships/hyperlink"/><Relationship Id="rId454" Target="https%3A%2F%2Fwww.webofscience.com%2Fwos%2Fwoscc%2Ffull-record%2FWOS%3A001825948500046" TargetMode="External" Type="http://schemas.openxmlformats.org/officeDocument/2006/relationships/hyperlink"/><Relationship Id="rId455" Target="http%3A%2F%2Fdx.doi.org%2F10.1177%2F10760296251372942" TargetMode="External" Type="http://schemas.openxmlformats.org/officeDocument/2006/relationships/hyperlink"/><Relationship Id="rId456" Target="https%3A%2F%2Fwww.webofscience.com%2Fwos%2Fwoscc%2Ffull-record%2FWOS%3A001559429600001" TargetMode="External" Type="http://schemas.openxmlformats.org/officeDocument/2006/relationships/hyperlink"/><Relationship Id="rId457" Target="http%3A%2F%2Fdx.doi.org%2F10.1016%2Fj.dld.2026.01.226" TargetMode="External" Type="http://schemas.openxmlformats.org/officeDocument/2006/relationships/hyperlink"/><Relationship Id="rId458" Target="https%3A%2F%2Fwww.webofscience.com%2Fwos%2Fwoscc%2Ffull-record%2FWOS%3A001751597800001" TargetMode="External" Type="http://schemas.openxmlformats.org/officeDocument/2006/relationships/hyperlink"/><Relationship Id="rId459" Target="http%3A%2F%2Fdx.doi.org%2F10.1186%2Fs12891-024-07798-z" TargetMode="External" Type="http://schemas.openxmlformats.org/officeDocument/2006/relationships/hyperlink"/><Relationship Id="rId46" Target="https%3A%2F%2Fwww.webofscience.com%2Fwos%2Fwoscc%2Ffull-record%2FWOS%3A000657038900001" TargetMode="External" Type="http://schemas.openxmlformats.org/officeDocument/2006/relationships/hyperlink"/><Relationship Id="rId460" Target="https%3A%2F%2Fwww.webofscience.com%2Fwos%2Fwoscc%2Ffull-record%2FWOS%3A001300045900004" TargetMode="External" Type="http://schemas.openxmlformats.org/officeDocument/2006/relationships/hyperlink"/><Relationship Id="rId461" Target="http%3A%2F%2Fdx.doi.org%2F10.1253%2Fcircrep.CR-26-0116" TargetMode="External" Type="http://schemas.openxmlformats.org/officeDocument/2006/relationships/hyperlink"/><Relationship Id="rId462" Target="https%3A%2F%2Fwww.webofscience.com%2Fwos%2Fwoscc%2Ffull-record%2FWOS%3A001820567200001" TargetMode="External" Type="http://schemas.openxmlformats.org/officeDocument/2006/relationships/hyperlink"/><Relationship Id="rId463" Target="http%3A%2F%2Fdx.doi.org%2F10.1097%2FLVT.0000000000000942" TargetMode="External" Type="http://schemas.openxmlformats.org/officeDocument/2006/relationships/hyperlink"/><Relationship Id="rId464" Target="https%3A%2F%2Fwww.webofscience.com%2Fwos%2Fwoscc%2Ffull-record%2FWOS%3A001853517500001" TargetMode="External" Type="http://schemas.openxmlformats.org/officeDocument/2006/relationships/hyperlink"/><Relationship Id="rId465" Target="http%3A%2F%2Fdx.doi.org%2F10.1038%2Fs41598-025-29043-w" TargetMode="External" Type="http://schemas.openxmlformats.org/officeDocument/2006/relationships/hyperlink"/><Relationship Id="rId466" Target="https%3A%2F%2Fwww.webofscience.com%2Fwos%2Fwoscc%2Ffull-record%2FWOS%3A001669104400003" TargetMode="External" Type="http://schemas.openxmlformats.org/officeDocument/2006/relationships/hyperlink"/><Relationship Id="rId467" Target="http%3A%2F%2Fdx.doi.org%2F10.1186%2Fs42836-023-00208-0" TargetMode="External" Type="http://schemas.openxmlformats.org/officeDocument/2006/relationships/hyperlink"/><Relationship Id="rId468" Target="https%3A%2F%2Fwww.webofscience.com%2Fwos%2Fwoscc%2Ffull-record%2FWOS%3A001098780400001" TargetMode="External" Type="http://schemas.openxmlformats.org/officeDocument/2006/relationships/hyperlink"/><Relationship Id="rId469" Target="http%3A%2F%2Fdx.doi.org%2F10.1136%2Femermed-2022-212440" TargetMode="External" Type="http://schemas.openxmlformats.org/officeDocument/2006/relationships/hyperlink"/><Relationship Id="rId47" Target="http%3A%2F%2Fdx.doi.org%2F10.1016%2Fj.clinimag.2023.06.023" TargetMode="External" Type="http://schemas.openxmlformats.org/officeDocument/2006/relationships/hyperlink"/><Relationship Id="rId470" Target="https%3A%2F%2Fwww.webofscience.com%2Fwos%2Fwoscc%2Ffull-record%2FWOS%3A001074665100001" TargetMode="External" Type="http://schemas.openxmlformats.org/officeDocument/2006/relationships/hyperlink"/><Relationship Id="rId471" Target="http%3A%2F%2Fdx.doi.org%2F10.1371%2Fjournal.pone.0339276" TargetMode="External" Type="http://schemas.openxmlformats.org/officeDocument/2006/relationships/hyperlink"/><Relationship Id="rId472" Target="https%3A%2F%2Fwww.webofscience.com%2Fwos%2Fwoscc%2Ffull-record%2FWOS%3A001680464900039" TargetMode="External" Type="http://schemas.openxmlformats.org/officeDocument/2006/relationships/hyperlink"/><Relationship Id="rId473" Target="http%3A%2F%2Fdx.doi.org%2F10.1093%2Fejendo%2Flvag114" TargetMode="External" Type="http://schemas.openxmlformats.org/officeDocument/2006/relationships/hyperlink"/><Relationship Id="rId474" Target="https%3A%2F%2Fwww.webofscience.com%2Fwos%2Fwoscc%2Ffull-record%2FWOS%3A001815103900001" TargetMode="External" Type="http://schemas.openxmlformats.org/officeDocument/2006/relationships/hyperlink"/><Relationship Id="rId475" Target="http%3A%2F%2Fdx.doi.org%2F10.1200%2FCCI-25-00086" TargetMode="External" Type="http://schemas.openxmlformats.org/officeDocument/2006/relationships/hyperlink"/><Relationship Id="rId476" Target="https%3A%2F%2Fwww.webofscience.com%2Fwos%2Fwoscc%2Ffull-record%2FWOS%3A001610944500001" TargetMode="External" Type="http://schemas.openxmlformats.org/officeDocument/2006/relationships/hyperlink"/><Relationship Id="rId477" Target="http%3A%2F%2Fdx.doi.org%2F10.1016%2Fj.jad.2025.120520" TargetMode="External" Type="http://schemas.openxmlformats.org/officeDocument/2006/relationships/hyperlink"/><Relationship Id="rId478" Target="https%3A%2F%2Fwww.webofscience.com%2Fwos%2Fwoscc%2Ffull-record%2FWOS%3A001629192300001" TargetMode="External" Type="http://schemas.openxmlformats.org/officeDocument/2006/relationships/hyperlink"/><Relationship Id="rId479" Target="http%3A%2F%2Fdx.doi.org%2F10.1007%2Fs00261-023-03907-z" TargetMode="External" Type="http://schemas.openxmlformats.org/officeDocument/2006/relationships/hyperlink"/><Relationship Id="rId48" Target="https%3A%2F%2Fwww.webofscience.com%2Fwos%2Fwoscc%2Ffull-record%2FWOS%3A001036889500001" TargetMode="External" Type="http://schemas.openxmlformats.org/officeDocument/2006/relationships/hyperlink"/><Relationship Id="rId480" Target="https%3A%2F%2Fwww.webofscience.com%2Fwos%2Fwoscc%2Ffull-record%2FWOS%3A000970872400001" TargetMode="External" Type="http://schemas.openxmlformats.org/officeDocument/2006/relationships/hyperlink"/><Relationship Id="rId481" Target="http%3A%2F%2Fdx.doi.org%2F10.1016%2Fj.ijmedinf.2026.106541" TargetMode="External" Type="http://schemas.openxmlformats.org/officeDocument/2006/relationships/hyperlink"/><Relationship Id="rId482" Target="https%3A%2F%2Fwww.webofscience.com%2Fwos%2Fwoscc%2Ffull-record%2FWOS%3A001798910100001" TargetMode="External" Type="http://schemas.openxmlformats.org/officeDocument/2006/relationships/hyperlink"/><Relationship Id="rId483" Target="http%3A%2F%2Fdx.doi.org%2F10.1002%2Fpros.70217" TargetMode="External" Type="http://schemas.openxmlformats.org/officeDocument/2006/relationships/hyperlink"/><Relationship Id="rId484" Target="https%3A%2F%2Fwww.webofscience.com%2Fwos%2Fwoscc%2Ffull-record%2FWOS%3A001809538700001" TargetMode="External" Type="http://schemas.openxmlformats.org/officeDocument/2006/relationships/hyperlink"/><Relationship Id="rId485" Target="http%3A%2F%2Fdx.doi.org%2F10.3390%2Fcancers16132463" TargetMode="External" Type="http://schemas.openxmlformats.org/officeDocument/2006/relationships/hyperlink"/><Relationship Id="rId486" Target="https%3A%2F%2Fwww.webofscience.com%2Fwos%2Fwoscc%2Ffull-record%2FWOS%3A001266485000001" TargetMode="External" Type="http://schemas.openxmlformats.org/officeDocument/2006/relationships/hyperlink"/><Relationship Id="rId487" Target="http%3A%2F%2Fdx.doi.org%2F10.1177%2F03635465221124275" TargetMode="External" Type="http://schemas.openxmlformats.org/officeDocument/2006/relationships/hyperlink"/><Relationship Id="rId488" Target="https%3A%2F%2Fwww.webofscience.com%2Fwos%2Fwoscc%2Ffull-record%2FWOS%3A000857604800001" TargetMode="External" Type="http://schemas.openxmlformats.org/officeDocument/2006/relationships/hyperlink"/><Relationship Id="rId489" Target="http%3A%2F%2Fdx.doi.org%2F10.1016%2Fj.aucc.2022.06.001" TargetMode="External" Type="http://schemas.openxmlformats.org/officeDocument/2006/relationships/hyperlink"/><Relationship Id="rId49" Target="http%3A%2F%2Fdx.doi.org%2F10.1097%2FALN.0000000000004478" TargetMode="External" Type="http://schemas.openxmlformats.org/officeDocument/2006/relationships/hyperlink"/><Relationship Id="rId490" Target="https%3A%2F%2Fwww.webofscience.com%2Fwos%2Fwoscc%2Ffull-record%2FWOS%3A001025944700001" TargetMode="External" Type="http://schemas.openxmlformats.org/officeDocument/2006/relationships/hyperlink"/><Relationship Id="rId491" Target="http%3A%2F%2Fdx.doi.org%2F10.1016%2Fj.ijmedinf.2026.106314" TargetMode="External" Type="http://schemas.openxmlformats.org/officeDocument/2006/relationships/hyperlink"/><Relationship Id="rId492" Target="https%3A%2F%2Fwww.webofscience.com%2Fwos%2Fwoscc%2Ffull-record%2FWOS%3A001713103700001" TargetMode="External" Type="http://schemas.openxmlformats.org/officeDocument/2006/relationships/hyperlink"/><Relationship Id="rId493" Target="http%3A%2F%2Fdx.doi.org%2F10.1016%2Fj.rec.2025.01.003" TargetMode="External" Type="http://schemas.openxmlformats.org/officeDocument/2006/relationships/hyperlink"/><Relationship Id="rId494" Target="https%3A%2F%2Fwww.webofscience.com%2Fwos%2Fwoscc%2Ffull-record%2FWOS%3A001543316200006" TargetMode="External" Type="http://schemas.openxmlformats.org/officeDocument/2006/relationships/hyperlink"/><Relationship Id="rId495" Target="http%3A%2F%2Fdx.doi.org%2F10.2196%2F46474" TargetMode="External" Type="http://schemas.openxmlformats.org/officeDocument/2006/relationships/hyperlink"/><Relationship Id="rId496" Target="https%3A%2F%2Fwww.webofscience.com%2Fwos%2Fwoscc%2Ffull-record%2FWOS%3A001114965400001" TargetMode="External" Type="http://schemas.openxmlformats.org/officeDocument/2006/relationships/hyperlink"/><Relationship Id="rId497" Target="http%3A%2F%2Fdx.doi.org%2F10.1038%2Fs41598-021-82467-y" TargetMode="External" Type="http://schemas.openxmlformats.org/officeDocument/2006/relationships/hyperlink"/><Relationship Id="rId498" Target="https%3A%2F%2Fwww.webofscience.com%2Fwos%2Fwoscc%2Ffull-record%2FWOS%3A000616967000021" TargetMode="External" Type="http://schemas.openxmlformats.org/officeDocument/2006/relationships/hyperlink"/><Relationship Id="rId499" Target="http%3A%2F%2Fdx.doi.org%2F10.1097%2FMD.0000000000049480" TargetMode="External" Type="http://schemas.openxmlformats.org/officeDocument/2006/relationships/hyperlink"/><Relationship Id="rId5" Target="http%3A%2F%2Fdx.doi.org%2F10.1002%2Fjcu.70275" TargetMode="External" Type="http://schemas.openxmlformats.org/officeDocument/2006/relationships/hyperlink"/><Relationship Id="rId50" Target="https%3A%2F%2Fwww.webofscience.com%2Fwos%2Fwoscc%2Ffull-record%2FWOS%3A000934909400009" TargetMode="External" Type="http://schemas.openxmlformats.org/officeDocument/2006/relationships/hyperlink"/><Relationship Id="rId500" Target="https%3A%2F%2Fwww.webofscience.com%2Fwos%2Fwoscc%2Ffull-record%2FWOS%3A001839600600040" TargetMode="External" Type="http://schemas.openxmlformats.org/officeDocument/2006/relationships/hyperlink"/><Relationship Id="rId501" Target="http%3A%2F%2Fdx.doi.org%2F10.1007%2Fs10238-025-01886-7" TargetMode="External" Type="http://schemas.openxmlformats.org/officeDocument/2006/relationships/hyperlink"/><Relationship Id="rId502" Target="https%3A%2F%2Fwww.webofscience.com%2Fwos%2Fwoscc%2Ffull-record%2FWOS%3A001618262700018" TargetMode="External" Type="http://schemas.openxmlformats.org/officeDocument/2006/relationships/hyperlink"/><Relationship Id="rId503" Target="http%3A%2F%2Fdx.doi.org%2F10.1186%2Fs12890-025-03881-w" TargetMode="External" Type="http://schemas.openxmlformats.org/officeDocument/2006/relationships/hyperlink"/><Relationship Id="rId504" Target="https%3A%2F%2Fwww.webofscience.com%2Fwos%2Fwoscc%2Ffull-record%2FWOS%3A001549740500001" TargetMode="External" Type="http://schemas.openxmlformats.org/officeDocument/2006/relationships/hyperlink"/><Relationship Id="rId505" Target="http%3A%2F%2Fdx.doi.org%2F10.1016%2Fj.mayocpiqo.2025.100631" TargetMode="External" Type="http://schemas.openxmlformats.org/officeDocument/2006/relationships/hyperlink"/><Relationship Id="rId506" Target="https%3A%2F%2Fwww.webofscience.com%2Fwos%2Fwoscc%2Ffull-record%2FWOS%3A001553852000008" TargetMode="External" Type="http://schemas.openxmlformats.org/officeDocument/2006/relationships/hyperlink"/><Relationship Id="rId507" Target="http%3A%2F%2Fdx.doi.org%2F10.3389%2Ffonc.2025.1572838" TargetMode="External" Type="http://schemas.openxmlformats.org/officeDocument/2006/relationships/hyperlink"/><Relationship Id="rId508" Target="https%3A%2F%2Fwww.webofscience.com%2Fwos%2Fwoscc%2Ffull-record%2FWOS%3A001470461300001" TargetMode="External" Type="http://schemas.openxmlformats.org/officeDocument/2006/relationships/hyperlink"/><Relationship Id="rId509" Target="http%3A%2F%2Fdx.doi.org%2F10.1016%2Fj.acra.2025.03.039" TargetMode="External" Type="http://schemas.openxmlformats.org/officeDocument/2006/relationships/hyperlink"/><Relationship Id="rId51" Target="http%3A%2F%2Fdx.doi.org%2F10.3390%2Fbiomedicines11030685" TargetMode="External" Type="http://schemas.openxmlformats.org/officeDocument/2006/relationships/hyperlink"/><Relationship Id="rId510" Target="https%3A%2F%2Fwww.webofscience.com%2Fwos%2Fwoscc%2Ffull-record%2FWOS%3A001522341300002" TargetMode="External" Type="http://schemas.openxmlformats.org/officeDocument/2006/relationships/hyperlink"/><Relationship Id="rId511" Target="http%3A%2F%2Fdx.doi.org%2F10.1093%2Fehjdh%2Fztad081" TargetMode="External" Type="http://schemas.openxmlformats.org/officeDocument/2006/relationships/hyperlink"/><Relationship Id="rId512" Target="https%3A%2F%2Fwww.webofscience.com%2Fwos%2Fwoscc%2Ffull-record%2FWOS%3A001133770300001" TargetMode="External" Type="http://schemas.openxmlformats.org/officeDocument/2006/relationships/hyperlink"/><Relationship Id="rId513" Target="https%3A%2F%2Fwww.webofscience.com%2Fwos%2Fwoscc%2Ffull-record%2FWOS%3A000581145100008" TargetMode="External" Type="http://schemas.openxmlformats.org/officeDocument/2006/relationships/hyperlink"/><Relationship Id="rId514" Target="http%3A%2F%2Fdx.doi.org%2F10.3390%2Fjpm12071029" TargetMode="External" Type="http://schemas.openxmlformats.org/officeDocument/2006/relationships/hyperlink"/><Relationship Id="rId515" Target="https%3A%2F%2Fwww.webofscience.com%2Fwos%2Fwoscc%2Ffull-record%2FWOS%3A000833124100001" TargetMode="External" Type="http://schemas.openxmlformats.org/officeDocument/2006/relationships/hyperlink"/><Relationship Id="rId516" Target="http%3A%2F%2Fdx.doi.org%2F10.1016%2Fj.jfma.2024.12.008" TargetMode="External" Type="http://schemas.openxmlformats.org/officeDocument/2006/relationships/hyperlink"/><Relationship Id="rId517" Target="https%3A%2F%2Fwww.webofscience.com%2Fwos%2Fwoscc%2Ffull-record%2FWOS%3A001686853600002" TargetMode="External" Type="http://schemas.openxmlformats.org/officeDocument/2006/relationships/hyperlink"/><Relationship Id="rId518" Target="http%3A%2F%2Fdx.doi.org%2F10.1016%2Fj.ebiom.2020.102710" TargetMode="External" Type="http://schemas.openxmlformats.org/officeDocument/2006/relationships/hyperlink"/><Relationship Id="rId519" Target="https%3A%2F%2Fwww.webofscience.com%2Fwos%2Fwoscc%2Ffull-record%2FWOS%3A000531578000009" TargetMode="External" Type="http://schemas.openxmlformats.org/officeDocument/2006/relationships/hyperlink"/><Relationship Id="rId52" Target="https%3A%2F%2Fwww.webofscience.com%2Fwos%2Fwoscc%2Ffull-record%2FWOS%3A000957491700001" TargetMode="External" Type="http://schemas.openxmlformats.org/officeDocument/2006/relationships/hyperlink"/><Relationship Id="rId520" Target="http%3A%2F%2Fdx.doi.org%2F10.1007%2Fs00535-022-01908-1" TargetMode="External" Type="http://schemas.openxmlformats.org/officeDocument/2006/relationships/hyperlink"/><Relationship Id="rId521" Target="https%3A%2F%2Fwww.webofscience.com%2Fwos%2Fwoscc%2Ffull-record%2FWOS%3A000841111600001" TargetMode="External" Type="http://schemas.openxmlformats.org/officeDocument/2006/relationships/hyperlink"/><Relationship Id="rId522" Target="http%3A%2F%2Fdx.doi.org%2F10.3389%2Ffmed.2023.1113030" TargetMode="External" Type="http://schemas.openxmlformats.org/officeDocument/2006/relationships/hyperlink"/><Relationship Id="rId523" Target="https%3A%2F%2Fwww.webofscience.com%2Fwos%2Fwoscc%2Ffull-record%2FWOS%3A001119152700001" TargetMode="External" Type="http://schemas.openxmlformats.org/officeDocument/2006/relationships/hyperlink"/><Relationship Id="rId524" Target="http%3A%2F%2Fdx.doi.org%2F10.1212%2FWNL.0000000000201710" TargetMode="External" Type="http://schemas.openxmlformats.org/officeDocument/2006/relationships/hyperlink"/><Relationship Id="rId525" Target="https%3A%2F%2Fwww.webofscience.com%2Fwos%2Fwoscc%2Ffull-record%2FWOS%3A000951284900016" TargetMode="External" Type="http://schemas.openxmlformats.org/officeDocument/2006/relationships/hyperlink"/><Relationship Id="rId526" Target="http%3A%2F%2Fdx.doi.org%2F10.2215%2FCJN.0000000000000471" TargetMode="External" Type="http://schemas.openxmlformats.org/officeDocument/2006/relationships/hyperlink"/><Relationship Id="rId527" Target="https%3A%2F%2Fwww.webofscience.com%2Fwos%2Fwoscc%2Ffull-record%2FWOS%3A001243441500001" TargetMode="External" Type="http://schemas.openxmlformats.org/officeDocument/2006/relationships/hyperlink"/><Relationship Id="rId528" Target="http%3A%2F%2Fdx.doi.org%2F10.2460%2Fjavma.25.10.0691" TargetMode="External" Type="http://schemas.openxmlformats.org/officeDocument/2006/relationships/hyperlink"/><Relationship Id="rId529" Target="https%3A%2F%2Fwww.webofscience.com%2Fwos%2Fwoscc%2Ffull-record%2FWOS%3A001836423900033" TargetMode="External" Type="http://schemas.openxmlformats.org/officeDocument/2006/relationships/hyperlink"/><Relationship Id="rId53" Target="http%3A%2F%2Fdx.doi.org%2F10.1093%2Fgigascience%2Fgiaf036" TargetMode="External" Type="http://schemas.openxmlformats.org/officeDocument/2006/relationships/hyperlink"/><Relationship Id="rId530" Target="http%3A%2F%2Fdx.doi.org%2F10.3390%2Fcancers13102368" TargetMode="External" Type="http://schemas.openxmlformats.org/officeDocument/2006/relationships/hyperlink"/><Relationship Id="rId531" Target="https%3A%2F%2Fwww.webofscience.com%2Fwos%2Fwoscc%2Ffull-record%2FWOS%3A000654719300001" TargetMode="External" Type="http://schemas.openxmlformats.org/officeDocument/2006/relationships/hyperlink"/><Relationship Id="rId532" Target="http%3A%2F%2Fdx.doi.org%2F10.1002%2Fadvs.202508977" TargetMode="External" Type="http://schemas.openxmlformats.org/officeDocument/2006/relationships/hyperlink"/><Relationship Id="rId533" Target="https%3A%2F%2Fwww.webofscience.com%2Fwos%2Fwoscc%2Ffull-record%2FWOS%3A001535162400001" TargetMode="External" Type="http://schemas.openxmlformats.org/officeDocument/2006/relationships/hyperlink"/><Relationship Id="rId534" Target="http%3A%2F%2Fdx.doi.org%2F10.1016%2Fj.landig.2025.100961" TargetMode="External" Type="http://schemas.openxmlformats.org/officeDocument/2006/relationships/hyperlink"/><Relationship Id="rId535" Target="https%3A%2F%2Fwww.webofscience.com%2Fwos%2Fwoscc%2Ffull-record%2FWOS%3A001750568300001" TargetMode="External" Type="http://schemas.openxmlformats.org/officeDocument/2006/relationships/hyperlink"/><Relationship Id="rId536" Target="http%3A%2F%2Fdx.doi.org%2F10.1111%2Fdmcn.15727" TargetMode="External" Type="http://schemas.openxmlformats.org/officeDocument/2006/relationships/hyperlink"/><Relationship Id="rId537" Target="https%3A%2F%2Fwww.webofscience.com%2Fwos%2Fwoscc%2Ffull-record%2FWOS%3A001045089900001" TargetMode="External" Type="http://schemas.openxmlformats.org/officeDocument/2006/relationships/hyperlink"/><Relationship Id="rId538" Target="http%3A%2F%2Fdx.doi.org%2F10.1016%2Fj.crad.2022.09.122" TargetMode="External" Type="http://schemas.openxmlformats.org/officeDocument/2006/relationships/hyperlink"/><Relationship Id="rId539" Target="https%3A%2F%2Fwww.webofscience.com%2Fwos%2Fwoscc%2Ffull-record%2FWOS%3A000994059400001" TargetMode="External" Type="http://schemas.openxmlformats.org/officeDocument/2006/relationships/hyperlink"/><Relationship Id="rId54" Target="https%3A%2F%2Fwww.webofscience.com%2Fwos%2Fwoscc%2Ffull-record%2FWOS%3A001487443000001" TargetMode="External" Type="http://schemas.openxmlformats.org/officeDocument/2006/relationships/hyperlink"/><Relationship Id="rId540" Target="http%3A%2F%2Fdx.doi.org%2F10.1016%2Fj.radonc.2024.110345" TargetMode="External" Type="http://schemas.openxmlformats.org/officeDocument/2006/relationships/hyperlink"/><Relationship Id="rId541" Target="https%3A%2F%2Fwww.webofscience.com%2Fwos%2Fwoscc%2Ffull-record%2FWOS%3A001256853700001" TargetMode="External" Type="http://schemas.openxmlformats.org/officeDocument/2006/relationships/hyperlink"/><Relationship Id="rId542" Target="http%3A%2F%2Fdx.doi.org%2F10.2147%2FCOPD.S609203" TargetMode="External" Type="http://schemas.openxmlformats.org/officeDocument/2006/relationships/hyperlink"/><Relationship Id="rId543" Target="https%3A%2F%2Fwww.webofscience.com%2Fwos%2Fwoscc%2Ffull-record%2FWOS%3A001852273100001" TargetMode="External" Type="http://schemas.openxmlformats.org/officeDocument/2006/relationships/hyperlink"/><Relationship Id="rId544" Target="http%3A%2F%2Fdx.doi.org%2F10.1186%2Fs40001-026-04712-2" TargetMode="External" Type="http://schemas.openxmlformats.org/officeDocument/2006/relationships/hyperlink"/><Relationship Id="rId545" Target="https%3A%2F%2Fwww.webofscience.com%2Fwos%2Fwoscc%2Ffull-record%2FWOS%3A001814712200001" TargetMode="External" Type="http://schemas.openxmlformats.org/officeDocument/2006/relationships/hyperlink"/><Relationship Id="rId546" Target="http%3A%2F%2Fdx.doi.org%2F10.2147%2FAMEP.S599543" TargetMode="External" Type="http://schemas.openxmlformats.org/officeDocument/2006/relationships/hyperlink"/><Relationship Id="rId547" Target="https%3A%2F%2Fwww.webofscience.com%2Fwos%2Fwoscc%2Ffull-record%2FWOS%3A001757494200001" TargetMode="External" Type="http://schemas.openxmlformats.org/officeDocument/2006/relationships/hyperlink"/><Relationship Id="rId548" Target="http%3A%2F%2Fdx.doi.org%2F10.1007%2Fs00330-021-08493-6" TargetMode="External" Type="http://schemas.openxmlformats.org/officeDocument/2006/relationships/hyperlink"/><Relationship Id="rId549" Target="https%3A%2F%2Fwww.webofscience.com%2Fwos%2Fwoscc%2Ffull-record%2FWOS%3A000744763000001" TargetMode="External" Type="http://schemas.openxmlformats.org/officeDocument/2006/relationships/hyperlink"/><Relationship Id="rId55" Target="http%3A%2F%2Fdx.doi.org%2F10.1111%2Fjgh.16274" TargetMode="External" Type="http://schemas.openxmlformats.org/officeDocument/2006/relationships/hyperlink"/><Relationship Id="rId550" Target="http%3A%2F%2Fdx.doi.org%2F10.1371%2Fjournal.pone.0311719" TargetMode="External" Type="http://schemas.openxmlformats.org/officeDocument/2006/relationships/hyperlink"/><Relationship Id="rId551" Target="https%3A%2F%2Fwww.webofscience.com%2Fwos%2Fwoscc%2Ffull-record%2FWOS%3A001336670500012" TargetMode="External" Type="http://schemas.openxmlformats.org/officeDocument/2006/relationships/hyperlink"/><Relationship Id="rId552" Target="http%3A%2F%2Fdx.doi.org%2F10.3389%2Ffonc.2026.1875284" TargetMode="External" Type="http://schemas.openxmlformats.org/officeDocument/2006/relationships/hyperlink"/><Relationship Id="rId553" Target="https%3A%2F%2Fwww.webofscience.com%2Fwos%2Fwoscc%2Ffull-record%2FWOS%3A001837231600001" TargetMode="External" Type="http://schemas.openxmlformats.org/officeDocument/2006/relationships/hyperlink"/><Relationship Id="rId554" Target="http%3A%2F%2Fdx.doi.org%2F10.1007%2Fs12672-025-04030-9" TargetMode="External" Type="http://schemas.openxmlformats.org/officeDocument/2006/relationships/hyperlink"/><Relationship Id="rId555" Target="https%3A%2F%2Fwww.webofscience.com%2Fwos%2Fwoscc%2Ffull-record%2FWOS%3A001651154400001" TargetMode="External" Type="http://schemas.openxmlformats.org/officeDocument/2006/relationships/hyperlink"/><Relationship Id="rId556" Target="http%3A%2F%2Fdx.doi.org%2F10.3390%2Fjcm15103701" TargetMode="External" Type="http://schemas.openxmlformats.org/officeDocument/2006/relationships/hyperlink"/><Relationship Id="rId557" Target="https%3A%2F%2Fwww.webofscience.com%2Fwos%2Fwoscc%2Ffull-record%2FWOS%3A001774782700001" TargetMode="External" Type="http://schemas.openxmlformats.org/officeDocument/2006/relationships/hyperlink"/><Relationship Id="rId558" Target="http%3A%2F%2Fdx.doi.org%2F10.3390%2Fdiabetology7010002" TargetMode="External" Type="http://schemas.openxmlformats.org/officeDocument/2006/relationships/hyperlink"/><Relationship Id="rId559" Target="https%3A%2F%2Fwww.webofscience.com%2Fwos%2Fwoscc%2Ffull-record%2FWOS%3A001672706500001" TargetMode="External" Type="http://schemas.openxmlformats.org/officeDocument/2006/relationships/hyperlink"/><Relationship Id="rId56" Target="https%3A%2F%2Fwww.webofscience.com%2Fwos%2Fwoscc%2Ffull-record%2FWOS%3A001022505000001" TargetMode="External" Type="http://schemas.openxmlformats.org/officeDocument/2006/relationships/hyperlink"/><Relationship Id="rId560" Target="http%3A%2F%2Fdx.doi.org%2F10.1186%2Fs13054-024-05248-9" TargetMode="External" Type="http://schemas.openxmlformats.org/officeDocument/2006/relationships/hyperlink"/><Relationship Id="rId561" Target="https%3A%2F%2Fwww.webofscience.com%2Fwos%2Fwoscc%2Ffull-record%2FWOS%3A001393523000002" TargetMode="External" Type="http://schemas.openxmlformats.org/officeDocument/2006/relationships/hyperlink"/><Relationship Id="rId562" Target="http%3A%2F%2Fdx.doi.org%2F10.1016%2Fj.spinee.2019.09.003" TargetMode="External" Type="http://schemas.openxmlformats.org/officeDocument/2006/relationships/hyperlink"/><Relationship Id="rId563" Target="https%3A%2F%2Fwww.webofscience.com%2Fwos%2Fwoscc%2Ffull-record%2FWOS%3A000502813600003" TargetMode="External" Type="http://schemas.openxmlformats.org/officeDocument/2006/relationships/hyperlink"/><Relationship Id="rId564" Target="http%3A%2F%2Fdx.doi.org%2F10.1016%2Fj.preghy.2026.101457" TargetMode="External" Type="http://schemas.openxmlformats.org/officeDocument/2006/relationships/hyperlink"/><Relationship Id="rId565" Target="https%3A%2F%2Fwww.webofscience.com%2Fwos%2Fwoscc%2Ffull-record%2FWOS%3A001730686200001" TargetMode="External" Type="http://schemas.openxmlformats.org/officeDocument/2006/relationships/hyperlink"/><Relationship Id="rId566" Target="http%3A%2F%2Fdx.doi.org%2F10.2147%2FJIR.S614073" TargetMode="External" Type="http://schemas.openxmlformats.org/officeDocument/2006/relationships/hyperlink"/><Relationship Id="rId567" Target="https%3A%2F%2Fwww.webofscience.com%2Fwos%2Fwoscc%2Ffull-record%2FWOS%3A001843879200001" TargetMode="External" Type="http://schemas.openxmlformats.org/officeDocument/2006/relationships/hyperlink"/><Relationship Id="rId568" Target="http%3A%2F%2Fdx.doi.org%2F10.31083%2Fj.rcm2408229" TargetMode="External" Type="http://schemas.openxmlformats.org/officeDocument/2006/relationships/hyperlink"/><Relationship Id="rId569" Target="https%3A%2F%2Fwww.webofscience.com%2Fwos%2Fwoscc%2Ffull-record%2FWOS%3A001067770500024" TargetMode="External" Type="http://schemas.openxmlformats.org/officeDocument/2006/relationships/hyperlink"/><Relationship Id="rId57" Target="http%3A%2F%2Fdx.doi.org%2F10.1016%2Fj.bjps.2025.06.020" TargetMode="External" Type="http://schemas.openxmlformats.org/officeDocument/2006/relationships/hyperlink"/><Relationship Id="rId570" Target="http%3A%2F%2Fdx.doi.org%2F10.1136%2Fbmjophth-2023-001491" TargetMode="External" Type="http://schemas.openxmlformats.org/officeDocument/2006/relationships/hyperlink"/><Relationship Id="rId571" Target="https%3A%2F%2Fwww.webofscience.com%2Fwos%2Fwoscc%2Ffull-record%2FWOS%3A001134783300001" TargetMode="External" Type="http://schemas.openxmlformats.org/officeDocument/2006/relationships/hyperlink"/><Relationship Id="rId572" Target="http%3A%2F%2Fdx.doi.org%2F10.5811%2Fwestjem.60243" TargetMode="External" Type="http://schemas.openxmlformats.org/officeDocument/2006/relationships/hyperlink"/><Relationship Id="rId573" Target="https%3A%2F%2Fwww.webofscience.com%2Fwos%2Fwoscc%2Ffull-record%2FWOS%3A001144356600018" TargetMode="External" Type="http://schemas.openxmlformats.org/officeDocument/2006/relationships/hyperlink"/><Relationship Id="rId574" Target="http%3A%2F%2Fdx.doi.org%2F10.1016%2Fj.cccb.2025.100393" TargetMode="External" Type="http://schemas.openxmlformats.org/officeDocument/2006/relationships/hyperlink"/><Relationship Id="rId575" Target="https%3A%2F%2Fwww.webofscience.com%2Fwos%2Fwoscc%2Ffull-record%2FWOS%3A001567688100001" TargetMode="External" Type="http://schemas.openxmlformats.org/officeDocument/2006/relationships/hyperlink"/><Relationship Id="rId576" Target="http%3A%2F%2Fdx.doi.org%2F10.1371%2Fjournal.pone.0263125" TargetMode="External" Type="http://schemas.openxmlformats.org/officeDocument/2006/relationships/hyperlink"/><Relationship Id="rId577" Target="https%3A%2F%2Fwww.webofscience.com%2Fwos%2Fwoscc%2Ffull-record%2FWOS%3A000787811000015" TargetMode="External" Type="http://schemas.openxmlformats.org/officeDocument/2006/relationships/hyperlink"/><Relationship Id="rId578" Target="http%3A%2F%2Fdx.doi.org%2F10.1371%2Fjournal.pone.0281074" TargetMode="External" Type="http://schemas.openxmlformats.org/officeDocument/2006/relationships/hyperlink"/><Relationship Id="rId579" Target="https%3A%2F%2Fwww.webofscience.com%2Fwos%2Fwoscc%2Ffull-record%2FWOS%3A000945977800023" TargetMode="External" Type="http://schemas.openxmlformats.org/officeDocument/2006/relationships/hyperlink"/><Relationship Id="rId58" Target="https%3A%2F%2Fwww.webofscience.com%2Fwos%2Fwoscc%2Ffull-record%2FWOS%3A001533859600001" TargetMode="External" Type="http://schemas.openxmlformats.org/officeDocument/2006/relationships/hyperlink"/><Relationship Id="rId580" Target="http%3A%2F%2Fdx.doi.org%2F10.1111%2Fandr.70297" TargetMode="External" Type="http://schemas.openxmlformats.org/officeDocument/2006/relationships/hyperlink"/><Relationship Id="rId581" Target="https%3A%2F%2Fwww.webofscience.com%2Fwos%2Fwoscc%2Ffull-record%2FWOS%3A001809026300001" TargetMode="External" Type="http://schemas.openxmlformats.org/officeDocument/2006/relationships/hyperlink"/><Relationship Id="rId582" Target="http%3A%2F%2Fdx.doi.org%2F10.1093%2Fecco-jcc%2Fjjaf017" TargetMode="External" Type="http://schemas.openxmlformats.org/officeDocument/2006/relationships/hyperlink"/><Relationship Id="rId583" Target="https%3A%2F%2Fwww.webofscience.com%2Fwos%2Fwoscc%2Ffull-record%2FWOS%3A001436273100001" TargetMode="External" Type="http://schemas.openxmlformats.org/officeDocument/2006/relationships/hyperlink"/><Relationship Id="rId584" Target="http%3A%2F%2Fdx.doi.org%2F10.1038%2Fs41598-024-54364-7" TargetMode="External" Type="http://schemas.openxmlformats.org/officeDocument/2006/relationships/hyperlink"/><Relationship Id="rId585" Target="https%3A%2F%2Fwww.webofscience.com%2Fwos%2Fwoscc%2Ffull-record%2FWOS%3A001192455600051" TargetMode="External" Type="http://schemas.openxmlformats.org/officeDocument/2006/relationships/hyperlink"/><Relationship Id="rId586" Target="http%3A%2F%2Fdx.doi.org%2F10.1016%2Fj.ejrad.2018.08.014" TargetMode="External" Type="http://schemas.openxmlformats.org/officeDocument/2006/relationships/hyperlink"/><Relationship Id="rId587" Target="https%3A%2F%2Fwww.webofscience.com%2Fwos%2Fwoscc%2Ffull-record%2FWOS%3A000446211900022" TargetMode="External" Type="http://schemas.openxmlformats.org/officeDocument/2006/relationships/hyperlink"/><Relationship Id="rId588" Target="http%3A%2F%2Fdx.doi.org%2F10.1177%2F03000605261472037" TargetMode="External" Type="http://schemas.openxmlformats.org/officeDocument/2006/relationships/hyperlink"/><Relationship Id="rId589" Target="https%3A%2F%2Fwww.webofscience.com%2Fwos%2Fwoscc%2Ffull-record%2FWOS%3A001843182500001" TargetMode="External" Type="http://schemas.openxmlformats.org/officeDocument/2006/relationships/hyperlink"/><Relationship Id="rId59" Target="http%3A%2F%2Fdx.doi.org%2F10.1055%2Fa-1850-6717" TargetMode="External" Type="http://schemas.openxmlformats.org/officeDocument/2006/relationships/hyperlink"/><Relationship Id="rId590" Target="http%3A%2F%2Fdx.doi.org%2F10.2147%2FDMSO.S558687" TargetMode="External" Type="http://schemas.openxmlformats.org/officeDocument/2006/relationships/hyperlink"/><Relationship Id="rId591" Target="https%3A%2F%2Fwww.webofscience.com%2Fwos%2Fwoscc%2Ffull-record%2FWOS%3A001615306100001" TargetMode="External" Type="http://schemas.openxmlformats.org/officeDocument/2006/relationships/hyperlink"/><Relationship Id="rId592" Target="http%3A%2F%2Fdx.doi.org%2F10.1016%2Fj.diabres.2026.113485" TargetMode="External" Type="http://schemas.openxmlformats.org/officeDocument/2006/relationships/hyperlink"/><Relationship Id="rId593" Target="https%3A%2F%2Fwww.webofscience.com%2Fwos%2Fwoscc%2Ffull-record%2FWOS%3A001846311700001" TargetMode="External" Type="http://schemas.openxmlformats.org/officeDocument/2006/relationships/hyperlink"/><Relationship Id="rId594" Target="http%3A%2F%2Fdx.doi.org%2F10.1186%2Fs12885-025-13529-x" TargetMode="External" Type="http://schemas.openxmlformats.org/officeDocument/2006/relationships/hyperlink"/><Relationship Id="rId595" Target="https%3A%2F%2Fwww.webofscience.com%2Fwos%2Fwoscc%2Ffull-record%2FWOS%3A001408603000001" TargetMode="External" Type="http://schemas.openxmlformats.org/officeDocument/2006/relationships/hyperlink"/><Relationship Id="rId596" Target="http%3A%2F%2Fdx.doi.org%2F10.3389%2Ffnut.2025.1692020" TargetMode="External" Type="http://schemas.openxmlformats.org/officeDocument/2006/relationships/hyperlink"/><Relationship Id="rId597" Target="https%3A%2F%2Fwww.webofscience.com%2Fwos%2Fwoscc%2Ffull-record%2FWOS%3A001662967300001" TargetMode="External" Type="http://schemas.openxmlformats.org/officeDocument/2006/relationships/hyperlink"/><Relationship Id="rId598" Target="http%3A%2F%2Fdx.doi.org%2F10.3389%2Fijph.2026.1609153" TargetMode="External" Type="http://schemas.openxmlformats.org/officeDocument/2006/relationships/hyperlink"/><Relationship Id="rId599" Target="https%3A%2F%2Fwww.webofscience.com%2Fwos%2Fwoscc%2Ffull-record%2FWOS%3A001790641400001" TargetMode="External" Type="http://schemas.openxmlformats.org/officeDocument/2006/relationships/hyperlink"/><Relationship Id="rId6" Target="https%3A%2F%2Fwww.webofscience.com%2Fwos%2Fwoscc%2Ffull-record%2FWOS%3A001795298700001" TargetMode="External" Type="http://schemas.openxmlformats.org/officeDocument/2006/relationships/hyperlink"/><Relationship Id="rId60" Target="https%3A%2F%2Fwww.webofscience.com%2Fwos%2Fwoscc%2Ffull-record%2FWOS%3A000823910300003" TargetMode="External" Type="http://schemas.openxmlformats.org/officeDocument/2006/relationships/hyperlink"/><Relationship Id="rId600" Target="http%3A%2F%2Fdx.doi.org%2F10.1123%2Fjmpb.2025-0030" TargetMode="External" Type="http://schemas.openxmlformats.org/officeDocument/2006/relationships/hyperlink"/><Relationship Id="rId601" Target="https%3A%2F%2Fwww.webofscience.com%2Fwos%2Fwoscc%2Ffull-record%2FWOS%3A001678562800007" TargetMode="External" Type="http://schemas.openxmlformats.org/officeDocument/2006/relationships/hyperlink"/><Relationship Id="rId602" Target="http%3A%2F%2Fdx.doi.org%2F10.1038%2Fs41598-025-16824-6" TargetMode="External" Type="http://schemas.openxmlformats.org/officeDocument/2006/relationships/hyperlink"/><Relationship Id="rId603" Target="https%3A%2F%2Fwww.webofscience.com%2Fwos%2Fwoscc%2Ffull-record%2FWOS%3A001587010000016" TargetMode="External" Type="http://schemas.openxmlformats.org/officeDocument/2006/relationships/hyperlink"/><Relationship Id="rId604" Target="http%3A%2F%2Fdx.doi.org%2F10.1016%2Fj.eclinm.2023.102050" TargetMode="External" Type="http://schemas.openxmlformats.org/officeDocument/2006/relationships/hyperlink"/><Relationship Id="rId605" Target="https%3A%2F%2Fwww.webofscience.com%2Fwos%2Fwoscc%2Ffull-record%2FWOS%3A001057909000001" TargetMode="External" Type="http://schemas.openxmlformats.org/officeDocument/2006/relationships/hyperlink"/><Relationship Id="rId606" Target="http%3A%2F%2Fdx.doi.org%2F10.1177%2F02841851231152097" TargetMode="External" Type="http://schemas.openxmlformats.org/officeDocument/2006/relationships/hyperlink"/><Relationship Id="rId607" Target="https%3A%2F%2Fwww.webofscience.com%2Fwos%2Fwoscc%2Ffull-record%2FWOS%3A000922964400001" TargetMode="External" Type="http://schemas.openxmlformats.org/officeDocument/2006/relationships/hyperlink"/><Relationship Id="rId608" Target="http%3A%2F%2Fdx.doi.org%2F10.1038%2Fs41746-026-02696-1" TargetMode="External" Type="http://schemas.openxmlformats.org/officeDocument/2006/relationships/hyperlink"/><Relationship Id="rId609" Target="https%3A%2F%2Fwww.webofscience.com%2Fwos%2Fwoscc%2Ffull-record%2FWOS%3A001815582900002" TargetMode="External" Type="http://schemas.openxmlformats.org/officeDocument/2006/relationships/hyperlink"/><Relationship Id="rId61" Target="http%3A%2F%2Fdx.doi.org%2F10.3390%2Felectronics15112367" TargetMode="External" Type="http://schemas.openxmlformats.org/officeDocument/2006/relationships/hyperlink"/><Relationship Id="rId610" Target="http%3A%2F%2Fdx.doi.org%2F10.1186%2Fs13014-021-01794-6" TargetMode="External" Type="http://schemas.openxmlformats.org/officeDocument/2006/relationships/hyperlink"/><Relationship Id="rId611" Target="https%3A%2F%2Fwww.webofscience.com%2Fwos%2Fwoscc%2Ffull-record%2FWOS%3A000638000700001" TargetMode="External" Type="http://schemas.openxmlformats.org/officeDocument/2006/relationships/hyperlink"/><Relationship Id="rId612" Target="http%3A%2F%2Fdx.doi.org%2F10.4254%2Fwjh.v18.i2.111099" TargetMode="External" Type="http://schemas.openxmlformats.org/officeDocument/2006/relationships/hyperlink"/><Relationship Id="rId613" Target="https%3A%2F%2Fwww.webofscience.com%2Fwos%2Fwoscc%2Ffull-record%2FWOS%3A001707809900017" TargetMode="External" Type="http://schemas.openxmlformats.org/officeDocument/2006/relationships/hyperlink"/><Relationship Id="rId614" Target="http%3A%2F%2Fdx.doi.org%2F10.1055%2Fs-0039-1688553" TargetMode="External" Type="http://schemas.openxmlformats.org/officeDocument/2006/relationships/hyperlink"/><Relationship Id="rId615" Target="https%3A%2F%2Fwww.webofscience.com%2Fwos%2Fwoscc%2Ffull-record%2FWOS%3A000468864600002" TargetMode="External" Type="http://schemas.openxmlformats.org/officeDocument/2006/relationships/hyperlink"/><Relationship Id="rId616" Target="http%3A%2F%2Fdx.doi.org%2F10.1007%2Fs00586-023-07954-4" TargetMode="External" Type="http://schemas.openxmlformats.org/officeDocument/2006/relationships/hyperlink"/><Relationship Id="rId617" Target="https%3A%2F%2Fwww.webofscience.com%2Fwos%2Fwoscc%2Ffull-record%2FWOS%3A001077506500002" TargetMode="External" Type="http://schemas.openxmlformats.org/officeDocument/2006/relationships/hyperlink"/><Relationship Id="rId618" Target="http%3A%2F%2Fdx.doi.org%2F10.1111%2Fepi.16398" TargetMode="External" Type="http://schemas.openxmlformats.org/officeDocument/2006/relationships/hyperlink"/><Relationship Id="rId619" Target="https%3A%2F%2Fwww.webofscience.com%2Fwos%2Fwoscc%2Ffull-record%2FWOS%3A000499372100001" TargetMode="External" Type="http://schemas.openxmlformats.org/officeDocument/2006/relationships/hyperlink"/><Relationship Id="rId62" Target="https%3A%2F%2Fwww.webofscience.com%2Fwos%2Fwoscc%2Ffull-record%2FWOS%3A001789901600001" TargetMode="External" Type="http://schemas.openxmlformats.org/officeDocument/2006/relationships/hyperlink"/><Relationship Id="rId620" Target="http%3A%2F%2Fdx.doi.org%2F10.1186%2Fs12879-025-12087-8" TargetMode="External" Type="http://schemas.openxmlformats.org/officeDocument/2006/relationships/hyperlink"/><Relationship Id="rId621" Target="https%3A%2F%2Fwww.webofscience.com%2Fwos%2Fwoscc%2Ffull-record%2FWOS%3A001625377200005" TargetMode="External" Type="http://schemas.openxmlformats.org/officeDocument/2006/relationships/hyperlink"/><Relationship Id="rId622" Target="http%3A%2F%2Fdx.doi.org%2F10.1007%2Fs13167-020-00216-z" TargetMode="External" Type="http://schemas.openxmlformats.org/officeDocument/2006/relationships/hyperlink"/><Relationship Id="rId623" Target="https%3A%2F%2Fwww.webofscience.com%2Fwos%2Fwoscc%2Ffull-record%2FWOS%3A000542081600001" TargetMode="External" Type="http://schemas.openxmlformats.org/officeDocument/2006/relationships/hyperlink"/><Relationship Id="rId624" Target="http%3A%2F%2Fdx.doi.org%2F10.1371%2Fjournal.pone.0258760" TargetMode="External" Type="http://schemas.openxmlformats.org/officeDocument/2006/relationships/hyperlink"/><Relationship Id="rId625" Target="https%3A%2F%2Fwww.webofscience.com%2Fwos%2Fwoscc%2Ffull-record%2FWOS%3A000755077100032" TargetMode="External" Type="http://schemas.openxmlformats.org/officeDocument/2006/relationships/hyperlink"/><Relationship Id="rId626" Target="http%3A%2F%2Fdx.doi.org%2F10.1016%2Fj.hrthm.2026.01.014" TargetMode="External" Type="http://schemas.openxmlformats.org/officeDocument/2006/relationships/hyperlink"/><Relationship Id="rId627" Target="https%3A%2F%2Fwww.webofscience.com%2Fwos%2Fwoscc%2Ffull-record%2FWOS%3A001735118000001" TargetMode="External" Type="http://schemas.openxmlformats.org/officeDocument/2006/relationships/hyperlink"/><Relationship Id="rId628" Target="http%3A%2F%2Fdx.doi.org%2F10.21873%2Fcgp.20589" TargetMode="External" Type="http://schemas.openxmlformats.org/officeDocument/2006/relationships/hyperlink"/><Relationship Id="rId629" Target="https%3A%2F%2Fwww.webofscience.com%2Fwos%2Fwoscc%2Ffull-record%2FWOS%3A001758564800007" TargetMode="External" Type="http://schemas.openxmlformats.org/officeDocument/2006/relationships/hyperlink"/><Relationship Id="rId63" Target="http%3A%2F%2Fdx.doi.org%2F10.1039%2Fc9sc06240h" TargetMode="External" Type="http://schemas.openxmlformats.org/officeDocument/2006/relationships/hyperlink"/><Relationship Id="rId630" Target="http%3A%2F%2Fdx.doi.org%2F10.1002%2Facm2.14553" TargetMode="External" Type="http://schemas.openxmlformats.org/officeDocument/2006/relationships/hyperlink"/><Relationship Id="rId631" Target="https%3A%2F%2Fwww.webofscience.com%2Fwos%2Fwoscc%2Ffull-record%2FWOS%3A001330712600001" TargetMode="External" Type="http://schemas.openxmlformats.org/officeDocument/2006/relationships/hyperlink"/><Relationship Id="rId632" Target="http%3A%2F%2Fdx.doi.org%2F10.1016%2Fj.crad.2019.08.005" TargetMode="External" Type="http://schemas.openxmlformats.org/officeDocument/2006/relationships/hyperlink"/><Relationship Id="rId633" Target="https%3A%2F%2Fwww.webofscience.com%2Fwos%2Fwoscc%2Ffull-record%2FWOS%3A000503449500007" TargetMode="External" Type="http://schemas.openxmlformats.org/officeDocument/2006/relationships/hyperlink"/><Relationship Id="rId634" Target="http%3A%2F%2Fdx.doi.org%2F10.1038%2Fs41746-026-02722-2" TargetMode="External" Type="http://schemas.openxmlformats.org/officeDocument/2006/relationships/hyperlink"/><Relationship Id="rId635" Target="https%3A%2F%2Fwww.webofscience.com%2Fwos%2Fwoscc%2Ffull-record%2FWOS%3A001820512000002" TargetMode="External" Type="http://schemas.openxmlformats.org/officeDocument/2006/relationships/hyperlink"/><Relationship Id="rId636" Target="http%3A%2F%2Fdx.doi.org%2F10.1016%2Fj.rineng.2026.110627" TargetMode="External" Type="http://schemas.openxmlformats.org/officeDocument/2006/relationships/hyperlink"/><Relationship Id="rId637" Target="https%3A%2F%2Fwww.webofscience.com%2Fwos%2Fwoscc%2Ffull-record%2FWOS%3A001759442400001" TargetMode="External" Type="http://schemas.openxmlformats.org/officeDocument/2006/relationships/hyperlink"/><Relationship Id="rId638" Target="http%3A%2F%2Fdx.doi.org%2F10.1016%2Fj.knee.2025.10.024" TargetMode="External" Type="http://schemas.openxmlformats.org/officeDocument/2006/relationships/hyperlink"/><Relationship Id="rId639" Target="https%3A%2F%2Fwww.webofscience.com%2Fwos%2Fwoscc%2Ffull-record%2FWOS%3A001645785100002" TargetMode="External" Type="http://schemas.openxmlformats.org/officeDocument/2006/relationships/hyperlink"/><Relationship Id="rId64" Target="https%3A%2F%2Fwww.webofscience.com%2Fwos%2Fwoscc%2Ffull-record%2FWOS%3A000535674600003" TargetMode="External" Type="http://schemas.openxmlformats.org/officeDocument/2006/relationships/hyperlink"/><Relationship Id="rId640" Target="http%3A%2F%2Fdx.doi.org%2F10.3390%2Fcancers13122866" TargetMode="External" Type="http://schemas.openxmlformats.org/officeDocument/2006/relationships/hyperlink"/><Relationship Id="rId641" Target="https%3A%2F%2Fwww.webofscience.com%2Fwos%2Fwoscc%2Ffull-record%2FWOS%3A000666800700001" TargetMode="External" Type="http://schemas.openxmlformats.org/officeDocument/2006/relationships/hyperlink"/><Relationship Id="rId642" Target="http%3A%2F%2Fdx.doi.org%2F10.1007%2Fs00586-025-09543-z" TargetMode="External" Type="http://schemas.openxmlformats.org/officeDocument/2006/relationships/hyperlink"/><Relationship Id="rId643" Target="https%3A%2F%2Fwww.webofscience.com%2Fwos%2Fwoscc%2Ffull-record%2FWOS%3A001610136700001" TargetMode="External" Type="http://schemas.openxmlformats.org/officeDocument/2006/relationships/hyperlink"/><Relationship Id="rId644" Target="http%3A%2F%2Fdx.doi.org%2F10.1007%2Fs00330-021-08296-9" TargetMode="External" Type="http://schemas.openxmlformats.org/officeDocument/2006/relationships/hyperlink"/><Relationship Id="rId645" Target="https%3A%2F%2Fwww.webofscience.com%2Fwos%2Fwoscc%2Ffull-record%2FWOS%3A000706927400008" TargetMode="External" Type="http://schemas.openxmlformats.org/officeDocument/2006/relationships/hyperlink"/><Relationship Id="rId646" Target="http%3A%2F%2Fdx.doi.org%2F10.1007%2Fs00330-025-11723-w" TargetMode="External" Type="http://schemas.openxmlformats.org/officeDocument/2006/relationships/hyperlink"/><Relationship Id="rId647" Target="https%3A%2F%2Fwww.webofscience.com%2Fwos%2Fwoscc%2Ffull-record%2FWOS%3A001506953800001" TargetMode="External" Type="http://schemas.openxmlformats.org/officeDocument/2006/relationships/hyperlink"/><Relationship Id="rId648" Target="http%3A%2F%2Fdx.doi.org%2F10.2967%2Fjnumed.116.179911" TargetMode="External" Type="http://schemas.openxmlformats.org/officeDocument/2006/relationships/hyperlink"/><Relationship Id="rId649" Target="https%3A%2F%2Fwww.webofscience.com%2Fwos%2Fwoscc%2Ffull-record%2FWOS%3A000402572500023" TargetMode="External" Type="http://schemas.openxmlformats.org/officeDocument/2006/relationships/hyperlink"/><Relationship Id="rId65" Target="http%3A%2F%2Fdx.doi.org%2F10.1016%2Fj.ijcard.2020.12.065" TargetMode="External" Type="http://schemas.openxmlformats.org/officeDocument/2006/relationships/hyperlink"/><Relationship Id="rId650" Target="http%3A%2F%2Fdx.doi.org%2F10.1097%2FSLA.0000000000005936" TargetMode="External" Type="http://schemas.openxmlformats.org/officeDocument/2006/relationships/hyperlink"/><Relationship Id="rId651" Target="https%3A%2F%2Fwww.webofscience.com%2Fwos%2Fwoscc%2Ffull-record%2FWOS%3A001162552600009" TargetMode="External" Type="http://schemas.openxmlformats.org/officeDocument/2006/relationships/hyperlink"/><Relationship Id="rId652" Target="http%3A%2F%2Fdx.doi.org%2F10.1016%2Fj.exger.2025.113019" TargetMode="External" Type="http://schemas.openxmlformats.org/officeDocument/2006/relationships/hyperlink"/><Relationship Id="rId653" Target="https%3A%2F%2Fwww.webofscience.com%2Fwos%2Fwoscc%2Ffull-record%2FWOS%3A001666293800001" TargetMode="External" Type="http://schemas.openxmlformats.org/officeDocument/2006/relationships/hyperlink"/><Relationship Id="rId654" Target="http%3A%2F%2Fdx.doi.org%2F10.1093%2Fjamia%2Focaa113" TargetMode="External" Type="http://schemas.openxmlformats.org/officeDocument/2006/relationships/hyperlink"/><Relationship Id="rId655" Target="https%3A%2F%2Fwww.webofscience.com%2Fwos%2Fwoscc%2Ffull-record%2FWOS%3A000593113300007" TargetMode="External" Type="http://schemas.openxmlformats.org/officeDocument/2006/relationships/hyperlink"/><Relationship Id="rId656" Target="http%3A%2F%2Fdx.doi.org%2F10.1016%2Fj.ijmedinf.2026.106543" TargetMode="External" Type="http://schemas.openxmlformats.org/officeDocument/2006/relationships/hyperlink"/><Relationship Id="rId657" Target="https%3A%2F%2Fwww.webofscience.com%2Fwos%2Fwoscc%2Ffull-record%2FWOS%3A001806065800001" TargetMode="External" Type="http://schemas.openxmlformats.org/officeDocument/2006/relationships/hyperlink"/><Relationship Id="rId658" Target="http%3A%2F%2Fdx.doi.org%2F10.1186%2Fs12885-021-08847-9" TargetMode="External" Type="http://schemas.openxmlformats.org/officeDocument/2006/relationships/hyperlink"/><Relationship Id="rId659" Target="https%3A%2F%2Fwww.webofscience.com%2Fwos%2Fwoscc%2Ffull-record%2FWOS%3A000708490200009" TargetMode="External" Type="http://schemas.openxmlformats.org/officeDocument/2006/relationships/hyperlink"/><Relationship Id="rId66" Target="https%3A%2F%2Fwww.webofscience.com%2Fwos%2Fwoscc%2Ffull-record%2FWOS%3A000637601100025" TargetMode="External" Type="http://schemas.openxmlformats.org/officeDocument/2006/relationships/hyperlink"/><Relationship Id="rId660" Target="http%3A%2F%2Fdx.doi.org%2F10.1016%2Fj.cmpb.2026.109533" TargetMode="External" Type="http://schemas.openxmlformats.org/officeDocument/2006/relationships/hyperlink"/><Relationship Id="rId661" Target="https%3A%2F%2Fwww.webofscience.com%2Fwos%2Fwoscc%2Ffull-record%2FWOS%3A001813490600001" TargetMode="External" Type="http://schemas.openxmlformats.org/officeDocument/2006/relationships/hyperlink"/><Relationship Id="rId662" Target="http%3A%2F%2Fdx.doi.org%2F10.1186%2Fs12871-026-03841-9" TargetMode="External" Type="http://schemas.openxmlformats.org/officeDocument/2006/relationships/hyperlink"/><Relationship Id="rId663" Target="https%3A%2F%2Fwww.webofscience.com%2Fwos%2Fwoscc%2Ffull-record%2FWOS%3A001779299200001" TargetMode="External" Type="http://schemas.openxmlformats.org/officeDocument/2006/relationships/hyperlink"/><Relationship Id="rId664" Target="http%3A%2F%2Fdx.doi.org%2F10.1093%2Fehjci%2Fjead280" TargetMode="External" Type="http://schemas.openxmlformats.org/officeDocument/2006/relationships/hyperlink"/><Relationship Id="rId665" Target="https%3A%2F%2Fwww.webofscience.com%2Fwos%2Fwoscc%2Ffull-record%2FWOS%3A001105148400001" TargetMode="External" Type="http://schemas.openxmlformats.org/officeDocument/2006/relationships/hyperlink"/><Relationship Id="rId666" Target="http%3A%2F%2Fdx.doi.org%2F10.3390%2Fdiagnostics13091657" TargetMode="External" Type="http://schemas.openxmlformats.org/officeDocument/2006/relationships/hyperlink"/><Relationship Id="rId667" Target="https%3A%2F%2Fwww.webofscience.com%2Fwos%2Fwoscc%2Ffull-record%2FWOS%3A000986905600001" TargetMode="External" Type="http://schemas.openxmlformats.org/officeDocument/2006/relationships/hyperlink"/><Relationship Id="rId668" Target="http%3A%2F%2Fdx.doi.org%2F10.1055%2Fa-2870-0924" TargetMode="External" Type="http://schemas.openxmlformats.org/officeDocument/2006/relationships/hyperlink"/><Relationship Id="rId669" Target="https%3A%2F%2Fwww.webofscience.com%2Fwos%2Fwoscc%2Ffull-record%2FWOS%3A001845858100001" TargetMode="External" Type="http://schemas.openxmlformats.org/officeDocument/2006/relationships/hyperlink"/><Relationship Id="rId67" Target="http%3A%2F%2Fdx.doi.org%2F10.1093%2Fehjdh%2Fztad072" TargetMode="External" Type="http://schemas.openxmlformats.org/officeDocument/2006/relationships/hyperlink"/><Relationship Id="rId670" Target="http%3A%2F%2Fdx.doi.org%2F10.1055%2Fa-2701-6530" TargetMode="External" Type="http://schemas.openxmlformats.org/officeDocument/2006/relationships/hyperlink"/><Relationship Id="rId671" Target="https%3A%2F%2Fwww.webofscience.com%2Fwos%2Fwoscc%2Ffull-record%2FWOS%3A001608080300001" TargetMode="External" Type="http://schemas.openxmlformats.org/officeDocument/2006/relationships/hyperlink"/><Relationship Id="rId672" Target="http%3A%2F%2Fdx.doi.org%2F10.1053%2Fj.gastro.2025.07.015" TargetMode="External" Type="http://schemas.openxmlformats.org/officeDocument/2006/relationships/hyperlink"/><Relationship Id="rId673" Target="https%3A%2F%2Fwww.webofscience.com%2Fwos%2Fwoscc%2Ffull-record%2FWOS%3A001650587800001" TargetMode="External" Type="http://schemas.openxmlformats.org/officeDocument/2006/relationships/hyperlink"/><Relationship Id="rId674" Target="http%3A%2F%2Fdx.doi.org%2F10.1371%2Fjournal.pdig.0001061" TargetMode="External" Type="http://schemas.openxmlformats.org/officeDocument/2006/relationships/hyperlink"/><Relationship Id="rId675" Target="https%3A%2F%2Fwww.webofscience.com%2Fwos%2Fwoscc%2Ffull-record%2FWOS%3A001619441300004" TargetMode="External" Type="http://schemas.openxmlformats.org/officeDocument/2006/relationships/hyperlink"/><Relationship Id="rId676" Target="http%3A%2F%2Fdx.doi.org%2F10.2147%2FCMAR.S297794" TargetMode="External" Type="http://schemas.openxmlformats.org/officeDocument/2006/relationships/hyperlink"/><Relationship Id="rId677" Target="https%3A%2F%2Fwww.webofscience.com%2Fwos%2Fwoscc%2Ffull-record%2FWOS%3A000640647500001" TargetMode="External" Type="http://schemas.openxmlformats.org/officeDocument/2006/relationships/hyperlink"/><Relationship Id="rId678" Target="http%3A%2F%2Fdx.doi.org%2F10.1016%2Fj.jamda.2024.105169" TargetMode="External" Type="http://schemas.openxmlformats.org/officeDocument/2006/relationships/hyperlink"/><Relationship Id="rId679" Target="https%3A%2F%2Fwww.webofscience.com%2Fwos%2Fwoscc%2Ffull-record%2FWOS%3A001290547400001" TargetMode="External" Type="http://schemas.openxmlformats.org/officeDocument/2006/relationships/hyperlink"/><Relationship Id="rId68" Target="https%3A%2F%2Fwww.webofscience.com%2Fwos%2Fwoscc%2Ffull-record%2FWOS%3A001155071200010" TargetMode="External" Type="http://schemas.openxmlformats.org/officeDocument/2006/relationships/hyperlink"/><Relationship Id="rId680" Target="http%3A%2F%2Fdx.doi.org%2F10.1371%2Fjournal.pdig.0001486" TargetMode="External" Type="http://schemas.openxmlformats.org/officeDocument/2006/relationships/hyperlink"/><Relationship Id="rId681" Target="https%3A%2F%2Fwww.webofscience.com%2Fwos%2Fwoscc%2Ffull-record%2FWOS%3A001816948600001" TargetMode="External" Type="http://schemas.openxmlformats.org/officeDocument/2006/relationships/hyperlink"/><Relationship Id="rId682" Target="http%3A%2F%2Fdx.doi.org%2F10.1186%2Fs12911-026-03480-7" TargetMode="External" Type="http://schemas.openxmlformats.org/officeDocument/2006/relationships/hyperlink"/><Relationship Id="rId683" Target="https%3A%2F%2Fwww.webofscience.com%2Fwos%2Fwoscc%2Ffull-record%2FWOS%3A001770921900002" TargetMode="External" Type="http://schemas.openxmlformats.org/officeDocument/2006/relationships/hyperlink"/><Relationship Id="rId684" Target="http%3A%2F%2Fdx.doi.org%2F10.3389%2Ffmed.2026.1877809" TargetMode="External" Type="http://schemas.openxmlformats.org/officeDocument/2006/relationships/hyperlink"/><Relationship Id="rId685" Target="https%3A%2F%2Fwww.webofscience.com%2Fwos%2Fwoscc%2Ffull-record%2FWOS%3A001833690600001" TargetMode="External" Type="http://schemas.openxmlformats.org/officeDocument/2006/relationships/hyperlink"/><Relationship Id="rId686" Target="http%3A%2F%2Fdx.doi.org%2F10.1002%2Fcam4.7324" TargetMode="External" Type="http://schemas.openxmlformats.org/officeDocument/2006/relationships/hyperlink"/><Relationship Id="rId687" Target="https%3A%2F%2Fwww.webofscience.com%2Fwos%2Fwoscc%2Ffull-record%2FWOS%3A001242654100001" TargetMode="External" Type="http://schemas.openxmlformats.org/officeDocument/2006/relationships/hyperlink"/><Relationship Id="rId688" Target="http%3A%2F%2Fdx.doi.org%2F10.1016%2Fj.ebiom.2022.104209" TargetMode="External" Type="http://schemas.openxmlformats.org/officeDocument/2006/relationships/hyperlink"/><Relationship Id="rId689" Target="https%3A%2F%2Fwww.webofscience.com%2Fwos%2Fwoscc%2Ffull-record%2FWOS%3A000861176800012" TargetMode="External" Type="http://schemas.openxmlformats.org/officeDocument/2006/relationships/hyperlink"/><Relationship Id="rId69" Target="http%3A%2F%2Fdx.doi.org%2F10.3390%2Fdiagnostics14202281" TargetMode="External" Type="http://schemas.openxmlformats.org/officeDocument/2006/relationships/hyperlink"/><Relationship Id="rId690" Target="http%3A%2F%2Fdx.doi.org%2F10.3390%2Fjpm14060587" TargetMode="External" Type="http://schemas.openxmlformats.org/officeDocument/2006/relationships/hyperlink"/><Relationship Id="rId691" Target="https%3A%2F%2Fwww.webofscience.com%2Fwos%2Fwoscc%2Ffull-record%2FWOS%3A001256110700001" TargetMode="External" Type="http://schemas.openxmlformats.org/officeDocument/2006/relationships/hyperlink"/><Relationship Id="rId692" Target="http%3A%2F%2Fdx.doi.org%2F10.1007%2Fs10143-026-04403-w" TargetMode="External" Type="http://schemas.openxmlformats.org/officeDocument/2006/relationships/hyperlink"/><Relationship Id="rId693" Target="https%3A%2F%2Fwww.webofscience.com%2Fwos%2Fwoscc%2Ffull-record%2FWOS%3A001836235700001" TargetMode="External" Type="http://schemas.openxmlformats.org/officeDocument/2006/relationships/hyperlink"/><Relationship Id="rId694" Target="http%3A%2F%2Fdx.doi.org%2F10.3390%2Fmedicina62071356" TargetMode="External" Type="http://schemas.openxmlformats.org/officeDocument/2006/relationships/hyperlink"/><Relationship Id="rId695" Target="https%3A%2F%2Fwww.webofscience.com%2Fwos%2Fwoscc%2Ffull-record%2FWOS%3A001832587400001" TargetMode="External" Type="http://schemas.openxmlformats.org/officeDocument/2006/relationships/hyperlink"/><Relationship Id="rId696" Target="http%3A%2F%2Fdx.doi.org%2F10.1007%2Fs00592-024-02404-z" TargetMode="External" Type="http://schemas.openxmlformats.org/officeDocument/2006/relationships/hyperlink"/><Relationship Id="rId697" Target="https%3A%2F%2Fwww.webofscience.com%2Fwos%2Fwoscc%2Ffull-record%2FWOS%3A001352541600001" TargetMode="External" Type="http://schemas.openxmlformats.org/officeDocument/2006/relationships/hyperlink"/><Relationship Id="rId698" Target="http%3A%2F%2Fdx.doi.org%2F10.1111%2Fanae.16777" TargetMode="External" Type="http://schemas.openxmlformats.org/officeDocument/2006/relationships/hyperlink"/><Relationship Id="rId699" Target="https%3A%2F%2Fwww.webofscience.com%2Fwos%2Fwoscc%2Ffull-record%2FWOS%3A001570591800001" TargetMode="External" Type="http://schemas.openxmlformats.org/officeDocument/2006/relationships/hyperlink"/><Relationship Id="rId7" Target="http%3A%2F%2Fdx.doi.org%2F10.1016%2Fj.wneu.2023.03.019" TargetMode="External" Type="http://schemas.openxmlformats.org/officeDocument/2006/relationships/hyperlink"/><Relationship Id="rId70" Target="https%3A%2F%2Fwww.webofscience.com%2Fwos%2Fwoscc%2Ffull-record%2FWOS%3A001341635700001" TargetMode="External" Type="http://schemas.openxmlformats.org/officeDocument/2006/relationships/hyperlink"/><Relationship Id="rId700" Target="http%3A%2F%2Fdx.doi.org%2F10.1007%2Fs00784-025-06268-7" TargetMode="External" Type="http://schemas.openxmlformats.org/officeDocument/2006/relationships/hyperlink"/><Relationship Id="rId701" Target="https%3A%2F%2Fwww.webofscience.com%2Fwos%2Fwoscc%2Ffull-record%2FWOS%3A001447007300001" TargetMode="External" Type="http://schemas.openxmlformats.org/officeDocument/2006/relationships/hyperlink"/><Relationship Id="rId702" Target="http%3A%2F%2Fdx.doi.org%2F10.21873%2Fanticanres.17715" TargetMode="External" Type="http://schemas.openxmlformats.org/officeDocument/2006/relationships/hyperlink"/><Relationship Id="rId703" Target="https%3A%2F%2Fwww.webofscience.com%2Fwos%2Fwoscc%2Ffull-record%2FWOS%3A001659360200022" TargetMode="External" Type="http://schemas.openxmlformats.org/officeDocument/2006/relationships/hyperlink"/><Relationship Id="rId704" Target="http%3A%2F%2Fdx.doi.org%2F10.1371%2Fjournal.pone.0250832" TargetMode="External" Type="http://schemas.openxmlformats.org/officeDocument/2006/relationships/hyperlink"/><Relationship Id="rId705" Target="https%3A%2F%2Fwww.webofscience.com%2Fwos%2Fwoscc%2Ffull-record%2FWOS%3A000664610500045" TargetMode="External" Type="http://schemas.openxmlformats.org/officeDocument/2006/relationships/hyperlink"/><Relationship Id="rId706" Target="http%3A%2F%2Fdx.doi.org%2F10.1016%2Fj.ijmedinf.2025.106160" TargetMode="External" Type="http://schemas.openxmlformats.org/officeDocument/2006/relationships/hyperlink"/><Relationship Id="rId707" Target="https%3A%2F%2Fwww.webofscience.com%2Fwos%2Fwoscc%2Ffull-record%2FWOS%3A001604464800001" TargetMode="External" Type="http://schemas.openxmlformats.org/officeDocument/2006/relationships/hyperlink"/><Relationship Id="rId708" Target="http%3A%2F%2Fdx.doi.org%2F10.1016%2Fj.urology.2024.08.071" TargetMode="External" Type="http://schemas.openxmlformats.org/officeDocument/2006/relationships/hyperlink"/><Relationship Id="rId709" Target="https%3A%2F%2Fwww.webofscience.com%2Fwos%2Fwoscc%2Ffull-record%2FWOS%3A001373592800001" TargetMode="External" Type="http://schemas.openxmlformats.org/officeDocument/2006/relationships/hyperlink"/><Relationship Id="rId71" Target="http%3A%2F%2Fdx.doi.org%2F10.4174%2Fastr.2022.102.3.147" TargetMode="External" Type="http://schemas.openxmlformats.org/officeDocument/2006/relationships/hyperlink"/><Relationship Id="rId710" Target="http%3A%2F%2Fdx.doi.org%2F10.1038%2Fs41598-024-77798-5" TargetMode="External" Type="http://schemas.openxmlformats.org/officeDocument/2006/relationships/hyperlink"/><Relationship Id="rId711" Target="https%3A%2F%2Fwww.webofscience.com%2Fwos%2Fwoscc%2Ffull-record%2FWOS%3A001352623400016" TargetMode="External" Type="http://schemas.openxmlformats.org/officeDocument/2006/relationships/hyperlink"/><Relationship Id="rId712" Target="http%3A%2F%2Fdx.doi.org%2F10.1371%2Fjournal.pone.0329668" TargetMode="External" Type="http://schemas.openxmlformats.org/officeDocument/2006/relationships/hyperlink"/><Relationship Id="rId713" Target="https%3A%2F%2Fwww.webofscience.com%2Fwos%2Fwoscc%2Ffull-record%2FWOS%3A001567079400032" TargetMode="External" Type="http://schemas.openxmlformats.org/officeDocument/2006/relationships/hyperlink"/><Relationship Id="rId714" Target="http%3A%2F%2Fdx.doi.org%2F10.4048%2Fjbc.2023.26.e14" TargetMode="External" Type="http://schemas.openxmlformats.org/officeDocument/2006/relationships/hyperlink"/><Relationship Id="rId715" Target="https%3A%2F%2Fwww.webofscience.com%2Fwos%2Fwoscc%2Ffull-record%2FWOS%3A001063483800004" TargetMode="External" Type="http://schemas.openxmlformats.org/officeDocument/2006/relationships/hyperlink"/><Relationship Id="rId716" Target="http%3A%2F%2Fdx.doi.org%2F10.2196%2F55492" TargetMode="External" Type="http://schemas.openxmlformats.org/officeDocument/2006/relationships/hyperlink"/><Relationship Id="rId717" Target="https%3A%2F%2Fwww.webofscience.com%2Fwos%2Fwoscc%2Ffull-record%2FWOS%3A001462273100001" TargetMode="External" Type="http://schemas.openxmlformats.org/officeDocument/2006/relationships/hyperlink"/><Relationship Id="rId718" Target="http%3A%2F%2Fdx.doi.org%2F10.1016%2Fj.euo.2023.02.006" TargetMode="External" Type="http://schemas.openxmlformats.org/officeDocument/2006/relationships/hyperlink"/><Relationship Id="rId719" Target="https%3A%2F%2Fwww.webofscience.com%2Fwos%2Fwoscc%2Ffull-record%2FWOS%3A001110900800001" TargetMode="External" Type="http://schemas.openxmlformats.org/officeDocument/2006/relationships/hyperlink"/><Relationship Id="rId72" Target="https%3A%2F%2Fwww.webofscience.com%2Fwos%2Fwoscc%2Ffull-record%2FWOS%3A000770058000004" TargetMode="External" Type="http://schemas.openxmlformats.org/officeDocument/2006/relationships/hyperlink"/><Relationship Id="rId720" Target="http%3A%2F%2Fdx.doi.org%2F10.1002%2Fhbm.70141" TargetMode="External" Type="http://schemas.openxmlformats.org/officeDocument/2006/relationships/hyperlink"/><Relationship Id="rId721" Target="https%3A%2F%2Fwww.webofscience.com%2Fwos%2Fwoscc%2Ffull-record%2FWOS%3A001418047500001" TargetMode="External" Type="http://schemas.openxmlformats.org/officeDocument/2006/relationships/hyperlink"/><Relationship Id="rId722" Target="http%3A%2F%2Fdx.doi.org%2F10.1016%2Fj.jaip.2023.12.031" TargetMode="External" Type="http://schemas.openxmlformats.org/officeDocument/2006/relationships/hyperlink"/><Relationship Id="rId723" Target="https%3A%2F%2Fwww.webofscience.com%2Fwos%2Fwoscc%2Ffull-record%2FWOS%3A001224895300001" TargetMode="External" Type="http://schemas.openxmlformats.org/officeDocument/2006/relationships/hyperlink"/><Relationship Id="rId724" Target="http%3A%2F%2Fdx.doi.org%2F10.3174%2Fajnr.A7616" TargetMode="External" Type="http://schemas.openxmlformats.org/officeDocument/2006/relationships/hyperlink"/><Relationship Id="rId725" Target="https%3A%2F%2Fwww.webofscience.com%2Fwos%2Fwoscc%2Ffull-record%2FWOS%3A000914913300016" TargetMode="External" Type="http://schemas.openxmlformats.org/officeDocument/2006/relationships/hyperlink"/><Relationship Id="rId726" Target="http%3A%2F%2Fdx.doi.org%2F10.1186%2Fs13017-025-00650-2" TargetMode="External" Type="http://schemas.openxmlformats.org/officeDocument/2006/relationships/hyperlink"/><Relationship Id="rId727" Target="https%3A%2F%2Fwww.webofscience.com%2Fwos%2Fwoscc%2Ffull-record%2FWOS%3A001594090600002" TargetMode="External" Type="http://schemas.openxmlformats.org/officeDocument/2006/relationships/hyperlink"/><Relationship Id="rId728" Target="http%3A%2F%2Fdx.doi.org%2F10.21037%2Fqims-23-791" TargetMode="External" Type="http://schemas.openxmlformats.org/officeDocument/2006/relationships/hyperlink"/><Relationship Id="rId729" Target="https%3A%2F%2Fwww.webofscience.com%2Fwos%2Fwoscc%2Ffull-record%2FWOS%3A001097467500001" TargetMode="External" Type="http://schemas.openxmlformats.org/officeDocument/2006/relationships/hyperlink"/><Relationship Id="rId73" Target="http%3A%2F%2Fdx.doi.org%2F10.1038%2Fs41746-023-00872-1" TargetMode="External" Type="http://schemas.openxmlformats.org/officeDocument/2006/relationships/hyperlink"/><Relationship Id="rId730" Target="http%3A%2F%2Fdx.doi.org%2F10.1016%2FS2589-7500%2821%2900272-7" TargetMode="External" Type="http://schemas.openxmlformats.org/officeDocument/2006/relationships/hyperlink"/><Relationship Id="rId731" Target="https%3A%2F%2Fwww.webofscience.com%2Fwos%2Fwoscc%2Ffull-record%2FWOS%3A000820134400012" TargetMode="External" Type="http://schemas.openxmlformats.org/officeDocument/2006/relationships/hyperlink"/><Relationship Id="rId732" Target="http%3A%2F%2Fdx.doi.org%2F10.2214%2FAJR.24.31067" TargetMode="External" Type="http://schemas.openxmlformats.org/officeDocument/2006/relationships/hyperlink"/><Relationship Id="rId733" Target="https%3A%2F%2Fwww.webofscience.com%2Fwos%2Fwoscc%2Ffull-record%2FWOS%3A001370090800013" TargetMode="External" Type="http://schemas.openxmlformats.org/officeDocument/2006/relationships/hyperlink"/><Relationship Id="rId734" Target="http%3A%2F%2Fdx.doi.org%2F10.1186%2Fs12911-025-03158-6" TargetMode="External" Type="http://schemas.openxmlformats.org/officeDocument/2006/relationships/hyperlink"/><Relationship Id="rId735" Target="https%3A%2F%2Fwww.webofscience.com%2Fwos%2Fwoscc%2Ffull-record%2FWOS%3A001560541000001" TargetMode="External" Type="http://schemas.openxmlformats.org/officeDocument/2006/relationships/hyperlink"/><Relationship Id="rId736" Target="http%3A%2F%2Fdx.doi.org%2F10.1016%2FS2589-7500%2820%2930274-0" TargetMode="External" Type="http://schemas.openxmlformats.org/officeDocument/2006/relationships/hyperlink"/><Relationship Id="rId737" Target="https%3A%2F%2Fwww.webofscience.com%2Fwos%2Fwoscc%2Ffull-record%2FWOS%3A000614629400006" TargetMode="External" Type="http://schemas.openxmlformats.org/officeDocument/2006/relationships/hyperlink"/><Relationship Id="rId738" Target="http%3A%2F%2Fdx.doi.org%2F10.1016%2Fj.rbmo.2023.05.014" TargetMode="External" Type="http://schemas.openxmlformats.org/officeDocument/2006/relationships/hyperlink"/><Relationship Id="rId739" Target="https%3A%2F%2Fwww.webofscience.com%2Fwos%2Fwoscc%2Ffull-record%2FWOS%3A001074108500001" TargetMode="External" Type="http://schemas.openxmlformats.org/officeDocument/2006/relationships/hyperlink"/><Relationship Id="rId74" Target="https%3A%2F%2Fwww.webofscience.com%2Fwos%2Fwoscc%2Ffull-record%2FWOS%3A001027088200001" TargetMode="External" Type="http://schemas.openxmlformats.org/officeDocument/2006/relationships/hyperlink"/><Relationship Id="rId740" Target="http%3A%2F%2Fdx.doi.org%2F10.1093%2Fbjr%2Ftqae191" TargetMode="External" Type="http://schemas.openxmlformats.org/officeDocument/2006/relationships/hyperlink"/><Relationship Id="rId741" Target="https%3A%2F%2Fwww.webofscience.com%2Fwos%2Fwoscc%2Ffull-record%2FWOS%3A001322107400001" TargetMode="External" Type="http://schemas.openxmlformats.org/officeDocument/2006/relationships/hyperlink"/><Relationship Id="rId742" Target="http%3A%2F%2Fdx.doi.org%2F10.1186%2Fs12880-022-00772-y" TargetMode="External" Type="http://schemas.openxmlformats.org/officeDocument/2006/relationships/hyperlink"/><Relationship Id="rId743" Target="https%3A%2F%2Fwww.webofscience.com%2Fwos%2Fwoscc%2Ffull-record%2FWOS%3A000768844600002" TargetMode="External" Type="http://schemas.openxmlformats.org/officeDocument/2006/relationships/hyperlink"/><Relationship Id="rId744" Target="http%3A%2F%2Fdx.doi.org%2F10.1007%2Fs11547-023-01683-w" TargetMode="External" Type="http://schemas.openxmlformats.org/officeDocument/2006/relationships/hyperlink"/><Relationship Id="rId745" Target="https%3A%2F%2Fwww.webofscience.com%2Fwos%2Fwoscc%2Ffull-record%2FWOS%3A001031580400002" TargetMode="External" Type="http://schemas.openxmlformats.org/officeDocument/2006/relationships/hyperlink"/><Relationship Id="rId746" Target="https%3A%2F%2Fwww.webofscience.com%2Fwos%2Fwoscc%2Ffull-record%2FWOS%3A000535366700015" TargetMode="External" Type="http://schemas.openxmlformats.org/officeDocument/2006/relationships/hyperlink"/><Relationship Id="rId747" Target="http%3A%2F%2Fdx.doi.org%2F10.1097%2FBRS.0000000000005639" TargetMode="External" Type="http://schemas.openxmlformats.org/officeDocument/2006/relationships/hyperlink"/><Relationship Id="rId748" Target="https%3A%2F%2Fwww.webofscience.com%2Fwos%2Fwoscc%2Ffull-record%2FWOS%3A001736060200003" TargetMode="External" Type="http://schemas.openxmlformats.org/officeDocument/2006/relationships/hyperlink"/><Relationship Id="rId749" Target="http%3A%2F%2Fdx.doi.org%2F10.1016%2Fj.ebiom.2022.104422" TargetMode="External" Type="http://schemas.openxmlformats.org/officeDocument/2006/relationships/hyperlink"/><Relationship Id="rId75" Target="http%3A%2F%2Fdx.doi.org%2F10.1111%2Fbju.16464" TargetMode="External" Type="http://schemas.openxmlformats.org/officeDocument/2006/relationships/hyperlink"/><Relationship Id="rId750" Target="https%3A%2F%2Fwww.webofscience.com%2Fwos%2Fwoscc%2Ffull-record%2FWOS%3A000911497700001" TargetMode="External" Type="http://schemas.openxmlformats.org/officeDocument/2006/relationships/hyperlink"/><Relationship Id="rId751" Target="http%3A%2F%2Fdx.doi.org%2F10.1007%2Fs00261-024-04280-1" TargetMode="External" Type="http://schemas.openxmlformats.org/officeDocument/2006/relationships/hyperlink"/><Relationship Id="rId752" Target="https%3A%2F%2Fwww.webofscience.com%2Fwos%2Fwoscc%2Ffull-record%2FWOS%3A001207088700004" TargetMode="External" Type="http://schemas.openxmlformats.org/officeDocument/2006/relationships/hyperlink"/><Relationship Id="rId753" Target="http%3A%2F%2Fdx.doi.org%2F10.3389%2Ffmed.2026.1904678" TargetMode="External" Type="http://schemas.openxmlformats.org/officeDocument/2006/relationships/hyperlink"/><Relationship Id="rId754" Target="https%3A%2F%2Fwww.webofscience.com%2Fwos%2Fwoscc%2Ffull-record%2FWOS%3A001850927000001" TargetMode="External" Type="http://schemas.openxmlformats.org/officeDocument/2006/relationships/hyperlink"/><Relationship Id="rId755" Target="http%3A%2F%2Fdx.doi.org%2F10.1007%2Fs00586-022-07311-x" TargetMode="External" Type="http://schemas.openxmlformats.org/officeDocument/2006/relationships/hyperlink"/><Relationship Id="rId756" Target="https%3A%2F%2Fwww.webofscience.com%2Fwos%2Fwoscc%2Ffull-record%2FWOS%3A000825202800003" TargetMode="External" Type="http://schemas.openxmlformats.org/officeDocument/2006/relationships/hyperlink"/><Relationship Id="rId757" Target="http%3A%2F%2Fdx.doi.org%2F10.1002%2Fdad2.70219" TargetMode="External" Type="http://schemas.openxmlformats.org/officeDocument/2006/relationships/hyperlink"/><Relationship Id="rId758" Target="https%3A%2F%2Fwww.webofscience.com%2Fwos%2Fwoscc%2Ffull-record%2FWOS%3A001616268800001" TargetMode="External" Type="http://schemas.openxmlformats.org/officeDocument/2006/relationships/hyperlink"/><Relationship Id="rId759" Target="http%3A%2F%2Fdx.doi.org%2F10.21037%2Fqims-23-1645" TargetMode="External" Type="http://schemas.openxmlformats.org/officeDocument/2006/relationships/hyperlink"/><Relationship Id="rId76" Target="https%3A%2F%2Fwww.webofscience.com%2Fwos%2Fwoscc%2Ffull-record%2FWOS%3A001268775100001" TargetMode="External" Type="http://schemas.openxmlformats.org/officeDocument/2006/relationships/hyperlink"/><Relationship Id="rId760" Target="https%3A%2F%2Fwww.webofscience.com%2Fwos%2Fwoscc%2Ffull-record%2FWOS%3A001371117200006" TargetMode="External" Type="http://schemas.openxmlformats.org/officeDocument/2006/relationships/hyperlink"/><Relationship Id="rId761" Target="http%3A%2F%2Fdx.doi.org%2F10.3389%2Ffrai.2026.1754682" TargetMode="External" Type="http://schemas.openxmlformats.org/officeDocument/2006/relationships/hyperlink"/><Relationship Id="rId762" Target="https%3A%2F%2Fwww.webofscience.com%2Fwos%2Fwoscc%2Ffull-record%2FWOS%3A001721649000001" TargetMode="External" Type="http://schemas.openxmlformats.org/officeDocument/2006/relationships/hyperlink"/><Relationship Id="rId763" Target="http%3A%2F%2Fdx.doi.org%2F10.1002%2Fjbmr.4916" TargetMode="External" Type="http://schemas.openxmlformats.org/officeDocument/2006/relationships/hyperlink"/><Relationship Id="rId764" Target="https%3A%2F%2Fwww.webofscience.com%2Fwos%2Fwoscc%2Ffull-record%2FWOS%3A001084774300001" TargetMode="External" Type="http://schemas.openxmlformats.org/officeDocument/2006/relationships/hyperlink"/><Relationship Id="rId765" Target="http%3A%2F%2Fdx.doi.org%2F10.1038%2Fs41380-025-03316-2" TargetMode="External" Type="http://schemas.openxmlformats.org/officeDocument/2006/relationships/hyperlink"/><Relationship Id="rId766" Target="https%3A%2F%2Fwww.webofscience.com%2Fwos%2Fwoscc%2Ffull-record%2FWOS%3A001598697700001" TargetMode="External" Type="http://schemas.openxmlformats.org/officeDocument/2006/relationships/hyperlink"/><Relationship Id="rId767" Target="http%3A%2F%2Fdx.doi.org%2F10.3389%2Ffonc.2024.1477166" TargetMode="External" Type="http://schemas.openxmlformats.org/officeDocument/2006/relationships/hyperlink"/><Relationship Id="rId768" Target="https%3A%2F%2Fwww.webofscience.com%2Fwos%2Fwoscc%2Ffull-record%2FWOS%3A001383351600001" TargetMode="External" Type="http://schemas.openxmlformats.org/officeDocument/2006/relationships/hyperlink"/><Relationship Id="rId769" Target="http%3A%2F%2Fdx.doi.org%2F10.3390%2Fjcm15145599" TargetMode="External" Type="http://schemas.openxmlformats.org/officeDocument/2006/relationships/hyperlink"/><Relationship Id="rId77" Target="http%3A%2F%2Fdx.doi.org%2F10.1136%2Fthoraxjnl-2019-214104" TargetMode="External" Type="http://schemas.openxmlformats.org/officeDocument/2006/relationships/hyperlink"/><Relationship Id="rId770" Target="https%3A%2F%2Fwww.webofscience.com%2Fwos%2Fwoscc%2Ffull-record%2FWOS%3A001832171200001" TargetMode="External" Type="http://schemas.openxmlformats.org/officeDocument/2006/relationships/hyperlink"/><Relationship Id="rId771" Target="http%3A%2F%2Fdx.doi.org%2F10.3390%2Fv15081735" TargetMode="External" Type="http://schemas.openxmlformats.org/officeDocument/2006/relationships/hyperlink"/><Relationship Id="rId772" Target="https%3A%2F%2Fwww.webofscience.com%2Fwos%2Fwoscc%2Ffull-record%2FWOS%3A001056501700001" TargetMode="External" Type="http://schemas.openxmlformats.org/officeDocument/2006/relationships/hyperlink"/><Relationship Id="rId773" Target="http%3A%2F%2Fdx.doi.org%2F10.1038%2Fs41598-023-27399-5" TargetMode="External" Type="http://schemas.openxmlformats.org/officeDocument/2006/relationships/hyperlink"/><Relationship Id="rId774" Target="https%3A%2F%2Fwww.webofscience.com%2Fwos%2Fwoscc%2Ffull-record%2FWOS%3A000954571900038" TargetMode="External" Type="http://schemas.openxmlformats.org/officeDocument/2006/relationships/hyperlink"/><Relationship Id="rId775" Target="http%3A%2F%2Fdx.doi.org%2F10.3390%2Fjcm13216437" TargetMode="External" Type="http://schemas.openxmlformats.org/officeDocument/2006/relationships/hyperlink"/><Relationship Id="rId776" Target="https%3A%2F%2Fwww.webofscience.com%2Fwos%2Fwoscc%2Ffull-record%2FWOS%3A001351226700001" TargetMode="External" Type="http://schemas.openxmlformats.org/officeDocument/2006/relationships/hyperlink"/><Relationship Id="rId777" Target="http%3A%2F%2Fdx.doi.org%2F10.5435%2FJAAOS-D-23-00091" TargetMode="External" Type="http://schemas.openxmlformats.org/officeDocument/2006/relationships/hyperlink"/><Relationship Id="rId778" Target="https%3A%2F%2Fwww.webofscience.com%2Fwos%2Fwoscc%2Ffull-record%2FWOS%3A001050034100007" TargetMode="External" Type="http://schemas.openxmlformats.org/officeDocument/2006/relationships/hyperlink"/><Relationship Id="rId779" Target="http%3A%2F%2Fdx.doi.org%2F10.1186%2Fs12885-025-15338-8" TargetMode="External" Type="http://schemas.openxmlformats.org/officeDocument/2006/relationships/hyperlink"/><Relationship Id="rId78" Target="https%3A%2F%2Fwww.webofscience.com%2Fwos%2Fwoscc%2Ffull-record%2FWOS%3A000536123400004" TargetMode="External" Type="http://schemas.openxmlformats.org/officeDocument/2006/relationships/hyperlink"/><Relationship Id="rId780" Target="https%3A%2F%2Fwww.webofscience.com%2Fwos%2Fwoscc%2Ffull-record%2FWOS%3A001651209100001" TargetMode="External" Type="http://schemas.openxmlformats.org/officeDocument/2006/relationships/hyperlink"/><Relationship Id="rId781" Target="http%3A%2F%2Fdx.doi.org%2F10.2196%2F32949" TargetMode="External" Type="http://schemas.openxmlformats.org/officeDocument/2006/relationships/hyperlink"/><Relationship Id="rId782" Target="https%3A%2F%2Fwww.webofscience.com%2Fwos%2Fwoscc%2Ffull-record%2FWOS%3A000781027400007" TargetMode="External" Type="http://schemas.openxmlformats.org/officeDocument/2006/relationships/hyperlink"/><Relationship Id="rId783" Target="http%3A%2F%2Fdx.doi.org%2F10.3389%2Ffcvm.2026.1814149" TargetMode="External" Type="http://schemas.openxmlformats.org/officeDocument/2006/relationships/hyperlink"/><Relationship Id="rId784" Target="https%3A%2F%2Fwww.webofscience.com%2Fwos%2Fwoscc%2Ffull-record%2FWOS%3A001828019500001" TargetMode="External" Type="http://schemas.openxmlformats.org/officeDocument/2006/relationships/hyperlink"/><Relationship Id="rId785" Target="http%3A%2F%2Fdx.doi.org%2F10.1080%2F0886022X.2025.2491656" TargetMode="External" Type="http://schemas.openxmlformats.org/officeDocument/2006/relationships/hyperlink"/><Relationship Id="rId786" Target="https%3A%2F%2Fwww.webofscience.com%2Fwos%2Fwoscc%2Ffull-record%2FWOS%3A001475860300001" TargetMode="External" Type="http://schemas.openxmlformats.org/officeDocument/2006/relationships/hyperlink"/><Relationship Id="rId787" Target="http%3A%2F%2Fdx.doi.org%2F10.1016%2Fj.jocn.2026.112014" TargetMode="External" Type="http://schemas.openxmlformats.org/officeDocument/2006/relationships/hyperlink"/><Relationship Id="rId788" Target="https%3A%2F%2Fwww.webofscience.com%2Fwos%2Fwoscc%2Ffull-record%2FWOS%3A001738238800001" TargetMode="External" Type="http://schemas.openxmlformats.org/officeDocument/2006/relationships/hyperlink"/><Relationship Id="rId789" Target="http%3A%2F%2Fdx.doi.org%2F10.1186%2Fs12876-026-04709-5" TargetMode="External" Type="http://schemas.openxmlformats.org/officeDocument/2006/relationships/hyperlink"/><Relationship Id="rId79" Target="http%3A%2F%2Fdx.doi.org%2F10.3171%2F2019.5.SPINE1987" TargetMode="External" Type="http://schemas.openxmlformats.org/officeDocument/2006/relationships/hyperlink"/><Relationship Id="rId790" Target="https%3A%2F%2Fwww.webofscience.com%2Fwos%2Fwoscc%2Ffull-record%2FWOS%3A001734811000001" TargetMode="External" Type="http://schemas.openxmlformats.org/officeDocument/2006/relationships/hyperlink"/><Relationship Id="rId791" Target="http%3A%2F%2Fdx.doi.org%2F10.1155%2F2023%2F8001899" TargetMode="External" Type="http://schemas.openxmlformats.org/officeDocument/2006/relationships/hyperlink"/><Relationship Id="rId792" Target="https%3A%2F%2Fwww.webofscience.com%2Fwos%2Fwoscc%2Ffull-record%2FWOS%3A001017678400001" TargetMode="External" Type="http://schemas.openxmlformats.org/officeDocument/2006/relationships/hyperlink"/><Relationship Id="rId793" Target="http%3A%2F%2Fdx.doi.org%2F10.1007%2Fs12672-026-05099-6" TargetMode="External" Type="http://schemas.openxmlformats.org/officeDocument/2006/relationships/hyperlink"/><Relationship Id="rId794" Target="https%3A%2F%2Fwww.webofscience.com%2Fwos%2Fwoscc%2Ffull-record%2FWOS%3A001832821500001" TargetMode="External" Type="http://schemas.openxmlformats.org/officeDocument/2006/relationships/hyperlink"/><Relationship Id="rId795" Target="http%3A%2F%2Fdx.doi.org%2F10.1016%2Fj.jfma.2023.06.027" TargetMode="External" Type="http://schemas.openxmlformats.org/officeDocument/2006/relationships/hyperlink"/><Relationship Id="rId796" Target="https%3A%2F%2Fwww.webofscience.com%2Fwos%2Fwoscc%2Ffull-record%2FWOS%3A001132642300001" TargetMode="External" Type="http://schemas.openxmlformats.org/officeDocument/2006/relationships/hyperlink"/><Relationship Id="rId797" Target="http%3A%2F%2Fdx.doi.org%2F10.1002%2Fjso.26708" TargetMode="External" Type="http://schemas.openxmlformats.org/officeDocument/2006/relationships/hyperlink"/><Relationship Id="rId798" Target="https%3A%2F%2Fwww.webofscience.com%2Fwos%2Fwoscc%2Ffull-record%2FWOS%3A000703451400001" TargetMode="External" Type="http://schemas.openxmlformats.org/officeDocument/2006/relationships/hyperlink"/><Relationship Id="rId799" Target="http%3A%2F%2Fdx.doi.org%2F10.1186%2Fs12911-025-03107-3" TargetMode="External" Type="http://schemas.openxmlformats.org/officeDocument/2006/relationships/hyperlink"/><Relationship Id="rId8" Target="https%3A%2F%2Fwww.webofscience.com%2Fwos%2Fwoscc%2Ffull-record%2FWOS%3A001001754200001" TargetMode="External" Type="http://schemas.openxmlformats.org/officeDocument/2006/relationships/hyperlink"/><Relationship Id="rId80" Target="https%3A%2F%2Fwww.webofscience.com%2Fwos%2Fwoscc%2Ffull-record%2FWOS%3A000493980000015" TargetMode="External" Type="http://schemas.openxmlformats.org/officeDocument/2006/relationships/hyperlink"/><Relationship Id="rId800" Target="https%3A%2F%2Fwww.webofscience.com%2Fwos%2Fwoscc%2Ffull-record%2FWOS%3A001529864500006" TargetMode="External" Type="http://schemas.openxmlformats.org/officeDocument/2006/relationships/hyperlink"/><Relationship Id="rId801" Target="http%3A%2F%2Fdx.doi.org%2F10.3390%2Fcancers15225452" TargetMode="External" Type="http://schemas.openxmlformats.org/officeDocument/2006/relationships/hyperlink"/><Relationship Id="rId802" Target="https%3A%2F%2Fwww.webofscience.com%2Fwos%2Fwoscc%2Ffull-record%2FWOS%3A001118101400001" TargetMode="External" Type="http://schemas.openxmlformats.org/officeDocument/2006/relationships/hyperlink"/><Relationship Id="rId803" Target="http%3A%2F%2Fdx.doi.org%2F10.1016%2Fj.xops.2025.100758" TargetMode="External" Type="http://schemas.openxmlformats.org/officeDocument/2006/relationships/hyperlink"/><Relationship Id="rId804" Target="https%3A%2F%2Fwww.webofscience.com%2Fwos%2Fwoscc%2Ffull-record%2FWOS%3A001469730700001" TargetMode="External" Type="http://schemas.openxmlformats.org/officeDocument/2006/relationships/hyperlink"/><Relationship Id="rId805" Target="http%3A%2F%2Fdx.doi.org%2F10.1007%2Fs00784-025-06550-8" TargetMode="External" Type="http://schemas.openxmlformats.org/officeDocument/2006/relationships/hyperlink"/><Relationship Id="rId806" Target="https%3A%2F%2Fwww.webofscience.com%2Fwos%2Fwoscc%2Ffull-record%2FWOS%3A001573865100004" TargetMode="External" Type="http://schemas.openxmlformats.org/officeDocument/2006/relationships/hyperlink"/><Relationship Id="rId807" Target="http%3A%2F%2Fdx.doi.org%2F10.4266%2Facc.000525" TargetMode="External" Type="http://schemas.openxmlformats.org/officeDocument/2006/relationships/hyperlink"/><Relationship Id="rId808" Target="https%3A%2F%2Fwww.webofscience.com%2Fwos%2Fwoscc%2Ffull-record%2FWOS%3A001501086200005" TargetMode="External" Type="http://schemas.openxmlformats.org/officeDocument/2006/relationships/hyperlink"/><Relationship Id="rId809" Target="http%3A%2F%2Fdx.doi.org%2F10.1007%2Fs11739-021-02816-7" TargetMode="External" Type="http://schemas.openxmlformats.org/officeDocument/2006/relationships/hyperlink"/><Relationship Id="rId81" Target="http%3A%2F%2Fdx.doi.org%2F10.1177%2F13872877241304607" TargetMode="External" Type="http://schemas.openxmlformats.org/officeDocument/2006/relationships/hyperlink"/><Relationship Id="rId810" Target="https%3A%2F%2Fwww.webofscience.com%2Fwos%2Fwoscc%2Ffull-record%2FWOS%3A000679755700001" TargetMode="External" Type="http://schemas.openxmlformats.org/officeDocument/2006/relationships/hyperlink"/><Relationship Id="rId811" Target="http%3A%2F%2Fdx.doi.org%2F10.1016%2Fj.acra.2025.06.001" TargetMode="External" Type="http://schemas.openxmlformats.org/officeDocument/2006/relationships/hyperlink"/><Relationship Id="rId812" Target="https%3A%2F%2Fwww.webofscience.com%2Fwos%2Fwoscc%2Ffull-record%2FWOS%3A001590129500027" TargetMode="External" Type="http://schemas.openxmlformats.org/officeDocument/2006/relationships/hyperlink"/><Relationship Id="rId813" Target="http%3A%2F%2Fdx.doi.org%2F10.3390%2Fdiseases14010032" TargetMode="External" Type="http://schemas.openxmlformats.org/officeDocument/2006/relationships/hyperlink"/><Relationship Id="rId814" Target="https%3A%2F%2Fwww.webofscience.com%2Fwos%2Fwoscc%2Ffull-record%2FWOS%3A001671365000001" TargetMode="External" Type="http://schemas.openxmlformats.org/officeDocument/2006/relationships/hyperlink"/><Relationship Id="rId815" Target="http%3A%2F%2Fdx.doi.org%2F10.1002%2Fhcs2.70077" TargetMode="External" Type="http://schemas.openxmlformats.org/officeDocument/2006/relationships/hyperlink"/><Relationship Id="rId816" Target="https%3A%2F%2Fwww.webofscience.com%2Fwos%2Fwoscc%2Ffull-record%2FWOS%3A001768438100001" TargetMode="External" Type="http://schemas.openxmlformats.org/officeDocument/2006/relationships/hyperlink"/><Relationship Id="rId817" Target="http%3A%2F%2Fdx.doi.org%2F10.3390%2Fneurosci4010003" TargetMode="External" Type="http://schemas.openxmlformats.org/officeDocument/2006/relationships/hyperlink"/><Relationship Id="rId818" Target="https%3A%2F%2Fwww.webofscience.com%2Fwos%2Fwoscc%2Ffull-record%2FWOS%3A001120709900001" TargetMode="External" Type="http://schemas.openxmlformats.org/officeDocument/2006/relationships/hyperlink"/><Relationship Id="rId819" Target="http%3A%2F%2Fdx.doi.org%2F10.1007%2Fs10278-026-01980-6" TargetMode="External" Type="http://schemas.openxmlformats.org/officeDocument/2006/relationships/hyperlink"/><Relationship Id="rId82" Target="https%3A%2F%2Fwww.webofscience.com%2Fwos%2Fwoscc%2Ffull-record%2FWOS%3A001415400300023" TargetMode="External" Type="http://schemas.openxmlformats.org/officeDocument/2006/relationships/hyperlink"/><Relationship Id="rId820" Target="https%3A%2F%2Fwww.webofscience.com%2Fwos%2Fwoscc%2Ffull-record%2FWOS%3A001752952700001" TargetMode="External" Type="http://schemas.openxmlformats.org/officeDocument/2006/relationships/hyperlink"/><Relationship Id="rId821" Target="http%3A%2F%2Fdx.doi.org%2F10.2340%2F1651-226X.2025.43977" TargetMode="External" Type="http://schemas.openxmlformats.org/officeDocument/2006/relationships/hyperlink"/><Relationship Id="rId822" Target="https%3A%2F%2Fwww.webofscience.com%2Fwos%2Fwoscc%2Ffull-record%2FWOS%3A001568547800001" TargetMode="External" Type="http://schemas.openxmlformats.org/officeDocument/2006/relationships/hyperlink"/><Relationship Id="rId823" Target="http%3A%2F%2Fdx.doi.org%2F10.1111%2Fiwj.13644" TargetMode="External" Type="http://schemas.openxmlformats.org/officeDocument/2006/relationships/hyperlink"/><Relationship Id="rId824" Target="https%3A%2F%2Fwww.webofscience.com%2Fwos%2Fwoscc%2Ffull-record%2FWOS%3A000661066700001" TargetMode="External" Type="http://schemas.openxmlformats.org/officeDocument/2006/relationships/hyperlink"/><Relationship Id="rId825" Target="http%3A%2F%2Fdx.doi.org%2F10.1016%2Fj.archger.2026.106284" TargetMode="External" Type="http://schemas.openxmlformats.org/officeDocument/2006/relationships/hyperlink"/><Relationship Id="rId826" Target="https%3A%2F%2Fwww.webofscience.com%2Fwos%2Fwoscc%2Ffull-record%2FWOS%3A001764909500001" TargetMode="External" Type="http://schemas.openxmlformats.org/officeDocument/2006/relationships/hyperlink"/><Relationship Id="rId827" Target="http%3A%2F%2Fdx.doi.org%2F10.1186%2Fs12911-025-03082-9" TargetMode="External" Type="http://schemas.openxmlformats.org/officeDocument/2006/relationships/hyperlink"/><Relationship Id="rId828" Target="https%3A%2F%2Fwww.webofscience.com%2Fwos%2Fwoscc%2Ffull-record%2FWOS%3A001522534500001" TargetMode="External" Type="http://schemas.openxmlformats.org/officeDocument/2006/relationships/hyperlink"/><Relationship Id="rId829" Target="http%3A%2F%2Fdx.doi.org%2F10.1186%2Fs12967-021-02955-7" TargetMode="External" Type="http://schemas.openxmlformats.org/officeDocument/2006/relationships/hyperlink"/><Relationship Id="rId83" Target="http%3A%2F%2Fdx.doi.org%2F10.1117%2F1.JMI.10.6.061404" TargetMode="External" Type="http://schemas.openxmlformats.org/officeDocument/2006/relationships/hyperlink"/><Relationship Id="rId830" Target="https%3A%2F%2Fwww.webofscience.com%2Fwos%2Fwoscc%2Ffull-record%2FWOS%3A000671296400005" TargetMode="External" Type="http://schemas.openxmlformats.org/officeDocument/2006/relationships/hyperlink"/><Relationship Id="rId831" Target="http%3A%2F%2Fdx.doi.org%2F10.3389%2Ffphys.2026.1826313" TargetMode="External" Type="http://schemas.openxmlformats.org/officeDocument/2006/relationships/hyperlink"/><Relationship Id="rId832" Target="https%3A%2F%2Fwww.webofscience.com%2Fwos%2Fwoscc%2Ffull-record%2FWOS%3A001810841400001" TargetMode="External" Type="http://schemas.openxmlformats.org/officeDocument/2006/relationships/hyperlink"/><Relationship Id="rId833" Target="http%3A%2F%2Fdx.doi.org%2F10.3389%2Ffphys.2025.1665383" TargetMode="External" Type="http://schemas.openxmlformats.org/officeDocument/2006/relationships/hyperlink"/><Relationship Id="rId834" Target="https%3A%2F%2Fwww.webofscience.com%2Fwos%2Fwoscc%2Ffull-record%2FWOS%3A001611722000001" TargetMode="External" Type="http://schemas.openxmlformats.org/officeDocument/2006/relationships/hyperlink"/><Relationship Id="rId835" Target="http%3A%2F%2Fdx.doi.org%2F10.3346%2Fjkms.2018.33.e152" TargetMode="External" Type="http://schemas.openxmlformats.org/officeDocument/2006/relationships/hyperlink"/><Relationship Id="rId836" Target="https%3A%2F%2Fwww.webofscience.com%2Fwos%2Fwoscc%2Ffull-record%2FWOS%3A000433234500001" TargetMode="External" Type="http://schemas.openxmlformats.org/officeDocument/2006/relationships/hyperlink"/><Relationship Id="rId837" Target="http%3A%2F%2Fdx.doi.org%2F10.3389%2Ffendo.2026.1821550" TargetMode="External" Type="http://schemas.openxmlformats.org/officeDocument/2006/relationships/hyperlink"/><Relationship Id="rId838" Target="https%3A%2F%2Fwww.webofscience.com%2Fwos%2Fwoscc%2Ffull-record%2FWOS%3A001784374900001" TargetMode="External" Type="http://schemas.openxmlformats.org/officeDocument/2006/relationships/hyperlink"/><Relationship Id="rId839" Target="http%3A%2F%2Fdx.doi.org%2F10.1016%2Fj.spinee.2024.02.010" TargetMode="External" Type="http://schemas.openxmlformats.org/officeDocument/2006/relationships/hyperlink"/><Relationship Id="rId84" Target="https%3A%2F%2Fwww.webofscience.com%2Fwos%2Fwoscc%2Ffull-record%2FWOS%3A001139907400005" TargetMode="External" Type="http://schemas.openxmlformats.org/officeDocument/2006/relationships/hyperlink"/><Relationship Id="rId840" Target="https%3A%2F%2Fwww.webofscience.com%2Fwos%2Fwoscc%2Ffull-record%2FWOS%3A001249218700001" TargetMode="External" Type="http://schemas.openxmlformats.org/officeDocument/2006/relationships/hyperlink"/><Relationship Id="rId841" Target="http%3A%2F%2Fdx.doi.org%2F10.21037%2Ftcr-2026-1-0341" TargetMode="External" Type="http://schemas.openxmlformats.org/officeDocument/2006/relationships/hyperlink"/><Relationship Id="rId842" Target="https%3A%2F%2Fwww.webofscience.com%2Fwos%2Fwoscc%2Ffull-record%2FWOS%3A001845941400024" TargetMode="External" Type="http://schemas.openxmlformats.org/officeDocument/2006/relationships/hyperlink"/><Relationship Id="rId843" Target="http%3A%2F%2Fdx.doi.org%2F10.3389%2Ffmed.2026.1894008" TargetMode="External" Type="http://schemas.openxmlformats.org/officeDocument/2006/relationships/hyperlink"/><Relationship Id="rId844" Target="https%3A%2F%2Fwww.webofscience.com%2Fwos%2Fwoscc%2Ffull-record%2FWOS%3A001838373400001" TargetMode="External" Type="http://schemas.openxmlformats.org/officeDocument/2006/relationships/hyperlink"/><Relationship Id="rId845" Target="http%3A%2F%2Fdx.doi.org%2F10.1016%2FS2589-7500%2824%2900088-8" TargetMode="External" Type="http://schemas.openxmlformats.org/officeDocument/2006/relationships/hyperlink"/><Relationship Id="rId846" Target="https%3A%2F%2Fwww.webofscience.com%2Fwos%2Fwoscc%2Ffull-record%2FWOS%3A001260289200001" TargetMode="External" Type="http://schemas.openxmlformats.org/officeDocument/2006/relationships/hyperlink"/><Relationship Id="rId847" Target="http%3A%2F%2Fdx.doi.org%2F10.1016%2FS2589-7500%2824%2900118-3" TargetMode="External" Type="http://schemas.openxmlformats.org/officeDocument/2006/relationships/hyperlink"/><Relationship Id="rId848" Target="https%3A%2F%2Fwww.webofscience.com%2Fwos%2Fwoscc%2Ffull-record%2FWOS%3A001301251100001" TargetMode="External" Type="http://schemas.openxmlformats.org/officeDocument/2006/relationships/hyperlink"/><Relationship Id="rId849" Target="http%3A%2F%2Fdx.doi.org%2F10.3390%2Fjcm15145375" TargetMode="External" Type="http://schemas.openxmlformats.org/officeDocument/2006/relationships/hyperlink"/><Relationship Id="rId85" Target="http%3A%2F%2Fdx.doi.org%2F10.1055%2Fa-2920-1072" TargetMode="External" Type="http://schemas.openxmlformats.org/officeDocument/2006/relationships/hyperlink"/><Relationship Id="rId850" Target="https%3A%2F%2Fwww.webofscience.com%2Fwos%2Fwoscc%2Ffull-record%2FWOS%3A001832169100001" TargetMode="External" Type="http://schemas.openxmlformats.org/officeDocument/2006/relationships/hyperlink"/><Relationship Id="rId851" Target="http%3A%2F%2Fdx.doi.org%2F10.1016%2Fj.modpat.2024.100496" TargetMode="External" Type="http://schemas.openxmlformats.org/officeDocument/2006/relationships/hyperlink"/><Relationship Id="rId852" Target="https%3A%2F%2Fwww.webofscience.com%2Fwos%2Fwoscc%2Ffull-record%2FWOS%3A001240535700001" TargetMode="External" Type="http://schemas.openxmlformats.org/officeDocument/2006/relationships/hyperlink"/><Relationship Id="rId853" Target="http%3A%2F%2Fdx.doi.org%2F10.21037%2Fgs-2025-35" TargetMode="External" Type="http://schemas.openxmlformats.org/officeDocument/2006/relationships/hyperlink"/><Relationship Id="rId854" Target="https%3A%2F%2Fwww.webofscience.com%2Fwos%2Fwoscc%2Ffull-record%2FWOS%3A001532526400008" TargetMode="External" Type="http://schemas.openxmlformats.org/officeDocument/2006/relationships/hyperlink"/><Relationship Id="rId855" Target="http%3A%2F%2Fdx.doi.org%2F10.1097%2FTP.0000000000004259" TargetMode="External" Type="http://schemas.openxmlformats.org/officeDocument/2006/relationships/hyperlink"/><Relationship Id="rId856" Target="https%3A%2F%2Fwww.webofscience.com%2Fwos%2Fwoscc%2Ffull-record%2FWOS%3A000862022400004" TargetMode="External" Type="http://schemas.openxmlformats.org/officeDocument/2006/relationships/hyperlink"/><Relationship Id="rId857" Target="http%3A%2F%2Fdx.doi.org%2F10.1002%2Fpsp4.12740" TargetMode="External" Type="http://schemas.openxmlformats.org/officeDocument/2006/relationships/hyperlink"/><Relationship Id="rId858" Target="https%3A%2F%2Fwww.webofscience.com%2Fwos%2Fwoscc%2Ffull-record%2FWOS%3A000728461200001" TargetMode="External" Type="http://schemas.openxmlformats.org/officeDocument/2006/relationships/hyperlink"/><Relationship Id="rId859" Target="http%3A%2F%2Fdx.doi.org%2F10.3389%2Ffonc.2025.1509170" TargetMode="External" Type="http://schemas.openxmlformats.org/officeDocument/2006/relationships/hyperlink"/><Relationship Id="rId86" Target="https%3A%2F%2Fwww.webofscience.com%2Fwos%2Fwoscc%2Ffull-record%2FWOS%3A001848230300001" TargetMode="External" Type="http://schemas.openxmlformats.org/officeDocument/2006/relationships/hyperlink"/><Relationship Id="rId860" Target="https%3A%2F%2Fwww.webofscience.com%2Fwos%2Fwoscc%2Ffull-record%2FWOS%3A001417725000001" TargetMode="External" Type="http://schemas.openxmlformats.org/officeDocument/2006/relationships/hyperlink"/><Relationship Id="rId861" Target="http%3A%2F%2Fdx.doi.org%2F10.3390%2Fantibiotics12121674" TargetMode="External" Type="http://schemas.openxmlformats.org/officeDocument/2006/relationships/hyperlink"/><Relationship Id="rId862" Target="https%3A%2F%2Fwww.webofscience.com%2Fwos%2Fwoscc%2Ffull-record%2FWOS%3A001130998400001" TargetMode="External" Type="http://schemas.openxmlformats.org/officeDocument/2006/relationships/hyperlink"/><Relationship Id="rId863" Target="http%3A%2F%2Fdx.doi.org%2F10.3390%2Fa18070432" TargetMode="External" Type="http://schemas.openxmlformats.org/officeDocument/2006/relationships/hyperlink"/><Relationship Id="rId864" Target="https%3A%2F%2Fwww.webofscience.com%2Fwos%2Fwoscc%2Ffull-record%2FWOS%3A001540811100001" TargetMode="External" Type="http://schemas.openxmlformats.org/officeDocument/2006/relationships/hyperlink"/><Relationship Id="rId865" Target="http%3A%2F%2Fdx.doi.org%2F10.1111%2Fjsr.70093" TargetMode="External" Type="http://schemas.openxmlformats.org/officeDocument/2006/relationships/hyperlink"/><Relationship Id="rId866" Target="https%3A%2F%2Fwww.webofscience.com%2Fwos%2Fwoscc%2Ffull-record%2FWOS%3A001484883200001" TargetMode="External" Type="http://schemas.openxmlformats.org/officeDocument/2006/relationships/hyperlink"/><Relationship Id="rId867" Target="http%3A%2F%2Fdx.doi.org%2F10.3389%2Ffneur.2026.1889258" TargetMode="External" Type="http://schemas.openxmlformats.org/officeDocument/2006/relationships/hyperlink"/><Relationship Id="rId868" Target="https%3A%2F%2Fwww.webofscience.com%2Fwos%2Fwoscc%2Ffull-record%2FWOS%3A001843310000001" TargetMode="External" Type="http://schemas.openxmlformats.org/officeDocument/2006/relationships/hyperlink"/><Relationship Id="rId869" Target="http%3A%2F%2Fdx.doi.org%2F10.3389%2Ffonc.2022.934291" TargetMode="External" Type="http://schemas.openxmlformats.org/officeDocument/2006/relationships/hyperlink"/><Relationship Id="rId87" Target="http%3A%2F%2Fdx.doi.org%2F10.1002%2Fohn.70153" TargetMode="External" Type="http://schemas.openxmlformats.org/officeDocument/2006/relationships/hyperlink"/><Relationship Id="rId870" Target="https%3A%2F%2Fwww.webofscience.com%2Fwos%2Fwoscc%2Ffull-record%2FWOS%3A000824519800001" TargetMode="External" Type="http://schemas.openxmlformats.org/officeDocument/2006/relationships/hyperlink"/><Relationship Id="rId871" Target="http%3A%2F%2Fdx.doi.org%2F10.2147%2FIJGM.S498407" TargetMode="External" Type="http://schemas.openxmlformats.org/officeDocument/2006/relationships/hyperlink"/><Relationship Id="rId872" Target="https%3A%2F%2Fwww.webofscience.com%2Fwos%2Fwoscc%2Ffull-record%2FWOS%3A001432701600001" TargetMode="External" Type="http://schemas.openxmlformats.org/officeDocument/2006/relationships/hyperlink"/><Relationship Id="rId873" Target="http%3A%2F%2Fdx.doi.org%2F10.1186%2Fs12911-025-03203-4" TargetMode="External" Type="http://schemas.openxmlformats.org/officeDocument/2006/relationships/hyperlink"/><Relationship Id="rId874" Target="https%3A%2F%2Fwww.webofscience.com%2Fwos%2Fwoscc%2Ffull-record%2FWOS%3A001589688600001" TargetMode="External" Type="http://schemas.openxmlformats.org/officeDocument/2006/relationships/hyperlink"/><Relationship Id="rId875" Target="http%3A%2F%2Fdx.doi.org%2F10.1016%2Fj.aohep.2024.101585" TargetMode="External" Type="http://schemas.openxmlformats.org/officeDocument/2006/relationships/hyperlink"/><Relationship Id="rId876" Target="https%3A%2F%2Fwww.webofscience.com%2Fwos%2Fwoscc%2Ffull-record%2FWOS%3A001350358500001" TargetMode="External" Type="http://schemas.openxmlformats.org/officeDocument/2006/relationships/hyperlink"/><Relationship Id="rId877" Target="http%3A%2F%2Fdx.doi.org%2F10.3389%2Ffcvm.2022.1035675" TargetMode="External" Type="http://schemas.openxmlformats.org/officeDocument/2006/relationships/hyperlink"/><Relationship Id="rId878" Target="https%3A%2F%2Fwww.webofscience.com%2Fwos%2Fwoscc%2Ffull-record%2FWOS%3A000885140400001" TargetMode="External" Type="http://schemas.openxmlformats.org/officeDocument/2006/relationships/hyperlink"/><Relationship Id="rId879" Target="http%3A%2F%2Fdx.doi.org%2F10.3758%2Fs13415-025-01268-2" TargetMode="External" Type="http://schemas.openxmlformats.org/officeDocument/2006/relationships/hyperlink"/><Relationship Id="rId88" Target="https%3A%2F%2Fwww.webofscience.com%2Fwos%2Fwoscc%2Ffull-record%2FWOS%3A001690794600001" TargetMode="External" Type="http://schemas.openxmlformats.org/officeDocument/2006/relationships/hyperlink"/><Relationship Id="rId880" Target="https%3A%2F%2Fwww.webofscience.com%2Fwos%2Fwoscc%2Ffull-record%2FWOS%3A001424193200001" TargetMode="External" Type="http://schemas.openxmlformats.org/officeDocument/2006/relationships/hyperlink"/><Relationship Id="rId881" Target="http%3A%2F%2Fdx.doi.org%2F10.3390%2Flife12040604" TargetMode="External" Type="http://schemas.openxmlformats.org/officeDocument/2006/relationships/hyperlink"/><Relationship Id="rId882" Target="https%3A%2F%2Fwww.webofscience.com%2Fwos%2Fwoscc%2Ffull-record%2FWOS%3A000785072100001" TargetMode="External" Type="http://schemas.openxmlformats.org/officeDocument/2006/relationships/hyperlink"/><Relationship Id="rId883" Target="http%3A%2F%2Fdx.doi.org%2F10.1016%2Fj.ijmedinf.2025.106000" TargetMode="External" Type="http://schemas.openxmlformats.org/officeDocument/2006/relationships/hyperlink"/><Relationship Id="rId884" Target="https%3A%2F%2Fwww.webofscience.com%2Fwos%2Fwoscc%2Ffull-record%2FWOS%3A001512872300001" TargetMode="External" Type="http://schemas.openxmlformats.org/officeDocument/2006/relationships/hyperlink"/><Relationship Id="rId885" Target="http%3A%2F%2Fdx.doi.org%2F10.3389%2Ffmed.2025.1717973" TargetMode="External" Type="http://schemas.openxmlformats.org/officeDocument/2006/relationships/hyperlink"/><Relationship Id="rId886" Target="https%3A%2F%2Fwww.webofscience.com%2Fwos%2Fwoscc%2Ffull-record%2FWOS%3A001677769100001" TargetMode="External" Type="http://schemas.openxmlformats.org/officeDocument/2006/relationships/hyperlink"/><Relationship Id="rId887" Target="http%3A%2F%2Fdx.doi.org%2F10.1177%2F10732748261419190" TargetMode="External" Type="http://schemas.openxmlformats.org/officeDocument/2006/relationships/hyperlink"/><Relationship Id="rId888" Target="https%3A%2F%2Fwww.webofscience.com%2Fwos%2Fwoscc%2Ffull-record%2FWOS%3A001665623200001" TargetMode="External" Type="http://schemas.openxmlformats.org/officeDocument/2006/relationships/hyperlink"/><Relationship Id="rId889" Target="http%3A%2F%2Fdx.doi.org%2F10.5005%2Fjp-journals-10071-25242" TargetMode="External" Type="http://schemas.openxmlformats.org/officeDocument/2006/relationships/hyperlink"/><Relationship Id="rId89" Target="http%3A%2F%2Fdx.doi.org%2F10.1016%2Fj.mcpdig.2025.100200" TargetMode="External" Type="http://schemas.openxmlformats.org/officeDocument/2006/relationships/hyperlink"/><Relationship Id="rId890" Target="https%3A%2F%2Fwww.webofscience.com%2Fwos%2Fwoscc%2Ffull-record%2FWOS%3A001838774000012" TargetMode="External" Type="http://schemas.openxmlformats.org/officeDocument/2006/relationships/hyperlink"/><Relationship Id="rId891" Target="http%3A%2F%2Fdx.doi.org%2F10.3390%2Fcancers18091453" TargetMode="External" Type="http://schemas.openxmlformats.org/officeDocument/2006/relationships/hyperlink"/><Relationship Id="rId892" Target="https%3A%2F%2Fwww.webofscience.com%2Fwos%2Fwoscc%2Ffull-record%2FWOS%3A001763289300001" TargetMode="External" Type="http://schemas.openxmlformats.org/officeDocument/2006/relationships/hyperlink"/><Relationship Id="rId893" Target="http%3A%2F%2Fdx.doi.org%2F10.1016%2Fj.brachy.2024.02.008" TargetMode="External" Type="http://schemas.openxmlformats.org/officeDocument/2006/relationships/hyperlink"/><Relationship Id="rId894" Target="https%3A%2F%2Fwww.webofscience.com%2Fwos%2Fwoscc%2Ffull-record%2FWOS%3A001241299700001" TargetMode="External" Type="http://schemas.openxmlformats.org/officeDocument/2006/relationships/hyperlink"/><Relationship Id="rId895" Target="http%3A%2F%2Fdx.doi.org%2F10.1016%2FS2589-7500%2822%2900129-7" TargetMode="External" Type="http://schemas.openxmlformats.org/officeDocument/2006/relationships/hyperlink"/><Relationship Id="rId896" Target="https%3A%2F%2Fwww.webofscience.com%2Fwos%2Fwoscc%2Ffull-record%2FWOS%3A000889422500007" TargetMode="External" Type="http://schemas.openxmlformats.org/officeDocument/2006/relationships/hyperlink"/><Relationship Id="rId897" Target="http%3A%2F%2Fdx.doi.org%2F10.1007%2Fs00384-026-05132-8" TargetMode="External" Type="http://schemas.openxmlformats.org/officeDocument/2006/relationships/hyperlink"/><Relationship Id="rId898" Target="https%3A%2F%2Fwww.webofscience.com%2Fwos%2Fwoscc%2Ffull-record%2FWOS%3A001796377600001" TargetMode="External" Type="http://schemas.openxmlformats.org/officeDocument/2006/relationships/hyperlink"/><Relationship Id="rId899" Target="http%3A%2F%2Fdx.doi.org%2F10.1007%2Fs40620-022-01335-8" TargetMode="External" Type="http://schemas.openxmlformats.org/officeDocument/2006/relationships/hyperlink"/><Relationship Id="rId9" Target="http%3A%2F%2Fdx.doi.org%2F10.1111%2Fepi.18082" TargetMode="External" Type="http://schemas.openxmlformats.org/officeDocument/2006/relationships/hyperlink"/><Relationship Id="rId90" Target="https%3A%2F%2Fwww.webofscience.com%2Fwos%2Fwoscc%2Ffull-record%2FWOS%3A001546393800008" TargetMode="External" Type="http://schemas.openxmlformats.org/officeDocument/2006/relationships/hyperlink"/><Relationship Id="rId900" Target="https%3A%2F%2Fwww.webofscience.com%2Fwos%2Fwoscc%2Ffull-record%2FWOS%3A000794115000001" TargetMode="External" Type="http://schemas.openxmlformats.org/officeDocument/2006/relationships/hyperlink"/><Relationship Id="rId901" Target="http%3A%2F%2Fdx.doi.org%2F10.1016%2FS2589-7500%2821%2900134-5" TargetMode="External" Type="http://schemas.openxmlformats.org/officeDocument/2006/relationships/hyperlink"/><Relationship Id="rId902" Target="https%3A%2F%2Fwww.webofscience.com%2Fwos%2Fwoscc%2Ffull-record%2FWOS%3A000704394700011" TargetMode="External" Type="http://schemas.openxmlformats.org/officeDocument/2006/relationships/hyperlink"/><Relationship Id="rId903" Target="http%3A%2F%2Fdx.doi.org%2F10.1177%2F08977151251408798" TargetMode="External" Type="http://schemas.openxmlformats.org/officeDocument/2006/relationships/hyperlink"/><Relationship Id="rId904" Target="https%3A%2F%2Fwww.webofscience.com%2Fwos%2Fwoscc%2Ffull-record%2FWOS%3A001693342300001" TargetMode="External" Type="http://schemas.openxmlformats.org/officeDocument/2006/relationships/hyperlink"/><Relationship Id="rId905" Target="http%3A%2F%2Fdx.doi.org%2F10.2967%2Fjnumed.124.269234" TargetMode="External" Type="http://schemas.openxmlformats.org/officeDocument/2006/relationships/hyperlink"/><Relationship Id="rId906" Target="https%3A%2F%2Fwww.webofscience.com%2Fwos%2Fwoscc%2Ffull-record%2FWOS%3A001567701600017" TargetMode="External" Type="http://schemas.openxmlformats.org/officeDocument/2006/relationships/hyperlink"/><Relationship Id="rId907" Target="http%3A%2F%2Fdx.doi.org%2F10.1148%2Frycan.240050" TargetMode="External" Type="http://schemas.openxmlformats.org/officeDocument/2006/relationships/hyperlink"/><Relationship Id="rId908" Target="https%3A%2F%2Fwww.webofscience.com%2Fwos%2Fwoscc%2Ffull-record%2FWOS%3A001412129200013" TargetMode="External" Type="http://schemas.openxmlformats.org/officeDocument/2006/relationships/hyperlink"/><Relationship Id="rId909" Target="http%3A%2F%2Fdx.doi.org%2F10.3390%2Ftechnologies13100447" TargetMode="External" Type="http://schemas.openxmlformats.org/officeDocument/2006/relationships/hyperlink"/><Relationship Id="rId91" Target="http%3A%2F%2Fdx.doi.org%2F10.1037%2Fcns0000447" TargetMode="External" Type="http://schemas.openxmlformats.org/officeDocument/2006/relationships/hyperlink"/><Relationship Id="rId910" Target="https%3A%2F%2Fwww.webofscience.com%2Fwos%2Fwoscc%2Ffull-record%2FWOS%3A001604478800001" TargetMode="External" Type="http://schemas.openxmlformats.org/officeDocument/2006/relationships/hyperlink"/><Relationship Id="rId911" Target="http%3A%2F%2Fdx.doi.org%2F10.1097%2FCORR.0000000000002612" TargetMode="External" Type="http://schemas.openxmlformats.org/officeDocument/2006/relationships/hyperlink"/><Relationship Id="rId912" Target="https%3A%2F%2Fwww.webofscience.com%2Fwos%2Fwoscc%2Ffull-record%2FWOS%3A001052335400031" TargetMode="External" Type="http://schemas.openxmlformats.org/officeDocument/2006/relationships/hyperlink"/><Relationship Id="rId913" Target="http%3A%2F%2Fdx.doi.org%2F10.1186%2Fs12876-025-04045-0" TargetMode="External" Type="http://schemas.openxmlformats.org/officeDocument/2006/relationships/hyperlink"/><Relationship Id="rId914" Target="https%3A%2F%2Fwww.webofscience.com%2Fwos%2Fwoscc%2Ffull-record%2FWOS%3A001522897000037" TargetMode="External" Type="http://schemas.openxmlformats.org/officeDocument/2006/relationships/hyperlink"/><Relationship Id="rId915" Target="http%3A%2F%2Fdx.doi.org%2F10.3174%2Fajnr.A9112" TargetMode="External" Type="http://schemas.openxmlformats.org/officeDocument/2006/relationships/hyperlink"/><Relationship Id="rId916" Target="https%3A%2F%2Fwww.webofscience.com%2Fwos%2Fwoscc%2Ffull-record%2FWOS%3A001748767400001" TargetMode="External" Type="http://schemas.openxmlformats.org/officeDocument/2006/relationships/hyperlink"/><Relationship Id="rId917" Target="http%3A%2F%2Fdx.doi.org%2F10.1055%2Fa-2189-7036" TargetMode="External" Type="http://schemas.openxmlformats.org/officeDocument/2006/relationships/hyperlink"/><Relationship Id="rId918" Target="https%3A%2F%2Fwww.webofscience.com%2Fwos%2Fwoscc%2Ffull-record%2FWOS%3A001179168200002" TargetMode="External" Type="http://schemas.openxmlformats.org/officeDocument/2006/relationships/hyperlink"/><Relationship Id="rId919" Target="http%3A%2F%2Fdx.doi.org%2F10.1158%2F1078-0432.CCR-20-3159" TargetMode="External" Type="http://schemas.openxmlformats.org/officeDocument/2006/relationships/hyperlink"/><Relationship Id="rId92" Target="https%3A%2F%2Fwww.webofscience.com%2Fwos%2Fwoscc%2Ffull-record%2FWOS%3A001606610300001" TargetMode="External" Type="http://schemas.openxmlformats.org/officeDocument/2006/relationships/hyperlink"/><Relationship Id="rId920" Target="https%3A%2F%2Fwww.webofscience.com%2Fwos%2Fwoscc%2Ffull-record%2FWOS%3A000617323900008" TargetMode="External" Type="http://schemas.openxmlformats.org/officeDocument/2006/relationships/hyperlink"/><Relationship Id="rId921" Target="http%3A%2F%2Fdx.doi.org%2F10.1038%2Fs41379-022-01077-9" TargetMode="External" Type="http://schemas.openxmlformats.org/officeDocument/2006/relationships/hyperlink"/><Relationship Id="rId922" Target="https%3A%2F%2Fwww.webofscience.com%2Fwos%2Fwoscc%2Ffull-record%2FWOS%3A000788977700001" TargetMode="External" Type="http://schemas.openxmlformats.org/officeDocument/2006/relationships/hyperlink"/><Relationship Id="rId923" Target="http%3A%2F%2Fdx.doi.org%2F10.1080%2F02688697.2026.2630840" TargetMode="External" Type="http://schemas.openxmlformats.org/officeDocument/2006/relationships/hyperlink"/><Relationship Id="rId924" Target="https%3A%2F%2Fwww.webofscience.com%2Fwos%2Fwoscc%2Ffull-record%2FWOS%3A001693351400001" TargetMode="External" Type="http://schemas.openxmlformats.org/officeDocument/2006/relationships/hyperlink"/><Relationship Id="rId925" Target="http%3A%2F%2Fdx.doi.org%2F10.3390%2Fijms23137132" TargetMode="External" Type="http://schemas.openxmlformats.org/officeDocument/2006/relationships/hyperlink"/><Relationship Id="rId926" Target="https%3A%2F%2Fwww.webofscience.com%2Fwos%2Fwoscc%2Ffull-record%2FWOS%3A000824277500001" TargetMode="External" Type="http://schemas.openxmlformats.org/officeDocument/2006/relationships/hyperlink"/><Relationship Id="rId927" Target="http%3A%2F%2Fdx.doi.org%2F10.3389%2Ffnins.2026.1867831" TargetMode="External" Type="http://schemas.openxmlformats.org/officeDocument/2006/relationships/hyperlink"/><Relationship Id="rId928" Target="https%3A%2F%2Fwww.webofscience.com%2Fwos%2Fwoscc%2Ffull-record%2FWOS%3A001821084600001" TargetMode="External" Type="http://schemas.openxmlformats.org/officeDocument/2006/relationships/hyperlink"/><Relationship Id="rId929" Target="http%3A%2F%2Fdx.doi.org%2F10.1038%2Fs41598-025-85420-5" TargetMode="External" Type="http://schemas.openxmlformats.org/officeDocument/2006/relationships/hyperlink"/><Relationship Id="rId93" Target="http%3A%2F%2Fdx.doi.org%2F10.1016%2Fj.ijhydene.2024.10.339" TargetMode="External" Type="http://schemas.openxmlformats.org/officeDocument/2006/relationships/hyperlink"/><Relationship Id="rId930" Target="https%3A%2F%2Fwww.webofscience.com%2Fwos%2Fwoscc%2Ffull-record%2FWOS%3A001393108700002" TargetMode="External" Type="http://schemas.openxmlformats.org/officeDocument/2006/relationships/hyperlink"/><Relationship Id="rId931" Target="http%3A%2F%2Fdx.doi.org%2F10.2147%2FCOPD.S602126" TargetMode="External" Type="http://schemas.openxmlformats.org/officeDocument/2006/relationships/hyperlink"/><Relationship Id="rId932" Target="https%3A%2F%2Fwww.webofscience.com%2Fwos%2Fwoscc%2Ffull-record%2FWOS%3A001761542100001" TargetMode="External" Type="http://schemas.openxmlformats.org/officeDocument/2006/relationships/hyperlink"/><Relationship Id="rId933" Target="http%3A%2F%2Fdx.doi.org%2F10.1007%2Fs00701-026-07005-z" TargetMode="External" Type="http://schemas.openxmlformats.org/officeDocument/2006/relationships/hyperlink"/><Relationship Id="rId934" Target="https%3A%2F%2Fwww.webofscience.com%2Fwos%2Fwoscc%2Ffull-record%2FWOS%3A001853143100001" TargetMode="External" Type="http://schemas.openxmlformats.org/officeDocument/2006/relationships/hyperlink"/><Relationship Id="rId935" Target="http%3A%2F%2Fdx.doi.org%2F10.1016%2Fj.ijmedinf.2025.105813" TargetMode="External" Type="http://schemas.openxmlformats.org/officeDocument/2006/relationships/hyperlink"/><Relationship Id="rId936" Target="https%3A%2F%2Fwww.webofscience.com%2Fwos%2Fwoscc%2Ffull-record%2FWOS%3A001422539400001" TargetMode="External" Type="http://schemas.openxmlformats.org/officeDocument/2006/relationships/hyperlink"/><Relationship Id="rId937" Target="http%3A%2F%2Fdx.doi.org%2F10.3389%2Ffneur.2024.1341252" TargetMode="External" Type="http://schemas.openxmlformats.org/officeDocument/2006/relationships/hyperlink"/><Relationship Id="rId938" Target="https%3A%2F%2Fwww.webofscience.com%2Fwos%2Fwoscc%2Ffull-record%2FWOS%3A001209384400001" TargetMode="External" Type="http://schemas.openxmlformats.org/officeDocument/2006/relationships/hyperlink"/><Relationship Id="rId939" Target="http%3A%2F%2Fdx.doi.org%2F10.1200%2FCCI.20.00128" TargetMode="External" Type="http://schemas.openxmlformats.org/officeDocument/2006/relationships/hyperlink"/><Relationship Id="rId94" Target="https%3A%2F%2Fwww.webofscience.com%2Fwos%2Fwoscc%2Ffull-record%2FWOS%3A001350291400001" TargetMode="External" Type="http://schemas.openxmlformats.org/officeDocument/2006/relationships/hyperlink"/><Relationship Id="rId940" Target="https%3A%2F%2Fwww.webofscience.com%2Fwos%2Fwoscc%2Ffull-record%2FWOS%3A000838577700010" TargetMode="External" Type="http://schemas.openxmlformats.org/officeDocument/2006/relationships/hyperlink"/><Relationship Id="rId941" Target="http%3A%2F%2Fdx.doi.org%2F10.1186%2Fs12911-025-03325-9" TargetMode="External" Type="http://schemas.openxmlformats.org/officeDocument/2006/relationships/hyperlink"/><Relationship Id="rId942" Target="https%3A%2F%2Fwww.webofscience.com%2Fwos%2Fwoscc%2Ffull-record%2FWOS%3A001676564700001" TargetMode="External" Type="http://schemas.openxmlformats.org/officeDocument/2006/relationships/hyperlink"/><Relationship Id="rId943" Target="http%3A%2F%2Fdx.doi.org%2F10.3390%2Fcancers17233820" TargetMode="External" Type="http://schemas.openxmlformats.org/officeDocument/2006/relationships/hyperlink"/><Relationship Id="rId944" Target="https%3A%2F%2Fwww.webofscience.com%2Fwos%2Fwoscc%2Ffull-record%2FWOS%3A001635344900001" TargetMode="External" Type="http://schemas.openxmlformats.org/officeDocument/2006/relationships/hyperlink"/><Relationship Id="rId945" Target="http%3A%2F%2Fdx.doi.org%2F10.1016%2Fj.ijcard.2026.134702" TargetMode="External" Type="http://schemas.openxmlformats.org/officeDocument/2006/relationships/hyperlink"/><Relationship Id="rId946" Target="https%3A%2F%2Fwww.webofscience.com%2Fwos%2Fwoscc%2Ffull-record%2FWOS%3A001840133800001" TargetMode="External" Type="http://schemas.openxmlformats.org/officeDocument/2006/relationships/hyperlink"/><Relationship Id="rId947" Target="http%3A%2F%2Fdx.doi.org%2F10.7759%2Fcureus.65442" TargetMode="External" Type="http://schemas.openxmlformats.org/officeDocument/2006/relationships/hyperlink"/><Relationship Id="rId948" Target="https%3A%2F%2Fwww.webofscience.com%2Fwos%2Fwoscc%2Ffull-record%2FWOS%3A001280402100012" TargetMode="External" Type="http://schemas.openxmlformats.org/officeDocument/2006/relationships/hyperlink"/><Relationship Id="rId949" Target="https%3A%2F%2Fwww.webofscience.com%2Fwos%2Fwoscc%2Ffull-record%2FWOS%3A000562799500010" TargetMode="External" Type="http://schemas.openxmlformats.org/officeDocument/2006/relationships/hyperlink"/><Relationship Id="rId95" Target="http%3A%2F%2Fdx.doi.org%2F10.1016%2Fj.ekir.2022.05.004" TargetMode="External" Type="http://schemas.openxmlformats.org/officeDocument/2006/relationships/hyperlink"/><Relationship Id="rId950" Target="http%3A%2F%2Fdx.doi.org%2F10.3390%2Fdiagnostics16131996" TargetMode="External" Type="http://schemas.openxmlformats.org/officeDocument/2006/relationships/hyperlink"/><Relationship Id="rId951" Target="https%3A%2F%2Fwww.webofscience.com%2Fwos%2Fwoscc%2Ffull-record%2FWOS%3A001817980800001" TargetMode="External" Type="http://schemas.openxmlformats.org/officeDocument/2006/relationships/hyperlink"/><Relationship Id="rId952" Target="http%3A%2F%2Fdx.doi.org%2F10.1016%2Fj.euf.2024.06.004" TargetMode="External" Type="http://schemas.openxmlformats.org/officeDocument/2006/relationships/hyperlink"/><Relationship Id="rId953" Target="https%3A%2F%2Fwww.webofscience.com%2Fwos%2Fwoscc%2Ffull-record%2FWOS%3A001430160400001" TargetMode="External" Type="http://schemas.openxmlformats.org/officeDocument/2006/relationships/hyperlink"/><Relationship Id="rId954" Target="http%3A%2F%2Fdx.doi.org%2F10.1136%2Fbmjinnov-2025-001511" TargetMode="External" Type="http://schemas.openxmlformats.org/officeDocument/2006/relationships/hyperlink"/><Relationship Id="rId955" Target="https%3A%2F%2Fwww.webofscience.com%2Fwos%2Fwoscc%2Ffull-record%2FWOS%3A001775072000001" TargetMode="External" Type="http://schemas.openxmlformats.org/officeDocument/2006/relationships/hyperlink"/><Relationship Id="rId956" Target="http%3A%2F%2Fdx.doi.org%2F10.1016%2Fj.rmed.2018.04.003" TargetMode="External" Type="http://schemas.openxmlformats.org/officeDocument/2006/relationships/hyperlink"/><Relationship Id="rId957" Target="https%3A%2F%2Fwww.webofscience.com%2Fwos%2Fwoscc%2Ffull-record%2FWOS%3A000432442400022" TargetMode="External" Type="http://schemas.openxmlformats.org/officeDocument/2006/relationships/hyperlink"/><Relationship Id="rId958" Target="http%3A%2F%2Fdx.doi.org%2F10.1227%2Fneu.0000000000001967" TargetMode="External" Type="http://schemas.openxmlformats.org/officeDocument/2006/relationships/hyperlink"/><Relationship Id="rId959" Target="https%3A%2F%2Fwww.webofscience.com%2Fwos%2Fwoscc%2Ffull-record%2FWOS%3A000957534300021" TargetMode="External" Type="http://schemas.openxmlformats.org/officeDocument/2006/relationships/hyperlink"/><Relationship Id="rId96" Target="https%3A%2F%2Fwww.webofscience.com%2Fwos%2Fwoscc%2Ffull-record%2FWOS%3A000850447200006" TargetMode="External" Type="http://schemas.openxmlformats.org/officeDocument/2006/relationships/hyperlink"/><Relationship Id="rId960" Target="http%3A%2F%2Fdx.doi.org%2F10.3389%2Ffendo.2026.1830594" TargetMode="External" Type="http://schemas.openxmlformats.org/officeDocument/2006/relationships/hyperlink"/><Relationship Id="rId961" Target="https%3A%2F%2Fwww.webofscience.com%2Fwos%2Fwoscc%2Ffull-record%2FWOS%3A001777500900001" TargetMode="External" Type="http://schemas.openxmlformats.org/officeDocument/2006/relationships/hyperlink"/><Relationship Id="rId962" Target="http%3A%2F%2Fdx.doi.org%2F10.1038%2Fs41598-022-22233-w" TargetMode="External" Type="http://schemas.openxmlformats.org/officeDocument/2006/relationships/hyperlink"/><Relationship Id="rId963" Target="https%3A%2F%2Fwww.webofscience.com%2Fwos%2Fwoscc%2Ffull-record%2FWOS%3A000870427800012" TargetMode="External" Type="http://schemas.openxmlformats.org/officeDocument/2006/relationships/hyperlink"/><Relationship Id="rId964" Target="http%3A%2F%2Fdx.doi.org%2F10.1038%2Fs41390-026-04878-9" TargetMode="External" Type="http://schemas.openxmlformats.org/officeDocument/2006/relationships/hyperlink"/><Relationship Id="rId965" Target="https%3A%2F%2Fwww.webofscience.com%2Fwos%2Fwoscc%2Ffull-record%2FWOS%3A001720678900001" TargetMode="External" Type="http://schemas.openxmlformats.org/officeDocument/2006/relationships/hyperlink"/><Relationship Id="rId966" Target="http%3A%2F%2Fdx.doi.org%2F10.1093%2Fehjacc%2Fzuae037" TargetMode="External" Type="http://schemas.openxmlformats.org/officeDocument/2006/relationships/hyperlink"/><Relationship Id="rId967" Target="https%3A%2F%2Fwww.webofscience.com%2Fwos%2Fwoscc%2Ffull-record%2FWOS%3A001198170700001" TargetMode="External" Type="http://schemas.openxmlformats.org/officeDocument/2006/relationships/hyperlink"/><Relationship Id="rId968" Target="http%3A%2F%2Fdx.doi.org%2F10.1038%2Fs41598-026-53712-z" TargetMode="External" Type="http://schemas.openxmlformats.org/officeDocument/2006/relationships/hyperlink"/><Relationship Id="rId969" Target="https%3A%2F%2Fwww.webofscience.com%2Fwos%2Fwoscc%2Ffull-record%2FWOS%3A001839654500010" TargetMode="External" Type="http://schemas.openxmlformats.org/officeDocument/2006/relationships/hyperlink"/><Relationship Id="rId97" Target="http%3A%2F%2Fdx.doi.org%2F10.1038%2Fs41746-026-02384-0" TargetMode="External" Type="http://schemas.openxmlformats.org/officeDocument/2006/relationships/hyperlink"/><Relationship Id="rId970" Target="http%3A%2F%2Fdx.doi.org%2F10.1097%2FMD.0000000000048671" TargetMode="External" Type="http://schemas.openxmlformats.org/officeDocument/2006/relationships/hyperlink"/><Relationship Id="rId971" Target="https%3A%2F%2Fwww.webofscience.com%2Fwos%2Fwoscc%2Ffull-record%2FWOS%3A001768890900025" TargetMode="External" Type="http://schemas.openxmlformats.org/officeDocument/2006/relationships/hyperlink"/><Relationship Id="rId972" Target="http%3A%2F%2Fdx.doi.org%2F10.1111%2Fjocn.17518" TargetMode="External" Type="http://schemas.openxmlformats.org/officeDocument/2006/relationships/hyperlink"/><Relationship Id="rId973" Target="https%3A%2F%2Fwww.webofscience.com%2Fwos%2Fwoscc%2Ffull-record%2FWOS%3A001343891900001" TargetMode="External" Type="http://schemas.openxmlformats.org/officeDocument/2006/relationships/hyperlink"/><Relationship Id="rId974" Target="http%3A%2F%2Fdx.doi.org%2F10.3390%2Fjcm15020664" TargetMode="External" Type="http://schemas.openxmlformats.org/officeDocument/2006/relationships/hyperlink"/><Relationship Id="rId975" Target="https%3A%2F%2Fwww.webofscience.com%2Fwos%2Fwoscc%2Ffull-record%2FWOS%3A001670683400001" TargetMode="External" Type="http://schemas.openxmlformats.org/officeDocument/2006/relationships/hyperlink"/><Relationship Id="rId976" Target="http%3A%2F%2Fdx.doi.org%2F10.1186%2Fs40001-026-04856-1" TargetMode="External" Type="http://schemas.openxmlformats.org/officeDocument/2006/relationships/hyperlink"/><Relationship Id="rId977" Target="https%3A%2F%2Fwww.webofscience.com%2Fwos%2Fwoscc%2Ffull-record%2FWOS%3A001843873800001" TargetMode="External" Type="http://schemas.openxmlformats.org/officeDocument/2006/relationships/hyperlink"/><Relationship Id="rId978" Target="http%3A%2F%2Fdx.doi.org%2F10.1186%2Fs12911-025-03054-z" TargetMode="External" Type="http://schemas.openxmlformats.org/officeDocument/2006/relationships/hyperlink"/><Relationship Id="rId979" Target="https%3A%2F%2Fwww.webofscience.com%2Fwos%2Fwoscc%2Ffull-record%2FWOS%3A001522738800002" TargetMode="External" Type="http://schemas.openxmlformats.org/officeDocument/2006/relationships/hyperlink"/><Relationship Id="rId98" Target="https%3A%2F%2Fwww.webofscience.com%2Fwos%2Fwoscc%2Ffull-record%2FWOS%3A001812075400001" TargetMode="External" Type="http://schemas.openxmlformats.org/officeDocument/2006/relationships/hyperlink"/><Relationship Id="rId980" Target="http%3A%2F%2Fdx.doi.org%2F10.1016%2Fj.arth.2023.01.065" TargetMode="External" Type="http://schemas.openxmlformats.org/officeDocument/2006/relationships/hyperlink"/><Relationship Id="rId981" Target="https%3A%2F%2Fwww.webofscience.com%2Fwos%2Fwoscc%2Ffull-record%2FWOS%3A001079407200001" TargetMode="External" Type="http://schemas.openxmlformats.org/officeDocument/2006/relationships/hyperlink"/><Relationship Id="rId982" Target="http%3A%2F%2Fdx.doi.org%2F10.1016%2Fj.jjcc.2021.06.002" TargetMode="External" Type="http://schemas.openxmlformats.org/officeDocument/2006/relationships/hyperlink"/><Relationship Id="rId983" Target="https%3A%2F%2Fwww.webofscience.com%2Fwos%2Fwoscc%2Ffull-record%2FWOS%3A000703444100013" TargetMode="External" Type="http://schemas.openxmlformats.org/officeDocument/2006/relationships/hyperlink"/><Relationship Id="rId984" Target="http%3A%2F%2Fdx.doi.org%2F10.2196%2F20641" TargetMode="External" Type="http://schemas.openxmlformats.org/officeDocument/2006/relationships/hyperlink"/><Relationship Id="rId985" Target="https%3A%2F%2Fwww.webofscience.com%2Fwos%2Fwoscc%2Ffull-record%2FWOS%3A000599145000004" TargetMode="External" Type="http://schemas.openxmlformats.org/officeDocument/2006/relationships/hyperlink"/><Relationship Id="rId986" Target="http%3A%2F%2Fdx.doi.org%2F10.1016%2Fj.spinee.2021.03.026" TargetMode="External" Type="http://schemas.openxmlformats.org/officeDocument/2006/relationships/hyperlink"/><Relationship Id="rId987" Target="https%3A%2F%2Fwww.webofscience.com%2Fwos%2Fwoscc%2Ffull-record%2FWOS%3A000704865800013" TargetMode="External" Type="http://schemas.openxmlformats.org/officeDocument/2006/relationships/hyperlink"/><Relationship Id="rId988" Target="http%3A%2F%2Fdx.doi.org%2F10.1177%2F0963689720969176" TargetMode="External" Type="http://schemas.openxmlformats.org/officeDocument/2006/relationships/hyperlink"/><Relationship Id="rId989" Target="https%3A%2F%2Fwww.webofscience.com%2Fwos%2Fwoscc%2Ffull-record%2FWOS%3A000625027300001" TargetMode="External" Type="http://schemas.openxmlformats.org/officeDocument/2006/relationships/hyperlink"/><Relationship Id="rId99" Target="http%3A%2F%2Fdx.doi.org%2F10.1186%2Fs13722-021-00229-7" TargetMode="External" Type="http://schemas.openxmlformats.org/officeDocument/2006/relationships/hyperlink"/><Relationship Id="rId990" Target="http%3A%2F%2Fdx.doi.org%2F10.3390%2Fijms27114696" TargetMode="External" Type="http://schemas.openxmlformats.org/officeDocument/2006/relationships/hyperlink"/><Relationship Id="rId991" Target="https%3A%2F%2Fwww.webofscience.com%2Fwos%2Fwoscc%2Ffull-record%2FWOS%3A001789998300001" TargetMode="External" Type="http://schemas.openxmlformats.org/officeDocument/2006/relationships/hyperlink"/><Relationship Id="rId992" Target="http%3A%2F%2Fdx.doi.org%2F10.3389%2Ffmed.2026.1801737" TargetMode="External" Type="http://schemas.openxmlformats.org/officeDocument/2006/relationships/hyperlink"/><Relationship Id="rId993" Target="https%3A%2F%2Fwww.webofscience.com%2Fwos%2Fwoscc%2Ffull-record%2FWOS%3A001773801700001" TargetMode="External" Type="http://schemas.openxmlformats.org/officeDocument/2006/relationships/hyperlink"/><Relationship Id="rId994" Target="http%3A%2F%2Fdx.doi.org%2F10.1002%2Facm2.13609" TargetMode="External" Type="http://schemas.openxmlformats.org/officeDocument/2006/relationships/hyperlink"/><Relationship Id="rId995" Target="https%3A%2F%2Fwww.webofscience.com%2Fwos%2Fwoscc%2Ffull-record%2FWOS%3A000785953800001" TargetMode="External" Type="http://schemas.openxmlformats.org/officeDocument/2006/relationships/hyperlink"/><Relationship Id="rId996" Target="http%3A%2F%2Fdx.doi.org%2F10.1186%2Fs13054-019-2563-x" TargetMode="External" Type="http://schemas.openxmlformats.org/officeDocument/2006/relationships/hyperlink"/><Relationship Id="rId997" Target="https%3A%2F%2Fwww.webofscience.com%2Fwos%2Fwoscc%2Ffull-record%2FWOS%3A000481747000002" TargetMode="External" Type="http://schemas.openxmlformats.org/officeDocument/2006/relationships/hyperlink"/><Relationship Id="rId998" Target="http%3A%2F%2Fdx.doi.org%2F10.24820%2Fark.5550190.p011.304" TargetMode="External" Type="http://schemas.openxmlformats.org/officeDocument/2006/relationships/hyperlink"/><Relationship Id="rId999" Target="https%3A%2F%2Fwww.webofscience.com%2Fwos%2Fwoscc%2Ffull-record%2FWOS%3A000607183100003"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pageSetUpPr fitToPage="true" autoPageBreaks="true"/>
  </sheetPr>
  <dimension ref="A1:BY668"/>
  <sheetViews>
    <sheetView workbookViewId="0" tabSelected="true">
      <pane ySplit="1.0" state="frozen" topLeftCell="A2" activePane="bottomLeft"/>
      <selection pane="bottomLeft"/>
    </sheetView>
  </sheetViews>
  <sheetFormatPr defaultRowHeight="15.0"/>
  <sheetData>
    <row r="1">
      <c r="A1" t="s" s="0">
        <v>0</v>
      </c>
      <c r="B1" t="s" s="0">
        <v>1</v>
      </c>
      <c r="C1" t="s" s="0">
        <v>2</v>
      </c>
      <c r="D1" t="s" s="0">
        <v>3</v>
      </c>
      <c r="E1" t="s" s="0">
        <v>4</v>
      </c>
      <c r="F1" t="s" s="0">
        <v>5</v>
      </c>
      <c r="G1" t="s" s="0">
        <v>6</v>
      </c>
      <c r="H1" t="s" s="0">
        <v>7</v>
      </c>
      <c r="I1" t="s" s="0">
        <v>8</v>
      </c>
      <c r="J1" t="s" s="0">
        <v>9</v>
      </c>
      <c r="K1" t="s" s="0">
        <v>10</v>
      </c>
      <c r="L1" t="s" s="0">
        <v>11</v>
      </c>
      <c r="M1" t="s" s="0">
        <v>12</v>
      </c>
      <c r="N1" t="s" s="0">
        <v>13</v>
      </c>
      <c r="O1" t="s" s="0">
        <v>14</v>
      </c>
      <c r="P1" t="s" s="0">
        <v>15</v>
      </c>
      <c r="Q1" t="s" s="0">
        <v>16</v>
      </c>
      <c r="R1" t="s" s="0">
        <v>17</v>
      </c>
      <c r="S1" t="s" s="0">
        <v>18</v>
      </c>
      <c r="T1" t="s" s="0">
        <v>19</v>
      </c>
      <c r="U1" t="s" s="0">
        <v>20</v>
      </c>
      <c r="V1" t="s" s="0">
        <v>21</v>
      </c>
      <c r="W1" t="s" s="0">
        <v>22</v>
      </c>
      <c r="X1" t="s" s="0">
        <v>23</v>
      </c>
      <c r="Y1" t="s" s="0">
        <v>24</v>
      </c>
      <c r="Z1" t="s" s="0">
        <v>25</v>
      </c>
      <c r="AA1" t="s" s="0">
        <v>26</v>
      </c>
      <c r="AB1" t="s" s="0">
        <v>27</v>
      </c>
      <c r="AC1" t="s" s="0">
        <v>28</v>
      </c>
      <c r="AD1" t="s" s="0">
        <v>29</v>
      </c>
      <c r="AE1" t="s" s="0">
        <v>30</v>
      </c>
      <c r="AF1" t="s" s="0">
        <v>31</v>
      </c>
      <c r="AG1" t="s" s="0">
        <v>32</v>
      </c>
      <c r="AH1" t="s" s="0">
        <v>33</v>
      </c>
      <c r="AI1" t="s" s="0">
        <v>34</v>
      </c>
      <c r="AJ1" t="s" s="0">
        <v>35</v>
      </c>
      <c r="AK1" t="s" s="0">
        <v>36</v>
      </c>
      <c r="AL1" t="s" s="0">
        <v>37</v>
      </c>
      <c r="AM1" t="s" s="0">
        <v>38</v>
      </c>
      <c r="AN1" t="s" s="0">
        <v>39</v>
      </c>
      <c r="AO1" t="s" s="0">
        <v>40</v>
      </c>
      <c r="AP1" t="s" s="0">
        <v>41</v>
      </c>
      <c r="AQ1" t="s" s="0">
        <v>42</v>
      </c>
      <c r="AR1" t="s" s="0">
        <v>43</v>
      </c>
      <c r="AS1" t="s" s="0">
        <v>44</v>
      </c>
      <c r="AT1" t="s" s="0">
        <v>45</v>
      </c>
      <c r="AU1" t="s" s="0">
        <v>46</v>
      </c>
      <c r="AV1" t="s" s="0">
        <v>47</v>
      </c>
      <c r="AW1" t="s" s="0">
        <v>48</v>
      </c>
      <c r="AX1" t="s" s="0">
        <v>49</v>
      </c>
      <c r="AY1" t="s" s="0">
        <v>50</v>
      </c>
      <c r="AZ1" t="s" s="0">
        <v>51</v>
      </c>
      <c r="BA1" t="s" s="0">
        <v>52</v>
      </c>
      <c r="BB1" t="s" s="0">
        <v>53</v>
      </c>
      <c r="BC1" t="s" s="0">
        <v>54</v>
      </c>
      <c r="BD1" t="s" s="0">
        <v>55</v>
      </c>
      <c r="BE1" t="s" s="0">
        <v>56</v>
      </c>
      <c r="BF1" t="s" s="0">
        <v>57</v>
      </c>
      <c r="BG1" t="s" s="0">
        <v>58</v>
      </c>
      <c r="BH1" t="s" s="0">
        <v>59</v>
      </c>
      <c r="BI1" t="s" s="0">
        <v>60</v>
      </c>
      <c r="BJ1" t="s" s="0">
        <v>61</v>
      </c>
      <c r="BK1" t="s" s="0">
        <v>62</v>
      </c>
      <c r="BL1" t="s" s="0">
        <v>63</v>
      </c>
      <c r="BM1" t="s" s="0">
        <v>64</v>
      </c>
      <c r="BN1" t="s" s="0">
        <v>65</v>
      </c>
      <c r="BO1" t="s" s="0">
        <v>66</v>
      </c>
      <c r="BP1" t="s" s="0">
        <v>67</v>
      </c>
      <c r="BQ1" t="s" s="0">
        <v>68</v>
      </c>
      <c r="BR1" t="s" s="0">
        <v>69</v>
      </c>
      <c r="BS1" t="s" s="0">
        <v>70</v>
      </c>
      <c r="BT1" t="s" s="0">
        <v>71</v>
      </c>
      <c r="BU1" t="s" s="0">
        <v>72</v>
      </c>
      <c r="BV1" t="s" s="0">
        <v>73</v>
      </c>
      <c r="BW1" t="s" s="0">
        <v>74</v>
      </c>
      <c r="BX1" t="s" s="0">
        <v>75</v>
      </c>
      <c r="BY1" t="s" s="0">
        <v>76</v>
      </c>
    </row>
    <row r="2">
      <c r="A2" t="s" s="0">
        <v>77</v>
      </c>
      <c r="B2" t="s" s="0">
        <v>78</v>
      </c>
      <c r="C2" t="s" s="0">
        <v>77</v>
      </c>
      <c r="D2" t="s" s="0">
        <v>78</v>
      </c>
      <c r="E2" t="s" s="0">
        <v>79</v>
      </c>
      <c r="F2" t="s" s="0">
        <v>80</v>
      </c>
      <c r="G2" t="s" s="0">
        <v>81</v>
      </c>
      <c r="H2" t="s" s="0">
        <v>82</v>
      </c>
      <c r="I2" t="s" s="0">
        <v>83</v>
      </c>
      <c r="J2" t="s" s="0">
        <v>84</v>
      </c>
      <c r="K2" t="s" s="0">
        <v>85</v>
      </c>
      <c r="L2" t="s" s="0">
        <v>86</v>
      </c>
      <c r="M2" t="s" s="0">
        <v>87</v>
      </c>
      <c r="N2" t="s" s="0">
        <v>88</v>
      </c>
      <c r="O2" t="s" s="0">
        <v>89</v>
      </c>
      <c r="P2" t="s" s="0">
        <v>90</v>
      </c>
      <c r="Q2" t="s" s="0">
        <v>91</v>
      </c>
      <c r="R2" t="s" s="0">
        <v>82</v>
      </c>
      <c r="S2" t="s" s="0">
        <v>82</v>
      </c>
      <c r="T2" t="s" s="0">
        <v>82</v>
      </c>
      <c r="U2" t="s" s="0">
        <v>82</v>
      </c>
      <c r="V2" t="s" s="0">
        <v>92</v>
      </c>
      <c r="W2" t="s" s="0">
        <v>93</v>
      </c>
      <c r="X2" t="s" s="0">
        <v>82</v>
      </c>
      <c r="Y2" t="s" s="0">
        <v>82</v>
      </c>
      <c r="Z2" t="s" s="0">
        <v>94</v>
      </c>
      <c r="AA2" t="s" s="0">
        <v>95</v>
      </c>
      <c r="AB2" t="s" s="0">
        <v>82</v>
      </c>
      <c r="AC2" t="s" s="0">
        <v>82</v>
      </c>
      <c r="AD2" t="s" s="0">
        <v>82</v>
      </c>
      <c r="AE2" t="s" s="0">
        <v>82</v>
      </c>
      <c r="AF2" t="s" s="0">
        <v>82</v>
      </c>
      <c r="AG2" t="s" s="0">
        <v>96</v>
      </c>
      <c r="AH2" t="s" s="0">
        <v>97</v>
      </c>
      <c r="AI2" t="s" s="0">
        <v>98</v>
      </c>
      <c r="AJ2" t="s" s="0">
        <v>99</v>
      </c>
      <c r="AK2" t="s" s="0">
        <v>82</v>
      </c>
      <c r="AL2" t="s" s="0">
        <v>100</v>
      </c>
      <c r="AM2" t="s" s="0">
        <v>101</v>
      </c>
      <c r="AN2" t="s" s="0">
        <v>102</v>
      </c>
      <c r="AO2" t="s" s="0">
        <v>77</v>
      </c>
      <c r="AP2" t="s" s="0">
        <v>101</v>
      </c>
      <c r="AQ2" t="s" s="0">
        <v>103</v>
      </c>
      <c r="AR2" t="s" s="0">
        <v>104</v>
      </c>
      <c r="AS2" t="s" s="0">
        <v>105</v>
      </c>
      <c r="AT2" t="s" s="0">
        <v>82</v>
      </c>
      <c r="AU2" t="s" s="0">
        <v>106</v>
      </c>
      <c r="AV2" t="s" s="0">
        <v>82</v>
      </c>
      <c r="AW2" t="s" s="0">
        <v>107</v>
      </c>
      <c r="AX2" t="s" s="0">
        <v>108</v>
      </c>
      <c r="AY2" t="s" s="0">
        <v>109</v>
      </c>
      <c r="AZ2" t="s" s="0">
        <v>110</v>
      </c>
      <c r="BA2" t="s" s="0">
        <v>111</v>
      </c>
      <c r="BB2" t="s" s="0">
        <v>77</v>
      </c>
      <c r="BC2" t="s" s="0">
        <v>82</v>
      </c>
      <c r="BD2" t="s" s="0">
        <v>82</v>
      </c>
      <c r="BE2" t="s" s="0">
        <v>82</v>
      </c>
      <c r="BF2" t="s" s="0">
        <v>82</v>
      </c>
      <c r="BG2" t="s" s="0">
        <v>82</v>
      </c>
      <c r="BH2" t="s" s="0">
        <v>82</v>
      </c>
      <c r="BI2" t="s" s="0">
        <v>112</v>
      </c>
      <c r="BJ2" t="s" s="0">
        <v>113</v>
      </c>
      <c r="BK2" t="s" s="1">
        <f>HYPERLINK("http://dx.doi.org/10.1186/s12891-024-07884-2","http://dx.doi.org/10.1186/s12891-024-07884-2")</f>
        <v>114</v>
      </c>
      <c r="BL2" t="s" s="0">
        <v>82</v>
      </c>
      <c r="BM2" t="s" s="0">
        <v>82</v>
      </c>
      <c r="BN2" t="s" s="0">
        <v>115</v>
      </c>
      <c r="BO2" t="s" s="0">
        <v>116</v>
      </c>
      <c r="BP2" t="s" s="0">
        <v>116</v>
      </c>
      <c r="BQ2" t="s" s="0">
        <v>117</v>
      </c>
      <c r="BR2" t="s" s="0">
        <v>118</v>
      </c>
      <c r="BS2" t="s" s="0">
        <v>119</v>
      </c>
      <c r="BT2" t="s" s="2">
        <f>HYPERLINK("https://www.webofscience.com/wos/woscc/full-record/WOS:001328960400006","View Record in Web of Science")</f>
        <v>120</v>
      </c>
      <c r="BU2" t="s" s="0">
        <v>121</v>
      </c>
      <c r="BV2" t="s" s="0">
        <v>82</v>
      </c>
      <c r="BW2" t="s" s="0">
        <v>82</v>
      </c>
      <c r="BX2" t="s" s="0">
        <v>122</v>
      </c>
    </row>
    <row r="3">
      <c r="A3" t="s" s="0">
        <v>78</v>
      </c>
      <c r="B3" t="s" s="0">
        <v>78</v>
      </c>
      <c r="C3" t="s" s="0">
        <v>77</v>
      </c>
      <c r="D3" t="s" s="0">
        <v>78</v>
      </c>
      <c r="E3" t="s" s="0">
        <v>123</v>
      </c>
      <c r="F3" t="s" s="0">
        <v>124</v>
      </c>
      <c r="G3" t="s" s="0">
        <v>125</v>
      </c>
      <c r="H3" t="s" s="0">
        <v>82</v>
      </c>
      <c r="I3" t="s" s="0">
        <v>83</v>
      </c>
      <c r="J3" t="s" s="0">
        <v>126</v>
      </c>
      <c r="K3" t="s" s="0">
        <v>127</v>
      </c>
      <c r="L3" t="s" s="0">
        <v>82</v>
      </c>
      <c r="M3" t="s" s="0">
        <v>82</v>
      </c>
      <c r="N3" t="s" s="0">
        <v>82</v>
      </c>
      <c r="O3" t="s" s="0">
        <v>128</v>
      </c>
      <c r="P3" t="s" s="0">
        <v>82</v>
      </c>
      <c r="Q3" t="s" s="0">
        <v>91</v>
      </c>
      <c r="R3" t="s" s="0">
        <v>82</v>
      </c>
      <c r="S3" t="s" s="0">
        <v>82</v>
      </c>
      <c r="T3" t="s" s="0">
        <v>82</v>
      </c>
      <c r="U3" t="s" s="0">
        <v>82</v>
      </c>
      <c r="V3" t="s" s="0">
        <v>129</v>
      </c>
      <c r="W3" t="s" s="0">
        <v>130</v>
      </c>
      <c r="X3" t="s" s="0">
        <v>82</v>
      </c>
      <c r="Y3" t="s" s="0">
        <v>82</v>
      </c>
      <c r="Z3" t="s" s="0">
        <v>94</v>
      </c>
      <c r="AA3" t="s" s="0">
        <v>95</v>
      </c>
      <c r="AB3" t="s" s="0">
        <v>82</v>
      </c>
      <c r="AC3" t="s" s="0">
        <v>82</v>
      </c>
      <c r="AD3" t="s" s="0">
        <v>82</v>
      </c>
      <c r="AE3" t="s" s="0">
        <v>82</v>
      </c>
      <c r="AF3" t="s" s="0">
        <v>82</v>
      </c>
      <c r="AG3" t="s" s="0">
        <v>131</v>
      </c>
      <c r="AH3" t="s" s="0">
        <v>132</v>
      </c>
      <c r="AI3" t="s" s="0">
        <v>133</v>
      </c>
      <c r="AJ3" t="s" s="0">
        <v>134</v>
      </c>
      <c r="AK3" t="s" s="0">
        <v>82</v>
      </c>
      <c r="AL3" t="s" s="0">
        <v>135</v>
      </c>
      <c r="AM3" t="s" s="0">
        <v>136</v>
      </c>
      <c r="AN3" t="s" s="0">
        <v>137</v>
      </c>
      <c r="AO3" t="s" s="0">
        <v>138</v>
      </c>
      <c r="AP3" t="s" s="0">
        <v>138</v>
      </c>
      <c r="AQ3" t="s" s="0">
        <v>139</v>
      </c>
      <c r="AR3" t="s" s="0">
        <v>140</v>
      </c>
      <c r="AS3" t="s" s="0">
        <v>141</v>
      </c>
      <c r="AT3" t="s" s="0">
        <v>142</v>
      </c>
      <c r="AU3" t="s" s="0">
        <v>143</v>
      </c>
      <c r="AV3" t="s" s="0">
        <v>82</v>
      </c>
      <c r="AW3" t="s" s="0">
        <v>144</v>
      </c>
      <c r="AX3" t="s" s="0">
        <v>145</v>
      </c>
      <c r="AY3" t="s" s="0">
        <v>146</v>
      </c>
      <c r="AZ3" t="s" s="0">
        <v>147</v>
      </c>
      <c r="BA3" t="s" s="0">
        <v>148</v>
      </c>
      <c r="BB3" t="s" s="0">
        <v>149</v>
      </c>
      <c r="BC3" t="s" s="0">
        <v>82</v>
      </c>
      <c r="BD3" t="s" s="0">
        <v>82</v>
      </c>
      <c r="BE3" t="s" s="0">
        <v>82</v>
      </c>
      <c r="BF3" t="s" s="0">
        <v>82</v>
      </c>
      <c r="BG3" t="s" s="0">
        <v>82</v>
      </c>
      <c r="BH3" t="s" s="0">
        <v>82</v>
      </c>
      <c r="BI3" t="s" s="0">
        <v>150</v>
      </c>
      <c r="BJ3" t="s" s="0">
        <v>151</v>
      </c>
      <c r="BK3" t="s" s="3">
        <f>HYPERLINK("http://dx.doi.org/10.1016/j.lddd.2026.100341","http://dx.doi.org/10.1016/j.lddd.2026.100341")</f>
        <v>152</v>
      </c>
      <c r="BL3" t="s" s="0">
        <v>82</v>
      </c>
      <c r="BM3" t="s" s="0">
        <v>153</v>
      </c>
      <c r="BN3" t="s" s="0">
        <v>154</v>
      </c>
      <c r="BO3" t="s" s="0">
        <v>155</v>
      </c>
      <c r="BP3" t="s" s="0">
        <v>156</v>
      </c>
      <c r="BQ3" t="s" s="0">
        <v>157</v>
      </c>
      <c r="BR3" t="s" s="0">
        <v>82</v>
      </c>
      <c r="BS3" t="s" s="0">
        <v>158</v>
      </c>
      <c r="BT3" t="s" s="4">
        <f>HYPERLINK("https://www.webofscience.com/wos/woscc/full-record/WOS:001728727600001","View Record in Web of Science")</f>
        <v>120</v>
      </c>
      <c r="BU3" t="s" s="0">
        <v>159</v>
      </c>
      <c r="BV3" t="s" s="0">
        <v>82</v>
      </c>
      <c r="BW3" t="s" s="0">
        <v>82</v>
      </c>
      <c r="BX3" t="s" s="0">
        <v>122</v>
      </c>
    </row>
    <row r="4">
      <c r="A4" t="s" s="0">
        <v>78</v>
      </c>
      <c r="B4" t="s" s="0">
        <v>78</v>
      </c>
      <c r="C4" t="s" s="0">
        <v>78</v>
      </c>
      <c r="D4" t="s" s="0">
        <v>78</v>
      </c>
      <c r="E4" t="s" s="0">
        <v>160</v>
      </c>
      <c r="F4" t="s" s="0">
        <v>161</v>
      </c>
      <c r="G4" t="s" s="0">
        <v>162</v>
      </c>
      <c r="H4" t="s" s="0">
        <v>82</v>
      </c>
      <c r="I4" t="s" s="0">
        <v>83</v>
      </c>
      <c r="J4" t="s" s="0">
        <v>163</v>
      </c>
      <c r="K4" t="s" s="0">
        <v>164</v>
      </c>
      <c r="L4" t="s" s="0">
        <v>82</v>
      </c>
      <c r="M4" t="s" s="0">
        <v>82</v>
      </c>
      <c r="N4" t="s" s="0">
        <v>82</v>
      </c>
      <c r="O4" t="s" s="0">
        <v>165</v>
      </c>
      <c r="P4" t="s" s="0">
        <v>166</v>
      </c>
      <c r="Q4" t="s" s="0">
        <v>91</v>
      </c>
      <c r="R4" t="s" s="0">
        <v>82</v>
      </c>
      <c r="S4" t="s" s="0">
        <v>82</v>
      </c>
      <c r="T4" t="s" s="0">
        <v>82</v>
      </c>
      <c r="U4" t="s" s="0">
        <v>82</v>
      </c>
      <c r="V4" t="s" s="0">
        <v>167</v>
      </c>
      <c r="W4" t="s" s="0">
        <v>168</v>
      </c>
      <c r="X4" t="s" s="0">
        <v>82</v>
      </c>
      <c r="Y4" t="s" s="0">
        <v>82</v>
      </c>
      <c r="Z4" t="s" s="0">
        <v>94</v>
      </c>
      <c r="AA4" t="s" s="0">
        <v>169</v>
      </c>
      <c r="AB4" t="s" s="0">
        <v>82</v>
      </c>
      <c r="AC4" t="s" s="0">
        <v>82</v>
      </c>
      <c r="AD4" t="s" s="0">
        <v>82</v>
      </c>
      <c r="AE4" t="s" s="0">
        <v>82</v>
      </c>
      <c r="AF4" t="s" s="0">
        <v>82</v>
      </c>
      <c r="AG4" t="s" s="0">
        <v>170</v>
      </c>
      <c r="AH4" t="s" s="0">
        <v>171</v>
      </c>
      <c r="AI4" t="s" s="0">
        <v>172</v>
      </c>
      <c r="AJ4" t="s" s="0">
        <v>82</v>
      </c>
      <c r="AK4" t="s" s="0">
        <v>82</v>
      </c>
      <c r="AL4" t="s" s="0">
        <v>173</v>
      </c>
      <c r="AM4" t="s" s="0">
        <v>78</v>
      </c>
      <c r="AN4" t="s" s="0">
        <v>78</v>
      </c>
      <c r="AO4" t="s" s="0">
        <v>78</v>
      </c>
      <c r="AP4" t="s" s="0">
        <v>78</v>
      </c>
      <c r="AQ4" t="s" s="0">
        <v>174</v>
      </c>
      <c r="AR4" t="s" s="0">
        <v>175</v>
      </c>
      <c r="AS4" t="s" s="0">
        <v>176</v>
      </c>
      <c r="AT4" t="s" s="0">
        <v>177</v>
      </c>
      <c r="AU4" t="s" s="0">
        <v>178</v>
      </c>
      <c r="AV4" t="s" s="0">
        <v>82</v>
      </c>
      <c r="AW4" t="s" s="0">
        <v>179</v>
      </c>
      <c r="AX4" t="s" s="0">
        <v>180</v>
      </c>
      <c r="AY4" t="s" s="0">
        <v>82</v>
      </c>
      <c r="AZ4" t="s" s="0">
        <v>181</v>
      </c>
      <c r="BA4" t="s" s="0">
        <v>82</v>
      </c>
      <c r="BB4" t="s" s="0">
        <v>82</v>
      </c>
      <c r="BC4" t="s" s="0">
        <v>82</v>
      </c>
      <c r="BD4" t="s" s="0">
        <v>82</v>
      </c>
      <c r="BE4" t="s" s="0">
        <v>82</v>
      </c>
      <c r="BF4" t="s" s="0">
        <v>82</v>
      </c>
      <c r="BG4" t="s" s="0">
        <v>82</v>
      </c>
      <c r="BH4" t="s" s="0">
        <v>82</v>
      </c>
      <c r="BI4" t="s" s="0">
        <v>82</v>
      </c>
      <c r="BJ4" t="s" s="0">
        <v>182</v>
      </c>
      <c r="BK4" t="s" s="5">
        <f>HYPERLINK("http://dx.doi.org/10.1002/jcu.70275","http://dx.doi.org/10.1002/jcu.70275")</f>
        <v>183</v>
      </c>
      <c r="BL4" t="s" s="0">
        <v>82</v>
      </c>
      <c r="BM4" t="s" s="0">
        <v>184</v>
      </c>
      <c r="BN4" t="s" s="0">
        <v>137</v>
      </c>
      <c r="BO4" t="s" s="0">
        <v>185</v>
      </c>
      <c r="BP4" t="s" s="0">
        <v>185</v>
      </c>
      <c r="BQ4" t="s" s="0">
        <v>186</v>
      </c>
      <c r="BR4" t="s" s="0">
        <v>187</v>
      </c>
      <c r="BS4" t="s" s="0">
        <v>188</v>
      </c>
      <c r="BT4" t="s" s="6">
        <f>HYPERLINK("https://www.webofscience.com/wos/woscc/full-record/WOS:001795298700001","View Record in Web of Science")</f>
        <v>120</v>
      </c>
      <c r="BU4" t="s" s="0">
        <v>82</v>
      </c>
      <c r="BV4" t="s" s="0">
        <v>82</v>
      </c>
      <c r="BW4" t="s" s="0">
        <v>82</v>
      </c>
      <c r="BX4" t="s" s="0">
        <v>122</v>
      </c>
    </row>
    <row r="5">
      <c r="A5" t="s" s="0">
        <v>78</v>
      </c>
      <c r="B5" t="s" s="0">
        <v>78</v>
      </c>
      <c r="C5" t="s" s="0">
        <v>77</v>
      </c>
      <c r="D5" t="s" s="0">
        <v>78</v>
      </c>
      <c r="E5" t="s" s="0">
        <v>189</v>
      </c>
      <c r="F5" t="s" s="0">
        <v>190</v>
      </c>
      <c r="G5" t="s" s="0">
        <v>191</v>
      </c>
      <c r="H5" t="s" s="0">
        <v>82</v>
      </c>
      <c r="I5" t="s" s="0">
        <v>83</v>
      </c>
      <c r="J5" t="s" s="0">
        <v>192</v>
      </c>
      <c r="K5" t="s" s="0">
        <v>193</v>
      </c>
      <c r="L5" t="s" s="0">
        <v>82</v>
      </c>
      <c r="M5" t="s" s="0">
        <v>82</v>
      </c>
      <c r="N5" t="s" s="0">
        <v>82</v>
      </c>
      <c r="O5" t="s" s="0">
        <v>194</v>
      </c>
      <c r="P5" t="s" s="0">
        <v>195</v>
      </c>
      <c r="Q5" t="s" s="0">
        <v>91</v>
      </c>
      <c r="R5" t="s" s="0">
        <v>82</v>
      </c>
      <c r="S5" t="s" s="0">
        <v>82</v>
      </c>
      <c r="T5" t="s" s="0">
        <v>82</v>
      </c>
      <c r="U5" t="s" s="0">
        <v>82</v>
      </c>
      <c r="V5" t="s" s="0">
        <v>196</v>
      </c>
      <c r="W5" t="s" s="0">
        <v>197</v>
      </c>
      <c r="X5" t="s" s="0">
        <v>82</v>
      </c>
      <c r="Y5" t="s" s="0">
        <v>82</v>
      </c>
      <c r="Z5" t="s" s="0">
        <v>94</v>
      </c>
      <c r="AA5" t="s" s="0">
        <v>95</v>
      </c>
      <c r="AB5" t="s" s="0">
        <v>82</v>
      </c>
      <c r="AC5" t="s" s="0">
        <v>82</v>
      </c>
      <c r="AD5" t="s" s="0">
        <v>82</v>
      </c>
      <c r="AE5" t="s" s="0">
        <v>82</v>
      </c>
      <c r="AF5" t="s" s="0">
        <v>82</v>
      </c>
      <c r="AG5" t="s" s="0">
        <v>198</v>
      </c>
      <c r="AH5" t="s" s="0">
        <v>199</v>
      </c>
      <c r="AI5" t="s" s="0">
        <v>82</v>
      </c>
      <c r="AJ5" t="s" s="0">
        <v>200</v>
      </c>
      <c r="AK5" t="s" s="0">
        <v>82</v>
      </c>
      <c r="AL5" t="s" s="0">
        <v>201</v>
      </c>
      <c r="AM5" t="s" s="0">
        <v>115</v>
      </c>
      <c r="AN5" t="s" s="0">
        <v>115</v>
      </c>
      <c r="AO5" t="s" s="0">
        <v>77</v>
      </c>
      <c r="AP5" t="s" s="0">
        <v>136</v>
      </c>
      <c r="AQ5" t="s" s="0">
        <v>202</v>
      </c>
      <c r="AR5" t="s" s="0">
        <v>203</v>
      </c>
      <c r="AS5" t="s" s="0">
        <v>204</v>
      </c>
      <c r="AT5" t="s" s="0">
        <v>205</v>
      </c>
      <c r="AU5" t="s" s="0">
        <v>206</v>
      </c>
      <c r="AV5" t="s" s="0">
        <v>82</v>
      </c>
      <c r="AW5" t="s" s="0">
        <v>207</v>
      </c>
      <c r="AX5" t="s" s="0">
        <v>208</v>
      </c>
      <c r="AY5" t="s" s="0">
        <v>209</v>
      </c>
      <c r="AZ5" t="s" s="0">
        <v>210</v>
      </c>
      <c r="BA5" t="s" s="0">
        <v>211</v>
      </c>
      <c r="BB5" t="s" s="0">
        <v>82</v>
      </c>
      <c r="BC5" t="s" s="0">
        <v>82</v>
      </c>
      <c r="BD5" t="s" s="0">
        <v>82</v>
      </c>
      <c r="BE5" t="s" s="0">
        <v>82</v>
      </c>
      <c r="BF5" t="s" s="0">
        <v>82</v>
      </c>
      <c r="BG5" t="s" s="0">
        <v>212</v>
      </c>
      <c r="BH5" t="s" s="0">
        <v>213</v>
      </c>
      <c r="BI5" t="s" s="0">
        <v>82</v>
      </c>
      <c r="BJ5" t="s" s="0">
        <v>214</v>
      </c>
      <c r="BK5" t="s" s="7">
        <f>HYPERLINK("http://dx.doi.org/10.1016/j.wneu.2023.03.019","http://dx.doi.org/10.1016/j.wneu.2023.03.019")</f>
        <v>215</v>
      </c>
      <c r="BL5" t="s" s="0">
        <v>82</v>
      </c>
      <c r="BM5" t="s" s="0">
        <v>209</v>
      </c>
      <c r="BN5" t="s" s="0">
        <v>136</v>
      </c>
      <c r="BO5" t="s" s="0">
        <v>216</v>
      </c>
      <c r="BP5" t="s" s="0">
        <v>217</v>
      </c>
      <c r="BQ5" t="s" s="0">
        <v>218</v>
      </c>
      <c r="BR5" t="s" s="0">
        <v>219</v>
      </c>
      <c r="BS5" t="s" s="0">
        <v>220</v>
      </c>
      <c r="BT5" t="s" s="8">
        <f>HYPERLINK("https://www.webofscience.com/wos/woscc/full-record/WOS:001001754200001","View Record in Web of Science")</f>
        <v>120</v>
      </c>
      <c r="BU5" t="s" s="0">
        <v>82</v>
      </c>
      <c r="BV5" t="s" s="0">
        <v>82</v>
      </c>
      <c r="BW5" t="s" s="0">
        <v>82</v>
      </c>
      <c r="BX5" t="s" s="0">
        <v>122</v>
      </c>
    </row>
    <row r="6">
      <c r="A6" t="s" s="0">
        <v>78</v>
      </c>
      <c r="B6" t="s" s="0">
        <v>78</v>
      </c>
      <c r="C6" t="s" s="0">
        <v>221</v>
      </c>
      <c r="D6" t="s" s="0">
        <v>78</v>
      </c>
      <c r="E6" t="s" s="0">
        <v>222</v>
      </c>
      <c r="F6" t="s" s="0">
        <v>223</v>
      </c>
      <c r="G6" t="s" s="0">
        <v>224</v>
      </c>
      <c r="H6" t="s" s="0">
        <v>82</v>
      </c>
      <c r="I6" t="s" s="0">
        <v>83</v>
      </c>
      <c r="J6" t="s" s="0">
        <v>225</v>
      </c>
      <c r="K6" t="s" s="0">
        <v>226</v>
      </c>
      <c r="L6" t="s" s="0">
        <v>227</v>
      </c>
      <c r="M6" t="s" s="0">
        <v>228</v>
      </c>
      <c r="N6" t="s" s="0">
        <v>229</v>
      </c>
      <c r="O6" t="s" s="0">
        <v>230</v>
      </c>
      <c r="P6" t="s" s="0">
        <v>231</v>
      </c>
      <c r="Q6" t="s" s="0">
        <v>91</v>
      </c>
      <c r="R6" t="s" s="0">
        <v>82</v>
      </c>
      <c r="S6" t="s" s="0">
        <v>82</v>
      </c>
      <c r="T6" t="s" s="0">
        <v>82</v>
      </c>
      <c r="U6" t="s" s="0">
        <v>82</v>
      </c>
      <c r="V6" t="s" s="0">
        <v>232</v>
      </c>
      <c r="W6" t="s" s="0">
        <v>233</v>
      </c>
      <c r="X6" t="s" s="0">
        <v>82</v>
      </c>
      <c r="Y6" t="s" s="0">
        <v>82</v>
      </c>
      <c r="Z6" t="s" s="0">
        <v>94</v>
      </c>
      <c r="AA6" t="s" s="0">
        <v>95</v>
      </c>
      <c r="AB6" t="s" s="0">
        <v>82</v>
      </c>
      <c r="AC6" t="s" s="0">
        <v>82</v>
      </c>
      <c r="AD6" t="s" s="0">
        <v>82</v>
      </c>
      <c r="AE6" t="s" s="0">
        <v>82</v>
      </c>
      <c r="AF6" t="s" s="0">
        <v>82</v>
      </c>
      <c r="AG6" t="s" s="0">
        <v>234</v>
      </c>
      <c r="AH6" t="s" s="0">
        <v>235</v>
      </c>
      <c r="AI6" t="s" s="0">
        <v>236</v>
      </c>
      <c r="AJ6" t="s" s="0">
        <v>237</v>
      </c>
      <c r="AK6" t="s" s="0">
        <v>82</v>
      </c>
      <c r="AL6" t="s" s="0">
        <v>238</v>
      </c>
      <c r="AM6" t="s" s="0">
        <v>239</v>
      </c>
      <c r="AN6" t="s" s="0">
        <v>154</v>
      </c>
      <c r="AO6" t="s" s="0">
        <v>78</v>
      </c>
      <c r="AP6" t="s" s="0">
        <v>221</v>
      </c>
      <c r="AQ6" t="s" s="0">
        <v>174</v>
      </c>
      <c r="AR6" t="s" s="0">
        <v>175</v>
      </c>
      <c r="AS6" t="s" s="0">
        <v>176</v>
      </c>
      <c r="AT6" t="s" s="0">
        <v>240</v>
      </c>
      <c r="AU6" t="s" s="0">
        <v>241</v>
      </c>
      <c r="AV6" t="s" s="0">
        <v>82</v>
      </c>
      <c r="AW6" t="s" s="0">
        <v>233</v>
      </c>
      <c r="AX6" t="s" s="0">
        <v>242</v>
      </c>
      <c r="AY6" t="s" s="0">
        <v>243</v>
      </c>
      <c r="AZ6" t="s" s="0">
        <v>110</v>
      </c>
      <c r="BA6" t="s" s="0">
        <v>244</v>
      </c>
      <c r="BB6" t="s" s="0">
        <v>245</v>
      </c>
      <c r="BC6" t="s" s="0">
        <v>82</v>
      </c>
      <c r="BD6" t="s" s="0">
        <v>82</v>
      </c>
      <c r="BE6" t="s" s="0">
        <v>82</v>
      </c>
      <c r="BF6" t="s" s="0">
        <v>82</v>
      </c>
      <c r="BG6" t="s" s="0">
        <v>246</v>
      </c>
      <c r="BH6" t="s" s="0">
        <v>247</v>
      </c>
      <c r="BI6" t="s" s="0">
        <v>82</v>
      </c>
      <c r="BJ6" t="s" s="0">
        <v>248</v>
      </c>
      <c r="BK6" t="s" s="9">
        <f>HYPERLINK("http://dx.doi.org/10.1111/epi.18082","http://dx.doi.org/10.1111/epi.18082")</f>
        <v>249</v>
      </c>
      <c r="BL6" t="s" s="0">
        <v>82</v>
      </c>
      <c r="BM6" t="s" s="0">
        <v>250</v>
      </c>
      <c r="BN6" t="s" s="0">
        <v>245</v>
      </c>
      <c r="BO6" t="s" s="0">
        <v>251</v>
      </c>
      <c r="BP6" t="s" s="0">
        <v>252</v>
      </c>
      <c r="BQ6" t="s" s="0">
        <v>253</v>
      </c>
      <c r="BR6" t="s" s="0">
        <v>254</v>
      </c>
      <c r="BS6" t="s" s="0">
        <v>255</v>
      </c>
      <c r="BT6" t="s" s="10">
        <f>HYPERLINK("https://www.webofscience.com/wos/woscc/full-record/WOS:001290422400001","View Record in Web of Science")</f>
        <v>120</v>
      </c>
      <c r="BU6" t="s" s="0">
        <v>256</v>
      </c>
      <c r="BV6" t="s" s="0">
        <v>82</v>
      </c>
      <c r="BW6" t="s" s="0">
        <v>82</v>
      </c>
      <c r="BX6" t="s" s="0">
        <v>122</v>
      </c>
    </row>
    <row r="7">
      <c r="A7" t="s" s="0">
        <v>245</v>
      </c>
      <c r="B7" t="s" s="0">
        <v>78</v>
      </c>
      <c r="C7" t="s" s="0">
        <v>257</v>
      </c>
      <c r="D7" t="s" s="0">
        <v>101</v>
      </c>
      <c r="E7" t="s" s="0">
        <v>258</v>
      </c>
      <c r="F7" t="s" s="0">
        <v>259</v>
      </c>
      <c r="G7" t="s" s="0">
        <v>260</v>
      </c>
      <c r="H7" t="s" s="0">
        <v>82</v>
      </c>
      <c r="I7" t="s" s="0">
        <v>83</v>
      </c>
      <c r="J7" t="s" s="0">
        <v>261</v>
      </c>
      <c r="K7" t="s" s="0">
        <v>262</v>
      </c>
      <c r="L7" t="s" s="0">
        <v>263</v>
      </c>
      <c r="M7" t="s" s="0">
        <v>264</v>
      </c>
      <c r="N7" t="s" s="0">
        <v>265</v>
      </c>
      <c r="O7" t="s" s="0">
        <v>266</v>
      </c>
      <c r="P7" t="s" s="0">
        <v>267</v>
      </c>
      <c r="Q7" t="s" s="0">
        <v>91</v>
      </c>
      <c r="R7" t="s" s="0">
        <v>82</v>
      </c>
      <c r="S7" t="s" s="0">
        <v>82</v>
      </c>
      <c r="T7" t="s" s="0">
        <v>82</v>
      </c>
      <c r="U7" t="s" s="0">
        <v>82</v>
      </c>
      <c r="V7" t="s" s="0">
        <v>268</v>
      </c>
      <c r="W7" t="s" s="0">
        <v>269</v>
      </c>
      <c r="X7" t="s" s="0">
        <v>82</v>
      </c>
      <c r="Y7" t="s" s="0">
        <v>82</v>
      </c>
      <c r="Z7" t="s" s="0">
        <v>94</v>
      </c>
      <c r="AA7" t="s" s="0">
        <v>95</v>
      </c>
      <c r="AB7" t="s" s="0">
        <v>82</v>
      </c>
      <c r="AC7" t="s" s="0">
        <v>82</v>
      </c>
      <c r="AD7" t="s" s="0">
        <v>82</v>
      </c>
      <c r="AE7" t="s" s="0">
        <v>82</v>
      </c>
      <c r="AF7" t="s" s="0">
        <v>82</v>
      </c>
      <c r="AG7" t="s" s="0">
        <v>82</v>
      </c>
      <c r="AH7" t="s" s="0">
        <v>270</v>
      </c>
      <c r="AI7" t="s" s="0">
        <v>271</v>
      </c>
      <c r="AJ7" t="s" s="0">
        <v>272</v>
      </c>
      <c r="AK7" t="s" s="0">
        <v>82</v>
      </c>
      <c r="AL7" t="s" s="0">
        <v>273</v>
      </c>
      <c r="AM7" t="s" s="0">
        <v>274</v>
      </c>
      <c r="AN7" t="s" s="0">
        <v>275</v>
      </c>
      <c r="AO7" t="s" s="0">
        <v>102</v>
      </c>
      <c r="AP7" t="s" s="0">
        <v>276</v>
      </c>
      <c r="AQ7" t="s" s="0">
        <v>277</v>
      </c>
      <c r="AR7" t="s" s="0">
        <v>278</v>
      </c>
      <c r="AS7" t="s" s="0">
        <v>279</v>
      </c>
      <c r="AT7" t="s" s="0">
        <v>82</v>
      </c>
      <c r="AU7" t="s" s="0">
        <v>280</v>
      </c>
      <c r="AV7" t="s" s="0">
        <v>82</v>
      </c>
      <c r="AW7" t="s" s="0">
        <v>281</v>
      </c>
      <c r="AX7" t="s" s="0">
        <v>282</v>
      </c>
      <c r="AY7" t="s" s="0">
        <v>283</v>
      </c>
      <c r="AZ7" t="s" s="0">
        <v>284</v>
      </c>
      <c r="BA7" t="s" s="0">
        <v>77</v>
      </c>
      <c r="BB7" t="s" s="0">
        <v>77</v>
      </c>
      <c r="BC7" t="s" s="0">
        <v>82</v>
      </c>
      <c r="BD7" t="s" s="0">
        <v>82</v>
      </c>
      <c r="BE7" t="s" s="0">
        <v>82</v>
      </c>
      <c r="BF7" t="s" s="0">
        <v>82</v>
      </c>
      <c r="BG7" t="s" s="0">
        <v>285</v>
      </c>
      <c r="BH7" t="s" s="0">
        <v>286</v>
      </c>
      <c r="BI7" t="s" s="0">
        <v>82</v>
      </c>
      <c r="BJ7" t="s" s="0">
        <v>287</v>
      </c>
      <c r="BK7" t="s" s="11">
        <f>HYPERLINK("http://dx.doi.org/10.1016/S2589-7500(19)30004-4","http://dx.doi.org/10.1016/S2589-7500(19)30004-4")</f>
        <v>288</v>
      </c>
      <c r="BL7" t="s" s="0">
        <v>82</v>
      </c>
      <c r="BM7" t="s" s="0">
        <v>82</v>
      </c>
      <c r="BN7" t="s" s="0">
        <v>245</v>
      </c>
      <c r="BO7" t="s" s="0">
        <v>289</v>
      </c>
      <c r="BP7" t="s" s="0">
        <v>290</v>
      </c>
      <c r="BQ7" t="s" s="0">
        <v>291</v>
      </c>
      <c r="BR7" t="s" s="0">
        <v>292</v>
      </c>
      <c r="BS7" t="s" s="0">
        <v>293</v>
      </c>
      <c r="BT7" t="s" s="12">
        <f>HYPERLINK("https://www.webofscience.com/wos/woscc/full-record/WOS:000525867400011","View Record in Web of Science")</f>
        <v>120</v>
      </c>
      <c r="BU7" t="s" s="0">
        <v>121</v>
      </c>
      <c r="BV7" t="s" s="0">
        <v>82</v>
      </c>
      <c r="BW7" t="s" s="0">
        <v>82</v>
      </c>
      <c r="BX7" t="s" s="0">
        <v>122</v>
      </c>
    </row>
    <row r="8">
      <c r="A8" t="s" s="0">
        <v>78</v>
      </c>
      <c r="B8" t="s" s="0">
        <v>78</v>
      </c>
      <c r="C8" t="s" s="0">
        <v>78</v>
      </c>
      <c r="D8" t="s" s="0">
        <v>78</v>
      </c>
      <c r="E8" t="s" s="0">
        <v>294</v>
      </c>
      <c r="F8" t="s" s="0">
        <v>295</v>
      </c>
      <c r="G8" t="s" s="0">
        <v>296</v>
      </c>
      <c r="H8" t="s" s="0">
        <v>82</v>
      </c>
      <c r="I8" t="s" s="0">
        <v>297</v>
      </c>
      <c r="J8" t="s" s="0">
        <v>298</v>
      </c>
      <c r="K8" t="s" s="0">
        <v>299</v>
      </c>
      <c r="L8" t="s" s="0">
        <v>300</v>
      </c>
      <c r="M8" t="s" s="0">
        <v>301</v>
      </c>
      <c r="N8" t="s" s="0">
        <v>302</v>
      </c>
      <c r="O8" t="s" s="0">
        <v>303</v>
      </c>
      <c r="P8" t="s" s="0">
        <v>304</v>
      </c>
      <c r="Q8" t="s" s="0">
        <v>91</v>
      </c>
      <c r="R8" t="s" s="0">
        <v>82</v>
      </c>
      <c r="S8" t="s" s="0">
        <v>82</v>
      </c>
      <c r="T8" t="s" s="0">
        <v>82</v>
      </c>
      <c r="U8" t="s" s="0">
        <v>82</v>
      </c>
      <c r="V8" t="s" s="0">
        <v>305</v>
      </c>
      <c r="W8" t="s" s="0">
        <v>306</v>
      </c>
      <c r="X8" t="s" s="0">
        <v>82</v>
      </c>
      <c r="Y8" t="s" s="0">
        <v>82</v>
      </c>
      <c r="Z8" t="s" s="0">
        <v>94</v>
      </c>
      <c r="AA8" t="s" s="0">
        <v>95</v>
      </c>
      <c r="AB8" t="s" s="0">
        <v>82</v>
      </c>
      <c r="AC8" t="s" s="0">
        <v>82</v>
      </c>
      <c r="AD8" t="s" s="0">
        <v>82</v>
      </c>
      <c r="AE8" t="s" s="0">
        <v>82</v>
      </c>
      <c r="AF8" t="s" s="0">
        <v>82</v>
      </c>
      <c r="AG8" t="s" s="0">
        <v>307</v>
      </c>
      <c r="AH8" t="s" s="0">
        <v>308</v>
      </c>
      <c r="AI8" t="s" s="0">
        <v>309</v>
      </c>
      <c r="AJ8" t="s" s="0">
        <v>310</v>
      </c>
      <c r="AK8" t="s" s="0">
        <v>82</v>
      </c>
      <c r="AL8" t="s" s="0">
        <v>311</v>
      </c>
      <c r="AM8" t="s" s="0">
        <v>78</v>
      </c>
      <c r="AN8" t="s" s="0">
        <v>78</v>
      </c>
      <c r="AO8" t="s" s="0">
        <v>78</v>
      </c>
      <c r="AP8" t="s" s="0">
        <v>77</v>
      </c>
      <c r="AQ8" t="s" s="0">
        <v>312</v>
      </c>
      <c r="AR8" t="s" s="0">
        <v>313</v>
      </c>
      <c r="AS8" t="s" s="0">
        <v>314</v>
      </c>
      <c r="AT8" t="s" s="0">
        <v>82</v>
      </c>
      <c r="AU8" t="s" s="0">
        <v>315</v>
      </c>
      <c r="AV8" t="s" s="0">
        <v>82</v>
      </c>
      <c r="AW8" t="s" s="0">
        <v>316</v>
      </c>
      <c r="AX8" t="s" s="0">
        <v>317</v>
      </c>
      <c r="AY8" t="s" s="0">
        <v>318</v>
      </c>
      <c r="AZ8" t="s" s="0">
        <v>147</v>
      </c>
      <c r="BA8" t="s" s="0">
        <v>319</v>
      </c>
      <c r="BB8" t="s" s="0">
        <v>102</v>
      </c>
      <c r="BC8" t="s" s="0">
        <v>82</v>
      </c>
      <c r="BD8" t="s" s="0">
        <v>82</v>
      </c>
      <c r="BE8" t="s" s="0">
        <v>82</v>
      </c>
      <c r="BF8" t="s" s="0">
        <v>82</v>
      </c>
      <c r="BG8" t="s" s="0">
        <v>82</v>
      </c>
      <c r="BH8" t="s" s="0">
        <v>82</v>
      </c>
      <c r="BI8" t="s" s="0">
        <v>320</v>
      </c>
      <c r="BJ8" t="s" s="0">
        <v>321</v>
      </c>
      <c r="BK8" t="s" s="13">
        <f>HYPERLINK("http://dx.doi.org/10.3390/vision9040084","http://dx.doi.org/10.3390/vision9040084")</f>
        <v>322</v>
      </c>
      <c r="BL8" t="s" s="0">
        <v>82</v>
      </c>
      <c r="BM8" t="s" s="0">
        <v>82</v>
      </c>
      <c r="BN8" t="s" s="0">
        <v>323</v>
      </c>
      <c r="BO8" t="s" s="0">
        <v>324</v>
      </c>
      <c r="BP8" t="s" s="0">
        <v>325</v>
      </c>
      <c r="BQ8" t="s" s="0">
        <v>326</v>
      </c>
      <c r="BR8" t="s" s="0">
        <v>327</v>
      </c>
      <c r="BS8" t="s" s="0">
        <v>328</v>
      </c>
      <c r="BT8" t="s" s="14">
        <f>HYPERLINK("https://www.webofscience.com/wos/woscc/full-record/WOS:001647425800001","View Record in Web of Science")</f>
        <v>120</v>
      </c>
      <c r="BU8" t="s" s="0">
        <v>121</v>
      </c>
      <c r="BV8" t="s" s="0">
        <v>82</v>
      </c>
      <c r="BW8" t="s" s="0">
        <v>82</v>
      </c>
      <c r="BX8" t="s" s="0">
        <v>122</v>
      </c>
    </row>
    <row r="9">
      <c r="A9" t="s" s="0">
        <v>78</v>
      </c>
      <c r="B9" t="s" s="0">
        <v>78</v>
      </c>
      <c r="C9" t="s" s="0">
        <v>78</v>
      </c>
      <c r="D9" t="s" s="0">
        <v>78</v>
      </c>
      <c r="E9" t="s" s="0">
        <v>329</v>
      </c>
      <c r="F9" t="s" s="0">
        <v>330</v>
      </c>
      <c r="G9" t="s" s="0">
        <v>331</v>
      </c>
      <c r="H9" t="s" s="0">
        <v>82</v>
      </c>
      <c r="I9" t="s" s="0">
        <v>83</v>
      </c>
      <c r="J9" t="s" s="0">
        <v>332</v>
      </c>
      <c r="K9" t="s" s="0">
        <v>333</v>
      </c>
      <c r="L9" t="s" s="0">
        <v>334</v>
      </c>
      <c r="M9" t="s" s="0">
        <v>335</v>
      </c>
      <c r="N9" t="s" s="0">
        <v>336</v>
      </c>
      <c r="O9" t="s" s="0">
        <v>337</v>
      </c>
      <c r="P9" t="s" s="0">
        <v>338</v>
      </c>
      <c r="Q9" t="s" s="0">
        <v>91</v>
      </c>
      <c r="R9" t="s" s="0">
        <v>82</v>
      </c>
      <c r="S9" t="s" s="0">
        <v>82</v>
      </c>
      <c r="T9" t="s" s="0">
        <v>82</v>
      </c>
      <c r="U9" t="s" s="0">
        <v>82</v>
      </c>
      <c r="V9" t="s" s="0">
        <v>339</v>
      </c>
      <c r="W9" t="s" s="0">
        <v>340</v>
      </c>
      <c r="X9" t="s" s="0">
        <v>82</v>
      </c>
      <c r="Y9" t="s" s="0">
        <v>82</v>
      </c>
      <c r="Z9" t="s" s="0">
        <v>94</v>
      </c>
      <c r="AA9" t="s" s="0">
        <v>95</v>
      </c>
      <c r="AB9" t="s" s="0">
        <v>82</v>
      </c>
      <c r="AC9" t="s" s="0">
        <v>82</v>
      </c>
      <c r="AD9" t="s" s="0">
        <v>82</v>
      </c>
      <c r="AE9" t="s" s="0">
        <v>82</v>
      </c>
      <c r="AF9" t="s" s="0">
        <v>82</v>
      </c>
      <c r="AG9" t="s" s="0">
        <v>341</v>
      </c>
      <c r="AH9" t="s" s="0">
        <v>82</v>
      </c>
      <c r="AI9" t="s" s="0">
        <v>342</v>
      </c>
      <c r="AJ9" t="s" s="0">
        <v>343</v>
      </c>
      <c r="AK9" t="s" s="0">
        <v>82</v>
      </c>
      <c r="AL9" t="s" s="0">
        <v>344</v>
      </c>
      <c r="AM9" t="s" s="0">
        <v>78</v>
      </c>
      <c r="AN9" t="s" s="0">
        <v>78</v>
      </c>
      <c r="AO9" t="s" s="0">
        <v>78</v>
      </c>
      <c r="AP9" t="s" s="0">
        <v>78</v>
      </c>
      <c r="AQ9" t="s" s="0">
        <v>312</v>
      </c>
      <c r="AR9" t="s" s="0">
        <v>313</v>
      </c>
      <c r="AS9" t="s" s="0">
        <v>314</v>
      </c>
      <c r="AT9" t="s" s="0">
        <v>82</v>
      </c>
      <c r="AU9" t="s" s="0">
        <v>345</v>
      </c>
      <c r="AV9" t="s" s="0">
        <v>82</v>
      </c>
      <c r="AW9" t="s" s="0">
        <v>346</v>
      </c>
      <c r="AX9" t="s" s="0">
        <v>347</v>
      </c>
      <c r="AY9" t="s" s="0">
        <v>348</v>
      </c>
      <c r="AZ9" t="s" s="0">
        <v>181</v>
      </c>
      <c r="BA9" t="s" s="0">
        <v>349</v>
      </c>
      <c r="BB9" t="s" s="0">
        <v>137</v>
      </c>
      <c r="BC9" t="s" s="0">
        <v>82</v>
      </c>
      <c r="BD9" t="s" s="0">
        <v>82</v>
      </c>
      <c r="BE9" t="s" s="0">
        <v>82</v>
      </c>
      <c r="BF9" t="s" s="0">
        <v>82</v>
      </c>
      <c r="BG9" t="s" s="0">
        <v>82</v>
      </c>
      <c r="BH9" t="s" s="0">
        <v>82</v>
      </c>
      <c r="BI9" t="s" s="0">
        <v>350</v>
      </c>
      <c r="BJ9" t="s" s="0">
        <v>351</v>
      </c>
      <c r="BK9" t="s" s="15">
        <f>HYPERLINK("http://dx.doi.org/10.3390/jcm15114287","http://dx.doi.org/10.3390/jcm15114287")</f>
        <v>352</v>
      </c>
      <c r="BL9" t="s" s="0">
        <v>82</v>
      </c>
      <c r="BM9" t="s" s="0">
        <v>184</v>
      </c>
      <c r="BN9" t="s" s="0">
        <v>353</v>
      </c>
      <c r="BO9" t="s" s="0">
        <v>354</v>
      </c>
      <c r="BP9" t="s" s="0">
        <v>355</v>
      </c>
      <c r="BQ9" t="s" s="0">
        <v>356</v>
      </c>
      <c r="BR9" t="s" s="0">
        <v>357</v>
      </c>
      <c r="BS9" t="s" s="0">
        <v>358</v>
      </c>
      <c r="BT9" t="s" s="16">
        <f>HYPERLINK("https://www.webofscience.com/wos/woscc/full-record/WOS:001790056200001","View Record in Web of Science")</f>
        <v>120</v>
      </c>
      <c r="BU9" t="s" s="0">
        <v>121</v>
      </c>
      <c r="BV9" t="s" s="0">
        <v>82</v>
      </c>
      <c r="BW9" t="s" s="0">
        <v>82</v>
      </c>
      <c r="BX9" t="s" s="0">
        <v>122</v>
      </c>
    </row>
    <row r="10">
      <c r="A10" t="s" s="0">
        <v>78</v>
      </c>
      <c r="B10" t="s" s="0">
        <v>78</v>
      </c>
      <c r="C10" t="s" s="0">
        <v>77</v>
      </c>
      <c r="D10" t="s" s="0">
        <v>78</v>
      </c>
      <c r="E10" t="s" s="0">
        <v>359</v>
      </c>
      <c r="F10" t="s" s="0">
        <v>360</v>
      </c>
      <c r="G10" t="s" s="0">
        <v>361</v>
      </c>
      <c r="H10" t="s" s="0">
        <v>82</v>
      </c>
      <c r="I10" t="s" s="0">
        <v>83</v>
      </c>
      <c r="J10" t="s" s="0">
        <v>362</v>
      </c>
      <c r="K10" t="s" s="0">
        <v>363</v>
      </c>
      <c r="L10" t="s" s="0">
        <v>364</v>
      </c>
      <c r="M10" t="s" s="0">
        <v>365</v>
      </c>
      <c r="N10" t="s" s="0">
        <v>366</v>
      </c>
      <c r="O10" t="s" s="0">
        <v>367</v>
      </c>
      <c r="P10" t="s" s="0">
        <v>368</v>
      </c>
      <c r="Q10" t="s" s="0">
        <v>91</v>
      </c>
      <c r="R10" t="s" s="0">
        <v>82</v>
      </c>
      <c r="S10" t="s" s="0">
        <v>82</v>
      </c>
      <c r="T10" t="s" s="0">
        <v>82</v>
      </c>
      <c r="U10" t="s" s="0">
        <v>82</v>
      </c>
      <c r="V10" t="s" s="0">
        <v>369</v>
      </c>
      <c r="W10" t="s" s="0">
        <v>340</v>
      </c>
      <c r="X10" t="s" s="0">
        <v>82</v>
      </c>
      <c r="Y10" t="s" s="0">
        <v>82</v>
      </c>
      <c r="Z10" t="s" s="0">
        <v>94</v>
      </c>
      <c r="AA10" t="s" s="0">
        <v>95</v>
      </c>
      <c r="AB10" t="s" s="0">
        <v>82</v>
      </c>
      <c r="AC10" t="s" s="0">
        <v>82</v>
      </c>
      <c r="AD10" t="s" s="0">
        <v>82</v>
      </c>
      <c r="AE10" t="s" s="0">
        <v>82</v>
      </c>
      <c r="AF10" t="s" s="0">
        <v>82</v>
      </c>
      <c r="AG10" t="s" s="0">
        <v>370</v>
      </c>
      <c r="AH10" t="s" s="0">
        <v>371</v>
      </c>
      <c r="AI10" t="s" s="0">
        <v>372</v>
      </c>
      <c r="AJ10" t="s" s="0">
        <v>373</v>
      </c>
      <c r="AK10" t="s" s="0">
        <v>82</v>
      </c>
      <c r="AL10" t="s" s="0">
        <v>374</v>
      </c>
      <c r="AM10" t="s" s="0">
        <v>221</v>
      </c>
      <c r="AN10" t="s" s="0">
        <v>375</v>
      </c>
      <c r="AO10" t="s" s="0">
        <v>78</v>
      </c>
      <c r="AP10" t="s" s="0">
        <v>375</v>
      </c>
      <c r="AQ10" t="s" s="0">
        <v>312</v>
      </c>
      <c r="AR10" t="s" s="0">
        <v>313</v>
      </c>
      <c r="AS10" t="s" s="0">
        <v>314</v>
      </c>
      <c r="AT10" t="s" s="0">
        <v>82</v>
      </c>
      <c r="AU10" t="s" s="0">
        <v>345</v>
      </c>
      <c r="AV10" t="s" s="0">
        <v>82</v>
      </c>
      <c r="AW10" t="s" s="0">
        <v>346</v>
      </c>
      <c r="AX10" t="s" s="0">
        <v>347</v>
      </c>
      <c r="AY10" t="s" s="0">
        <v>376</v>
      </c>
      <c r="AZ10" t="s" s="0">
        <v>110</v>
      </c>
      <c r="BA10" t="s" s="0">
        <v>115</v>
      </c>
      <c r="BB10" t="s" s="0">
        <v>245</v>
      </c>
      <c r="BC10" t="s" s="0">
        <v>82</v>
      </c>
      <c r="BD10" t="s" s="0">
        <v>82</v>
      </c>
      <c r="BE10" t="s" s="0">
        <v>82</v>
      </c>
      <c r="BF10" t="s" s="0">
        <v>82</v>
      </c>
      <c r="BG10" t="s" s="0">
        <v>82</v>
      </c>
      <c r="BH10" t="s" s="0">
        <v>82</v>
      </c>
      <c r="BI10" t="s" s="0">
        <v>377</v>
      </c>
      <c r="BJ10" t="s" s="0">
        <v>378</v>
      </c>
      <c r="BK10" t="s" s="17">
        <f>HYPERLINK("http://dx.doi.org/10.3390/jcm13102970","http://dx.doi.org/10.3390/jcm13102970")</f>
        <v>379</v>
      </c>
      <c r="BL10" t="s" s="0">
        <v>82</v>
      </c>
      <c r="BM10" t="s" s="0">
        <v>82</v>
      </c>
      <c r="BN10" t="s" s="0">
        <v>138</v>
      </c>
      <c r="BO10" t="s" s="0">
        <v>354</v>
      </c>
      <c r="BP10" t="s" s="0">
        <v>355</v>
      </c>
      <c r="BQ10" t="s" s="0">
        <v>380</v>
      </c>
      <c r="BR10" t="s" s="0">
        <v>381</v>
      </c>
      <c r="BS10" t="s" s="0">
        <v>382</v>
      </c>
      <c r="BT10" t="s" s="18">
        <f>HYPERLINK("https://www.webofscience.com/wos/woscc/full-record/WOS:001233093000001","View Record in Web of Science")</f>
        <v>120</v>
      </c>
      <c r="BU10" t="s" s="0">
        <v>121</v>
      </c>
      <c r="BV10" t="s" s="0">
        <v>82</v>
      </c>
      <c r="BW10" t="s" s="0">
        <v>82</v>
      </c>
      <c r="BX10" t="s" s="0">
        <v>122</v>
      </c>
    </row>
    <row r="11">
      <c r="A11" t="s" s="0">
        <v>77</v>
      </c>
      <c r="B11" t="s" s="0">
        <v>78</v>
      </c>
      <c r="C11" t="s" s="0">
        <v>138</v>
      </c>
      <c r="D11" t="s" s="0">
        <v>78</v>
      </c>
      <c r="E11" t="s" s="0">
        <v>383</v>
      </c>
      <c r="F11" t="s" s="0">
        <v>384</v>
      </c>
      <c r="G11" t="s" s="0">
        <v>385</v>
      </c>
      <c r="H11" t="s" s="0">
        <v>82</v>
      </c>
      <c r="I11" t="s" s="0">
        <v>83</v>
      </c>
      <c r="J11" t="s" s="0">
        <v>386</v>
      </c>
      <c r="K11" t="s" s="0">
        <v>387</v>
      </c>
      <c r="L11" t="s" s="0">
        <v>388</v>
      </c>
      <c r="M11" t="s" s="0">
        <v>389</v>
      </c>
      <c r="N11" t="s" s="0">
        <v>390</v>
      </c>
      <c r="O11" t="s" s="0">
        <v>391</v>
      </c>
      <c r="P11" t="s" s="0">
        <v>392</v>
      </c>
      <c r="Q11" t="s" s="0">
        <v>91</v>
      </c>
      <c r="R11" t="s" s="0">
        <v>82</v>
      </c>
      <c r="S11" t="s" s="0">
        <v>82</v>
      </c>
      <c r="T11" t="s" s="0">
        <v>82</v>
      </c>
      <c r="U11" t="s" s="0">
        <v>82</v>
      </c>
      <c r="V11" t="s" s="0">
        <v>393</v>
      </c>
      <c r="W11" t="s" s="0">
        <v>394</v>
      </c>
      <c r="X11" t="s" s="0">
        <v>82</v>
      </c>
      <c r="Y11" t="s" s="0">
        <v>82</v>
      </c>
      <c r="Z11" t="s" s="0">
        <v>94</v>
      </c>
      <c r="AA11" t="s" s="0">
        <v>95</v>
      </c>
      <c r="AB11" t="s" s="0">
        <v>82</v>
      </c>
      <c r="AC11" t="s" s="0">
        <v>82</v>
      </c>
      <c r="AD11" t="s" s="0">
        <v>82</v>
      </c>
      <c r="AE11" t="s" s="0">
        <v>82</v>
      </c>
      <c r="AF11" t="s" s="0">
        <v>82</v>
      </c>
      <c r="AG11" t="s" s="0">
        <v>395</v>
      </c>
      <c r="AH11" t="s" s="0">
        <v>396</v>
      </c>
      <c r="AI11" t="s" s="0">
        <v>397</v>
      </c>
      <c r="AJ11" t="s" s="0">
        <v>398</v>
      </c>
      <c r="AK11" t="s" s="0">
        <v>82</v>
      </c>
      <c r="AL11" t="s" s="0">
        <v>148</v>
      </c>
      <c r="AM11" t="s" s="0">
        <v>399</v>
      </c>
      <c r="AN11" t="s" s="0">
        <v>273</v>
      </c>
      <c r="AO11" t="s" s="0">
        <v>78</v>
      </c>
      <c r="AP11" t="s" s="0">
        <v>319</v>
      </c>
      <c r="AQ11" t="s" s="0">
        <v>400</v>
      </c>
      <c r="AR11" t="s" s="0">
        <v>401</v>
      </c>
      <c r="AS11" t="s" s="0">
        <v>402</v>
      </c>
      <c r="AT11" t="s" s="0">
        <v>403</v>
      </c>
      <c r="AU11" t="s" s="0">
        <v>404</v>
      </c>
      <c r="AV11" t="s" s="0">
        <v>82</v>
      </c>
      <c r="AW11" t="s" s="0">
        <v>405</v>
      </c>
      <c r="AX11" t="s" s="0">
        <v>406</v>
      </c>
      <c r="AY11" t="s" s="0">
        <v>407</v>
      </c>
      <c r="AZ11" t="s" s="0">
        <v>408</v>
      </c>
      <c r="BA11" t="s" s="0">
        <v>409</v>
      </c>
      <c r="BB11" t="s" s="0">
        <v>82</v>
      </c>
      <c r="BC11" t="s" s="0">
        <v>82</v>
      </c>
      <c r="BD11" t="s" s="0">
        <v>82</v>
      </c>
      <c r="BE11" t="s" s="0">
        <v>82</v>
      </c>
      <c r="BF11" t="s" s="0">
        <v>82</v>
      </c>
      <c r="BG11" t="s" s="0">
        <v>82</v>
      </c>
      <c r="BH11" t="s" s="0">
        <v>82</v>
      </c>
      <c r="BI11" t="s" s="0">
        <v>410</v>
      </c>
      <c r="BJ11" t="s" s="0">
        <v>411</v>
      </c>
      <c r="BK11" t="s" s="19">
        <f>HYPERLINK("http://dx.doi.org/10.1016/j.ejrad.2022.110249","http://dx.doi.org/10.1016/j.ejrad.2022.110249")</f>
        <v>412</v>
      </c>
      <c r="BL11" t="s" s="0">
        <v>82</v>
      </c>
      <c r="BM11" t="s" s="0">
        <v>413</v>
      </c>
      <c r="BN11" t="s" s="0">
        <v>319</v>
      </c>
      <c r="BO11" t="s" s="0">
        <v>414</v>
      </c>
      <c r="BP11" t="s" s="0">
        <v>414</v>
      </c>
      <c r="BQ11" t="s" s="0">
        <v>415</v>
      </c>
      <c r="BR11" t="s" s="0">
        <v>416</v>
      </c>
      <c r="BS11" t="s" s="0">
        <v>417</v>
      </c>
      <c r="BT11" t="s" s="20">
        <f>HYPERLINK("https://www.webofscience.com/wos/woscc/full-record/WOS:000821198700002","View Record in Web of Science")</f>
        <v>120</v>
      </c>
      <c r="BU11" t="s" s="0">
        <v>256</v>
      </c>
      <c r="BV11" t="s" s="0">
        <v>82</v>
      </c>
      <c r="BW11" t="s" s="0">
        <v>82</v>
      </c>
      <c r="BX11" t="s" s="0">
        <v>122</v>
      </c>
    </row>
    <row r="12">
      <c r="A12" t="s" s="0">
        <v>78</v>
      </c>
      <c r="B12" t="s" s="0">
        <v>78</v>
      </c>
      <c r="C12" t="s" s="0">
        <v>102</v>
      </c>
      <c r="D12" t="s" s="0">
        <v>78</v>
      </c>
      <c r="E12" t="s" s="0">
        <v>418</v>
      </c>
      <c r="F12" t="s" s="0">
        <v>419</v>
      </c>
      <c r="G12" t="s" s="0">
        <v>420</v>
      </c>
      <c r="H12" t="s" s="0">
        <v>82</v>
      </c>
      <c r="I12" t="s" s="0">
        <v>83</v>
      </c>
      <c r="J12" t="s" s="0">
        <v>421</v>
      </c>
      <c r="K12" t="s" s="0">
        <v>422</v>
      </c>
      <c r="L12" t="s" s="0">
        <v>423</v>
      </c>
      <c r="M12" t="s" s="0">
        <v>423</v>
      </c>
      <c r="N12" t="s" s="0">
        <v>424</v>
      </c>
      <c r="O12" t="s" s="0">
        <v>425</v>
      </c>
      <c r="P12" t="s" s="0">
        <v>426</v>
      </c>
      <c r="Q12" t="s" s="0">
        <v>91</v>
      </c>
      <c r="R12" t="s" s="0">
        <v>82</v>
      </c>
      <c r="S12" t="s" s="0">
        <v>82</v>
      </c>
      <c r="T12" t="s" s="0">
        <v>82</v>
      </c>
      <c r="U12" t="s" s="0">
        <v>82</v>
      </c>
      <c r="V12" t="s" s="0">
        <v>427</v>
      </c>
      <c r="W12" t="s" s="0">
        <v>428</v>
      </c>
      <c r="X12" t="s" s="0">
        <v>82</v>
      </c>
      <c r="Y12" t="s" s="0">
        <v>82</v>
      </c>
      <c r="Z12" t="s" s="0">
        <v>94</v>
      </c>
      <c r="AA12" t="s" s="0">
        <v>95</v>
      </c>
      <c r="AB12" t="s" s="0">
        <v>82</v>
      </c>
      <c r="AC12" t="s" s="0">
        <v>82</v>
      </c>
      <c r="AD12" t="s" s="0">
        <v>82</v>
      </c>
      <c r="AE12" t="s" s="0">
        <v>82</v>
      </c>
      <c r="AF12" t="s" s="0">
        <v>82</v>
      </c>
      <c r="AG12" t="s" s="0">
        <v>82</v>
      </c>
      <c r="AH12" t="s" s="0">
        <v>429</v>
      </c>
      <c r="AI12" t="s" s="0">
        <v>430</v>
      </c>
      <c r="AJ12" t="s" s="0">
        <v>431</v>
      </c>
      <c r="AK12" t="s" s="0">
        <v>82</v>
      </c>
      <c r="AL12" t="s" s="0">
        <v>239</v>
      </c>
      <c r="AM12" t="s" s="0">
        <v>115</v>
      </c>
      <c r="AN12" t="s" s="0">
        <v>323</v>
      </c>
      <c r="AO12" t="s" s="0">
        <v>78</v>
      </c>
      <c r="AP12" t="s" s="0">
        <v>375</v>
      </c>
      <c r="AQ12" t="s" s="0">
        <v>432</v>
      </c>
      <c r="AR12" t="s" s="0">
        <v>104</v>
      </c>
      <c r="AS12" t="s" s="0">
        <v>433</v>
      </c>
      <c r="AT12" t="s" s="0">
        <v>434</v>
      </c>
      <c r="AU12" t="s" s="0">
        <v>435</v>
      </c>
      <c r="AV12" t="s" s="0">
        <v>82</v>
      </c>
      <c r="AW12" t="s" s="0">
        <v>436</v>
      </c>
      <c r="AX12" t="s" s="0">
        <v>437</v>
      </c>
      <c r="AY12" t="s" s="0">
        <v>438</v>
      </c>
      <c r="AZ12" t="s" s="0">
        <v>408</v>
      </c>
      <c r="BA12" t="s" s="0">
        <v>408</v>
      </c>
      <c r="BB12" t="s" s="0">
        <v>82</v>
      </c>
      <c r="BC12" t="s" s="0">
        <v>82</v>
      </c>
      <c r="BD12" t="s" s="0">
        <v>82</v>
      </c>
      <c r="BE12" t="s" s="0">
        <v>82</v>
      </c>
      <c r="BF12" t="s" s="0">
        <v>82</v>
      </c>
      <c r="BG12" t="s" s="0">
        <v>82</v>
      </c>
      <c r="BH12" t="s" s="0">
        <v>82</v>
      </c>
      <c r="BI12" t="s" s="0">
        <v>439</v>
      </c>
      <c r="BJ12" t="s" s="0">
        <v>440</v>
      </c>
      <c r="BK12" t="s" s="21">
        <f>HYPERLINK("http://dx.doi.org/10.1155/2022/5779276","http://dx.doi.org/10.1155/2022/5779276")</f>
        <v>441</v>
      </c>
      <c r="BL12" t="s" s="0">
        <v>82</v>
      </c>
      <c r="BM12" t="s" s="0">
        <v>82</v>
      </c>
      <c r="BN12" t="s" s="0">
        <v>221</v>
      </c>
      <c r="BO12" t="s" s="0">
        <v>442</v>
      </c>
      <c r="BP12" t="s" s="0">
        <v>443</v>
      </c>
      <c r="BQ12" t="s" s="0">
        <v>444</v>
      </c>
      <c r="BR12" t="s" s="0">
        <v>445</v>
      </c>
      <c r="BS12" t="s" s="0">
        <v>446</v>
      </c>
      <c r="BT12" t="s" s="22">
        <f>HYPERLINK("https://www.webofscience.com/wos/woscc/full-record/WOS:000779446200002","View Record in Web of Science")</f>
        <v>120</v>
      </c>
      <c r="BU12" t="s" s="0">
        <v>121</v>
      </c>
      <c r="BV12" t="s" s="0">
        <v>82</v>
      </c>
      <c r="BW12" t="s" s="0">
        <v>82</v>
      </c>
      <c r="BX12" t="s" s="0">
        <v>122</v>
      </c>
    </row>
    <row r="13">
      <c r="A13" t="s" s="0">
        <v>447</v>
      </c>
      <c r="B13" t="s" s="0">
        <v>78</v>
      </c>
      <c r="C13" t="s" s="0">
        <v>239</v>
      </c>
      <c r="D13" t="s" s="0">
        <v>77</v>
      </c>
      <c r="E13" t="s" s="0">
        <v>448</v>
      </c>
      <c r="F13" t="s" s="0">
        <v>449</v>
      </c>
      <c r="G13" t="s" s="0">
        <v>450</v>
      </c>
      <c r="H13" t="s" s="0">
        <v>82</v>
      </c>
      <c r="I13" t="s" s="0">
        <v>83</v>
      </c>
      <c r="J13" t="s" s="0">
        <v>451</v>
      </c>
      <c r="K13" t="s" s="0">
        <v>452</v>
      </c>
      <c r="L13" t="s" s="0">
        <v>453</v>
      </c>
      <c r="M13" t="s" s="0">
        <v>454</v>
      </c>
      <c r="N13" t="s" s="0">
        <v>455</v>
      </c>
      <c r="O13" t="s" s="0">
        <v>456</v>
      </c>
      <c r="P13" t="s" s="0">
        <v>457</v>
      </c>
      <c r="Q13" t="s" s="0">
        <v>91</v>
      </c>
      <c r="R13" t="s" s="0">
        <v>82</v>
      </c>
      <c r="S13" t="s" s="0">
        <v>82</v>
      </c>
      <c r="T13" t="s" s="0">
        <v>82</v>
      </c>
      <c r="U13" t="s" s="0">
        <v>82</v>
      </c>
      <c r="V13" t="s" s="0">
        <v>458</v>
      </c>
      <c r="W13" t="s" s="0">
        <v>459</v>
      </c>
      <c r="X13" t="s" s="0">
        <v>82</v>
      </c>
      <c r="Y13" t="s" s="0">
        <v>82</v>
      </c>
      <c r="Z13" t="s" s="0">
        <v>94</v>
      </c>
      <c r="AA13" t="s" s="0">
        <v>95</v>
      </c>
      <c r="AB13" t="s" s="0">
        <v>82</v>
      </c>
      <c r="AC13" t="s" s="0">
        <v>82</v>
      </c>
      <c r="AD13" t="s" s="0">
        <v>82</v>
      </c>
      <c r="AE13" t="s" s="0">
        <v>82</v>
      </c>
      <c r="AF13" t="s" s="0">
        <v>82</v>
      </c>
      <c r="AG13" t="s" s="0">
        <v>82</v>
      </c>
      <c r="AH13" t="s" s="0">
        <v>460</v>
      </c>
      <c r="AI13" t="s" s="0">
        <v>461</v>
      </c>
      <c r="AJ13" t="s" s="0">
        <v>462</v>
      </c>
      <c r="AK13" t="s" s="0">
        <v>82</v>
      </c>
      <c r="AL13" t="s" s="0">
        <v>154</v>
      </c>
      <c r="AM13" t="s" s="0">
        <v>463</v>
      </c>
      <c r="AN13" t="s" s="0">
        <v>464</v>
      </c>
      <c r="AO13" t="s" s="0">
        <v>78</v>
      </c>
      <c r="AP13" t="s" s="0">
        <v>115</v>
      </c>
      <c r="AQ13" t="s" s="0">
        <v>465</v>
      </c>
      <c r="AR13" t="s" s="0">
        <v>466</v>
      </c>
      <c r="AS13" t="s" s="0">
        <v>467</v>
      </c>
      <c r="AT13" t="s" s="0">
        <v>468</v>
      </c>
      <c r="AU13" t="s" s="0">
        <v>82</v>
      </c>
      <c r="AV13" t="s" s="0">
        <v>82</v>
      </c>
      <c r="AW13" t="s" s="0">
        <v>469</v>
      </c>
      <c r="AX13" t="s" s="0">
        <v>470</v>
      </c>
      <c r="AY13" t="s" s="0">
        <v>471</v>
      </c>
      <c r="AZ13" t="s" s="0">
        <v>408</v>
      </c>
      <c r="BA13" t="s" s="0">
        <v>221</v>
      </c>
      <c r="BB13" t="s" s="0">
        <v>137</v>
      </c>
      <c r="BC13" t="s" s="0">
        <v>82</v>
      </c>
      <c r="BD13" t="s" s="0">
        <v>82</v>
      </c>
      <c r="BE13" t="s" s="0">
        <v>82</v>
      </c>
      <c r="BF13" t="s" s="0">
        <v>82</v>
      </c>
      <c r="BG13" t="s" s="0">
        <v>82</v>
      </c>
      <c r="BH13" t="s" s="0">
        <v>82</v>
      </c>
      <c r="BI13" t="s" s="0">
        <v>472</v>
      </c>
      <c r="BJ13" t="s" s="0">
        <v>473</v>
      </c>
      <c r="BK13" t="s" s="23">
        <f>HYPERLINK("http://dx.doi.org/10.1001/jamanetworkopen.2022.42343","http://dx.doi.org/10.1001/jamanetworkopen.2022.42343")</f>
        <v>474</v>
      </c>
      <c r="BL13" t="s" s="0">
        <v>82</v>
      </c>
      <c r="BM13" t="s" s="0">
        <v>82</v>
      </c>
      <c r="BN13" t="s" s="0">
        <v>149</v>
      </c>
      <c r="BO13" t="s" s="0">
        <v>354</v>
      </c>
      <c r="BP13" t="s" s="0">
        <v>355</v>
      </c>
      <c r="BQ13" t="s" s="0">
        <v>475</v>
      </c>
      <c r="BR13" t="s" s="0">
        <v>476</v>
      </c>
      <c r="BS13" t="s" s="0">
        <v>477</v>
      </c>
      <c r="BT13" t="s" s="24">
        <f>HYPERLINK("https://www.webofscience.com/wos/woscc/full-record/WOS:000919416700002","View Record in Web of Science")</f>
        <v>120</v>
      </c>
      <c r="BU13" t="s" s="0">
        <v>121</v>
      </c>
      <c r="BV13" t="s" s="0">
        <v>82</v>
      </c>
      <c r="BW13" t="s" s="0">
        <v>82</v>
      </c>
      <c r="BX13" t="s" s="0">
        <v>122</v>
      </c>
    </row>
    <row r="14">
      <c r="A14" t="s" s="0">
        <v>78</v>
      </c>
      <c r="B14" t="s" s="0">
        <v>78</v>
      </c>
      <c r="C14" t="s" s="0">
        <v>78</v>
      </c>
      <c r="D14" t="s" s="0">
        <v>78</v>
      </c>
      <c r="E14" t="s" s="0">
        <v>478</v>
      </c>
      <c r="F14" t="s" s="0">
        <v>479</v>
      </c>
      <c r="G14" t="s" s="0">
        <v>480</v>
      </c>
      <c r="H14" t="s" s="0">
        <v>82</v>
      </c>
      <c r="I14" t="s" s="0">
        <v>297</v>
      </c>
      <c r="J14" t="s" s="0">
        <v>481</v>
      </c>
      <c r="K14" t="s" s="0">
        <v>482</v>
      </c>
      <c r="L14" t="s" s="0">
        <v>82</v>
      </c>
      <c r="M14" t="s" s="0">
        <v>82</v>
      </c>
      <c r="N14" t="s" s="0">
        <v>82</v>
      </c>
      <c r="O14" t="s" s="0">
        <v>483</v>
      </c>
      <c r="P14" t="s" s="0">
        <v>484</v>
      </c>
      <c r="Q14" t="s" s="0">
        <v>91</v>
      </c>
      <c r="R14" t="s" s="0">
        <v>82</v>
      </c>
      <c r="S14" t="s" s="0">
        <v>82</v>
      </c>
      <c r="T14" t="s" s="0">
        <v>82</v>
      </c>
      <c r="U14" t="s" s="0">
        <v>82</v>
      </c>
      <c r="V14" t="s" s="0">
        <v>485</v>
      </c>
      <c r="W14" t="s" s="0">
        <v>486</v>
      </c>
      <c r="X14" t="s" s="0">
        <v>82</v>
      </c>
      <c r="Y14" t="s" s="0">
        <v>82</v>
      </c>
      <c r="Z14" t="s" s="0">
        <v>94</v>
      </c>
      <c r="AA14" t="s" s="0">
        <v>95</v>
      </c>
      <c r="AB14" t="s" s="0">
        <v>82</v>
      </c>
      <c r="AC14" t="s" s="0">
        <v>82</v>
      </c>
      <c r="AD14" t="s" s="0">
        <v>82</v>
      </c>
      <c r="AE14" t="s" s="0">
        <v>82</v>
      </c>
      <c r="AF14" t="s" s="0">
        <v>82</v>
      </c>
      <c r="AG14" t="s" s="0">
        <v>487</v>
      </c>
      <c r="AH14" t="s" s="0">
        <v>488</v>
      </c>
      <c r="AI14" t="s" s="0">
        <v>489</v>
      </c>
      <c r="AJ14" t="s" s="0">
        <v>490</v>
      </c>
      <c r="AK14" t="s" s="0">
        <v>82</v>
      </c>
      <c r="AL14" t="s" s="0">
        <v>238</v>
      </c>
      <c r="AM14" t="s" s="0">
        <v>447</v>
      </c>
      <c r="AN14" t="s" s="0">
        <v>447</v>
      </c>
      <c r="AO14" t="s" s="0">
        <v>78</v>
      </c>
      <c r="AP14" t="s" s="0">
        <v>102</v>
      </c>
      <c r="AQ14" t="s" s="0">
        <v>491</v>
      </c>
      <c r="AR14" t="s" s="0">
        <v>492</v>
      </c>
      <c r="AS14" t="s" s="0">
        <v>493</v>
      </c>
      <c r="AT14" t="s" s="0">
        <v>82</v>
      </c>
      <c r="AU14" t="s" s="0">
        <v>494</v>
      </c>
      <c r="AV14" t="s" s="0">
        <v>82</v>
      </c>
      <c r="AW14" t="s" s="0">
        <v>495</v>
      </c>
      <c r="AX14" t="s" s="0">
        <v>496</v>
      </c>
      <c r="AY14" t="s" s="0">
        <v>497</v>
      </c>
      <c r="AZ14" t="s" s="0">
        <v>147</v>
      </c>
      <c r="BA14" t="s" s="0">
        <v>375</v>
      </c>
      <c r="BB14" t="s" s="0">
        <v>221</v>
      </c>
      <c r="BC14" t="s" s="0">
        <v>82</v>
      </c>
      <c r="BD14" t="s" s="0">
        <v>82</v>
      </c>
      <c r="BE14" t="s" s="0">
        <v>82</v>
      </c>
      <c r="BF14" t="s" s="0">
        <v>82</v>
      </c>
      <c r="BG14" t="s" s="0">
        <v>498</v>
      </c>
      <c r="BH14" t="s" s="0">
        <v>499</v>
      </c>
      <c r="BI14" t="s" s="0">
        <v>82</v>
      </c>
      <c r="BJ14" t="s" s="0">
        <v>500</v>
      </c>
      <c r="BK14" t="s" s="25">
        <f>HYPERLINK("http://dx.doi.org/10.1093/ehjdh/ztaf078","http://dx.doi.org/10.1093/ehjdh/ztaf078")</f>
        <v>501</v>
      </c>
      <c r="BL14" t="s" s="0">
        <v>82</v>
      </c>
      <c r="BM14" t="s" s="0">
        <v>502</v>
      </c>
      <c r="BN14" t="s" s="0">
        <v>245</v>
      </c>
      <c r="BO14" t="s" s="0">
        <v>503</v>
      </c>
      <c r="BP14" t="s" s="0">
        <v>504</v>
      </c>
      <c r="BQ14" t="s" s="0">
        <v>505</v>
      </c>
      <c r="BR14" t="s" s="0">
        <v>506</v>
      </c>
      <c r="BS14" t="s" s="0">
        <v>507</v>
      </c>
      <c r="BT14" t="s" s="26">
        <f>HYPERLINK("https://www.webofscience.com/wos/woscc/full-record/WOS:001543059200001","View Record in Web of Science")</f>
        <v>120</v>
      </c>
      <c r="BU14" t="s" s="0">
        <v>121</v>
      </c>
      <c r="BV14" t="s" s="0">
        <v>82</v>
      </c>
      <c r="BW14" t="s" s="0">
        <v>82</v>
      </c>
      <c r="BX14" t="s" s="0">
        <v>122</v>
      </c>
    </row>
    <row r="15">
      <c r="A15" t="s" s="0">
        <v>78</v>
      </c>
      <c r="B15" t="s" s="0">
        <v>78</v>
      </c>
      <c r="C15" t="s" s="0">
        <v>77</v>
      </c>
      <c r="D15" t="s" s="0">
        <v>78</v>
      </c>
      <c r="E15" t="s" s="0">
        <v>508</v>
      </c>
      <c r="F15" t="s" s="0">
        <v>509</v>
      </c>
      <c r="G15" t="s" s="0">
        <v>510</v>
      </c>
      <c r="H15" t="s" s="0">
        <v>82</v>
      </c>
      <c r="I15" t="s" s="0">
        <v>83</v>
      </c>
      <c r="J15" t="s" s="0">
        <v>511</v>
      </c>
      <c r="K15" t="s" s="0">
        <v>512</v>
      </c>
      <c r="L15" t="s" s="0">
        <v>82</v>
      </c>
      <c r="M15" t="s" s="0">
        <v>82</v>
      </c>
      <c r="N15" t="s" s="0">
        <v>82</v>
      </c>
      <c r="O15" t="s" s="0">
        <v>513</v>
      </c>
      <c r="P15" t="s" s="0">
        <v>514</v>
      </c>
      <c r="Q15" t="s" s="0">
        <v>91</v>
      </c>
      <c r="R15" t="s" s="0">
        <v>82</v>
      </c>
      <c r="S15" t="s" s="0">
        <v>82</v>
      </c>
      <c r="T15" t="s" s="0">
        <v>82</v>
      </c>
      <c r="U15" t="s" s="0">
        <v>82</v>
      </c>
      <c r="V15" t="s" s="0">
        <v>515</v>
      </c>
      <c r="W15" t="s" s="0">
        <v>516</v>
      </c>
      <c r="X15" t="s" s="0">
        <v>82</v>
      </c>
      <c r="Y15" t="s" s="0">
        <v>82</v>
      </c>
      <c r="Z15" t="s" s="0">
        <v>94</v>
      </c>
      <c r="AA15" t="s" s="0">
        <v>95</v>
      </c>
      <c r="AB15" t="s" s="0">
        <v>82</v>
      </c>
      <c r="AC15" t="s" s="0">
        <v>82</v>
      </c>
      <c r="AD15" t="s" s="0">
        <v>82</v>
      </c>
      <c r="AE15" t="s" s="0">
        <v>82</v>
      </c>
      <c r="AF15" t="s" s="0">
        <v>82</v>
      </c>
      <c r="AG15" t="s" s="0">
        <v>517</v>
      </c>
      <c r="AH15" t="s" s="0">
        <v>518</v>
      </c>
      <c r="AI15" t="s" s="0">
        <v>82</v>
      </c>
      <c r="AJ15" t="s" s="0">
        <v>519</v>
      </c>
      <c r="AK15" t="s" s="0">
        <v>82</v>
      </c>
      <c r="AL15" t="s" s="0">
        <v>344</v>
      </c>
      <c r="AM15" t="s" s="0">
        <v>136</v>
      </c>
      <c r="AN15" t="s" s="0">
        <v>245</v>
      </c>
      <c r="AO15" t="s" s="0">
        <v>78</v>
      </c>
      <c r="AP15" t="s" s="0">
        <v>77</v>
      </c>
      <c r="AQ15" t="s" s="0">
        <v>520</v>
      </c>
      <c r="AR15" t="s" s="0">
        <v>521</v>
      </c>
      <c r="AS15" t="s" s="0">
        <v>522</v>
      </c>
      <c r="AT15" t="s" s="0">
        <v>523</v>
      </c>
      <c r="AU15" t="s" s="0">
        <v>82</v>
      </c>
      <c r="AV15" t="s" s="0">
        <v>82</v>
      </c>
      <c r="AW15" t="s" s="0">
        <v>516</v>
      </c>
      <c r="AX15" t="s" s="0">
        <v>524</v>
      </c>
      <c r="AY15" t="s" s="0">
        <v>525</v>
      </c>
      <c r="AZ15" t="s" s="0">
        <v>525</v>
      </c>
      <c r="BA15" t="s" s="0">
        <v>319</v>
      </c>
      <c r="BB15" t="s" s="0">
        <v>82</v>
      </c>
      <c r="BC15" t="s" s="0">
        <v>82</v>
      </c>
      <c r="BD15" t="s" s="0">
        <v>82</v>
      </c>
      <c r="BE15" t="s" s="0">
        <v>82</v>
      </c>
      <c r="BF15" t="s" s="0">
        <v>82</v>
      </c>
      <c r="BG15" t="s" s="0">
        <v>526</v>
      </c>
      <c r="BH15" t="s" s="0">
        <v>527</v>
      </c>
      <c r="BI15" t="s" s="0">
        <v>82</v>
      </c>
      <c r="BJ15" t="s" s="0">
        <v>528</v>
      </c>
      <c r="BK15" t="s" s="27">
        <f>HYPERLINK("http://dx.doi.org/10.1109/ACCESS.2021.3101253","http://dx.doi.org/10.1109/ACCESS.2021.3101253")</f>
        <v>529</v>
      </c>
      <c r="BL15" t="s" s="0">
        <v>82</v>
      </c>
      <c r="BM15" t="s" s="0">
        <v>82</v>
      </c>
      <c r="BN15" t="s" s="0">
        <v>149</v>
      </c>
      <c r="BO15" t="s" s="0">
        <v>530</v>
      </c>
      <c r="BP15" t="s" s="0">
        <v>531</v>
      </c>
      <c r="BQ15" t="s" s="0">
        <v>532</v>
      </c>
      <c r="BR15" t="s" s="0">
        <v>82</v>
      </c>
      <c r="BS15" t="s" s="0">
        <v>533</v>
      </c>
      <c r="BT15" t="s" s="28">
        <f>HYPERLINK("https://www.webofscience.com/wos/woscc/full-record/WOS:000683975300001","View Record in Web of Science")</f>
        <v>120</v>
      </c>
      <c r="BU15" t="s" s="0">
        <v>121</v>
      </c>
      <c r="BV15" t="s" s="0">
        <v>82</v>
      </c>
      <c r="BW15" t="s" s="0">
        <v>82</v>
      </c>
      <c r="BX15" t="s" s="0">
        <v>122</v>
      </c>
    </row>
    <row r="16">
      <c r="A16" t="s" s="0">
        <v>78</v>
      </c>
      <c r="B16" t="s" s="0">
        <v>78</v>
      </c>
      <c r="C16" t="s" s="0">
        <v>101</v>
      </c>
      <c r="D16" t="s" s="0">
        <v>78</v>
      </c>
      <c r="E16" t="s" s="0">
        <v>534</v>
      </c>
      <c r="F16" t="s" s="0">
        <v>535</v>
      </c>
      <c r="G16" t="s" s="0">
        <v>536</v>
      </c>
      <c r="H16" t="s" s="0">
        <v>82</v>
      </c>
      <c r="I16" t="s" s="0">
        <v>83</v>
      </c>
      <c r="J16" t="s" s="0">
        <v>537</v>
      </c>
      <c r="K16" t="s" s="0">
        <v>538</v>
      </c>
      <c r="L16" t="s" s="0">
        <v>539</v>
      </c>
      <c r="M16" t="s" s="0">
        <v>539</v>
      </c>
      <c r="N16" t="s" s="0">
        <v>540</v>
      </c>
      <c r="O16" t="s" s="0">
        <v>541</v>
      </c>
      <c r="P16" t="s" s="0">
        <v>82</v>
      </c>
      <c r="Q16" t="s" s="0">
        <v>91</v>
      </c>
      <c r="R16" t="s" s="0">
        <v>82</v>
      </c>
      <c r="S16" t="s" s="0">
        <v>82</v>
      </c>
      <c r="T16" t="s" s="0">
        <v>82</v>
      </c>
      <c r="U16" t="s" s="0">
        <v>82</v>
      </c>
      <c r="V16" t="s" s="0">
        <v>542</v>
      </c>
      <c r="W16" t="s" s="0">
        <v>543</v>
      </c>
      <c r="X16" t="s" s="0">
        <v>82</v>
      </c>
      <c r="Y16" t="s" s="0">
        <v>82</v>
      </c>
      <c r="Z16" t="s" s="0">
        <v>94</v>
      </c>
      <c r="AA16" t="s" s="0">
        <v>95</v>
      </c>
      <c r="AB16" t="s" s="0">
        <v>82</v>
      </c>
      <c r="AC16" t="s" s="0">
        <v>82</v>
      </c>
      <c r="AD16" t="s" s="0">
        <v>82</v>
      </c>
      <c r="AE16" t="s" s="0">
        <v>82</v>
      </c>
      <c r="AF16" t="s" s="0">
        <v>82</v>
      </c>
      <c r="AG16" t="s" s="0">
        <v>544</v>
      </c>
      <c r="AH16" t="s" s="0">
        <v>545</v>
      </c>
      <c r="AI16" t="s" s="0">
        <v>546</v>
      </c>
      <c r="AJ16" t="s" s="0">
        <v>547</v>
      </c>
      <c r="AK16" t="s" s="0">
        <v>82</v>
      </c>
      <c r="AL16" t="s" s="0">
        <v>548</v>
      </c>
      <c r="AM16" t="s" s="0">
        <v>239</v>
      </c>
      <c r="AN16" t="s" s="0">
        <v>239</v>
      </c>
      <c r="AO16" t="s" s="0">
        <v>78</v>
      </c>
      <c r="AP16" t="s" s="0">
        <v>102</v>
      </c>
      <c r="AQ16" t="s" s="0">
        <v>312</v>
      </c>
      <c r="AR16" t="s" s="0">
        <v>313</v>
      </c>
      <c r="AS16" t="s" s="0">
        <v>549</v>
      </c>
      <c r="AT16" t="s" s="0">
        <v>82</v>
      </c>
      <c r="AU16" t="s" s="0">
        <v>550</v>
      </c>
      <c r="AV16" t="s" s="0">
        <v>82</v>
      </c>
      <c r="AW16" t="s" s="0">
        <v>543</v>
      </c>
      <c r="AX16" t="s" s="0">
        <v>551</v>
      </c>
      <c r="AY16" t="s" s="0">
        <v>552</v>
      </c>
      <c r="AZ16" t="s" s="0">
        <v>210</v>
      </c>
      <c r="BA16" t="s" s="0">
        <v>115</v>
      </c>
      <c r="BB16" t="s" s="0">
        <v>148</v>
      </c>
      <c r="BC16" t="s" s="0">
        <v>82</v>
      </c>
      <c r="BD16" t="s" s="0">
        <v>82</v>
      </c>
      <c r="BE16" t="s" s="0">
        <v>82</v>
      </c>
      <c r="BF16" t="s" s="0">
        <v>82</v>
      </c>
      <c r="BG16" t="s" s="0">
        <v>82</v>
      </c>
      <c r="BH16" t="s" s="0">
        <v>82</v>
      </c>
      <c r="BI16" t="s" s="0">
        <v>553</v>
      </c>
      <c r="BJ16" t="s" s="0">
        <v>554</v>
      </c>
      <c r="BK16" t="s" s="29">
        <f>HYPERLINK("http://dx.doi.org/10.3390/diagnostics13223408","http://dx.doi.org/10.3390/diagnostics13223408")</f>
        <v>555</v>
      </c>
      <c r="BL16" t="s" s="0">
        <v>82</v>
      </c>
      <c r="BM16" t="s" s="0">
        <v>82</v>
      </c>
      <c r="BN16" t="s" s="0">
        <v>149</v>
      </c>
      <c r="BO16" t="s" s="0">
        <v>354</v>
      </c>
      <c r="BP16" t="s" s="0">
        <v>355</v>
      </c>
      <c r="BQ16" t="s" s="0">
        <v>556</v>
      </c>
      <c r="BR16" t="s" s="0">
        <v>557</v>
      </c>
      <c r="BS16" t="s" s="0">
        <v>558</v>
      </c>
      <c r="BT16" t="s" s="30">
        <f>HYPERLINK("https://www.webofscience.com/wos/woscc/full-record/WOS:001108183600001","View Record in Web of Science")</f>
        <v>120</v>
      </c>
      <c r="BU16" t="s" s="0">
        <v>121</v>
      </c>
      <c r="BV16" t="s" s="0">
        <v>82</v>
      </c>
      <c r="BW16" t="s" s="0">
        <v>82</v>
      </c>
      <c r="BX16" t="s" s="0">
        <v>122</v>
      </c>
    </row>
    <row r="17">
      <c r="A17" t="s" s="0">
        <v>78</v>
      </c>
      <c r="B17" t="s" s="0">
        <v>78</v>
      </c>
      <c r="C17" t="s" s="0">
        <v>78</v>
      </c>
      <c r="D17" t="s" s="0">
        <v>78</v>
      </c>
      <c r="E17" t="s" s="0">
        <v>559</v>
      </c>
      <c r="F17" t="s" s="0">
        <v>560</v>
      </c>
      <c r="G17" t="s" s="0">
        <v>561</v>
      </c>
      <c r="H17" t="s" s="0">
        <v>82</v>
      </c>
      <c r="I17" t="s" s="0">
        <v>297</v>
      </c>
      <c r="J17" t="s" s="0">
        <v>562</v>
      </c>
      <c r="K17" t="s" s="0">
        <v>563</v>
      </c>
      <c r="L17" t="s" s="0">
        <v>564</v>
      </c>
      <c r="M17" t="s" s="0">
        <v>565</v>
      </c>
      <c r="N17" t="s" s="0">
        <v>566</v>
      </c>
      <c r="O17" t="s" s="0">
        <v>567</v>
      </c>
      <c r="P17" t="s" s="0">
        <v>568</v>
      </c>
      <c r="Q17" t="s" s="0">
        <v>91</v>
      </c>
      <c r="R17" t="s" s="0">
        <v>82</v>
      </c>
      <c r="S17" t="s" s="0">
        <v>82</v>
      </c>
      <c r="T17" t="s" s="0">
        <v>82</v>
      </c>
      <c r="U17" t="s" s="0">
        <v>82</v>
      </c>
      <c r="V17" t="s" s="0">
        <v>569</v>
      </c>
      <c r="W17" t="s" s="0">
        <v>570</v>
      </c>
      <c r="X17" t="s" s="0">
        <v>82</v>
      </c>
      <c r="Y17" t="s" s="0">
        <v>82</v>
      </c>
      <c r="Z17" t="s" s="0">
        <v>94</v>
      </c>
      <c r="AA17" t="s" s="0">
        <v>95</v>
      </c>
      <c r="AB17" t="s" s="0">
        <v>82</v>
      </c>
      <c r="AC17" t="s" s="0">
        <v>82</v>
      </c>
      <c r="AD17" t="s" s="0">
        <v>82</v>
      </c>
      <c r="AE17" t="s" s="0">
        <v>82</v>
      </c>
      <c r="AF17" t="s" s="0">
        <v>82</v>
      </c>
      <c r="AG17" t="s" s="0">
        <v>571</v>
      </c>
      <c r="AH17" t="s" s="0">
        <v>572</v>
      </c>
      <c r="AI17" t="s" s="0">
        <v>573</v>
      </c>
      <c r="AJ17" t="s" s="0">
        <v>574</v>
      </c>
      <c r="AK17" t="s" s="0">
        <v>82</v>
      </c>
      <c r="AL17" t="s" s="0">
        <v>273</v>
      </c>
      <c r="AM17" t="s" s="0">
        <v>77</v>
      </c>
      <c r="AN17" t="s" s="0">
        <v>77</v>
      </c>
      <c r="AO17" t="s" s="0">
        <v>78</v>
      </c>
      <c r="AP17" t="s" s="0">
        <v>78</v>
      </c>
      <c r="AQ17" t="s" s="0">
        <v>575</v>
      </c>
      <c r="AR17" t="s" s="0">
        <v>104</v>
      </c>
      <c r="AS17" t="s" s="0">
        <v>576</v>
      </c>
      <c r="AT17" t="s" s="0">
        <v>577</v>
      </c>
      <c r="AU17" t="s" s="0">
        <v>82</v>
      </c>
      <c r="AV17" t="s" s="0">
        <v>82</v>
      </c>
      <c r="AW17" t="s" s="0">
        <v>570</v>
      </c>
      <c r="AX17" t="s" s="0">
        <v>578</v>
      </c>
      <c r="AY17" t="s" s="0">
        <v>579</v>
      </c>
      <c r="AZ17" t="s" s="0">
        <v>147</v>
      </c>
      <c r="BA17" t="s" s="0">
        <v>149</v>
      </c>
      <c r="BB17" t="s" s="0">
        <v>77</v>
      </c>
      <c r="BC17" t="s" s="0">
        <v>82</v>
      </c>
      <c r="BD17" t="s" s="0">
        <v>82</v>
      </c>
      <c r="BE17" t="s" s="0">
        <v>82</v>
      </c>
      <c r="BF17" t="s" s="0">
        <v>82</v>
      </c>
      <c r="BG17" t="s" s="0">
        <v>82</v>
      </c>
      <c r="BH17" t="s" s="0">
        <v>82</v>
      </c>
      <c r="BI17" t="s" s="0">
        <v>580</v>
      </c>
      <c r="BJ17" t="s" s="0">
        <v>581</v>
      </c>
      <c r="BK17" t="s" s="31">
        <f>HYPERLINK("http://dx.doi.org/10.1136/openhrt-2024-003072","http://dx.doi.org/10.1136/openhrt-2024-003072")</f>
        <v>582</v>
      </c>
      <c r="BL17" t="s" s="0">
        <v>82</v>
      </c>
      <c r="BM17" t="s" s="0">
        <v>82</v>
      </c>
      <c r="BN17" t="s" s="0">
        <v>319</v>
      </c>
      <c r="BO17" t="s" s="0">
        <v>503</v>
      </c>
      <c r="BP17" t="s" s="0">
        <v>504</v>
      </c>
      <c r="BQ17" t="s" s="0">
        <v>583</v>
      </c>
      <c r="BR17" t="s" s="0">
        <v>584</v>
      </c>
      <c r="BS17" t="s" s="0">
        <v>585</v>
      </c>
      <c r="BT17" t="s" s="32">
        <f>HYPERLINK("https://www.webofscience.com/wos/woscc/full-record/WOS:001474287700001","View Record in Web of Science")</f>
        <v>120</v>
      </c>
      <c r="BU17" t="s" s="0">
        <v>121</v>
      </c>
      <c r="BV17" t="s" s="0">
        <v>82</v>
      </c>
      <c r="BW17" t="s" s="0">
        <v>82</v>
      </c>
      <c r="BX17" t="s" s="0">
        <v>122</v>
      </c>
    </row>
    <row r="18">
      <c r="A18" t="s" s="0">
        <v>77</v>
      </c>
      <c r="B18" t="s" s="0">
        <v>78</v>
      </c>
      <c r="C18" t="s" s="0">
        <v>77</v>
      </c>
      <c r="D18" t="s" s="0">
        <v>78</v>
      </c>
      <c r="E18" t="s" s="0">
        <v>586</v>
      </c>
      <c r="F18" t="s" s="0">
        <v>587</v>
      </c>
      <c r="G18" t="s" s="0">
        <v>588</v>
      </c>
      <c r="H18" t="s" s="0">
        <v>82</v>
      </c>
      <c r="I18" t="s" s="0">
        <v>589</v>
      </c>
      <c r="J18" t="s" s="0">
        <v>590</v>
      </c>
      <c r="K18" t="s" s="0">
        <v>591</v>
      </c>
      <c r="L18" t="s" s="0">
        <v>82</v>
      </c>
      <c r="M18" t="s" s="0">
        <v>82</v>
      </c>
      <c r="N18" t="s" s="0">
        <v>82</v>
      </c>
      <c r="O18" t="s" s="0">
        <v>592</v>
      </c>
      <c r="P18" t="s" s="0">
        <v>593</v>
      </c>
      <c r="Q18" t="s" s="0">
        <v>91</v>
      </c>
      <c r="R18" t="s" s="0">
        <v>82</v>
      </c>
      <c r="S18" t="s" s="0">
        <v>82</v>
      </c>
      <c r="T18" t="s" s="0">
        <v>82</v>
      </c>
      <c r="U18" t="s" s="0">
        <v>82</v>
      </c>
      <c r="V18" t="s" s="0">
        <v>594</v>
      </c>
      <c r="W18" t="s" s="0">
        <v>595</v>
      </c>
      <c r="X18" t="s" s="0">
        <v>82</v>
      </c>
      <c r="Y18" t="s" s="0">
        <v>82</v>
      </c>
      <c r="Z18" t="s" s="0">
        <v>94</v>
      </c>
      <c r="AA18" t="s" s="0">
        <v>95</v>
      </c>
      <c r="AB18" t="s" s="0">
        <v>82</v>
      </c>
      <c r="AC18" t="s" s="0">
        <v>82</v>
      </c>
      <c r="AD18" t="s" s="0">
        <v>82</v>
      </c>
      <c r="AE18" t="s" s="0">
        <v>82</v>
      </c>
      <c r="AF18" t="s" s="0">
        <v>82</v>
      </c>
      <c r="AG18" t="s" s="0">
        <v>596</v>
      </c>
      <c r="AH18" t="s" s="0">
        <v>597</v>
      </c>
      <c r="AI18" t="s" s="0">
        <v>598</v>
      </c>
      <c r="AJ18" t="s" s="0">
        <v>599</v>
      </c>
      <c r="AK18" t="s" s="0">
        <v>82</v>
      </c>
      <c r="AL18" t="s" s="0">
        <v>245</v>
      </c>
      <c r="AM18" t="s" s="0">
        <v>245</v>
      </c>
      <c r="AN18" t="s" s="0">
        <v>115</v>
      </c>
      <c r="AO18" t="s" s="0">
        <v>77</v>
      </c>
      <c r="AP18" t="s" s="0">
        <v>102</v>
      </c>
      <c r="AQ18" t="s" s="0">
        <v>600</v>
      </c>
      <c r="AR18" t="s" s="0">
        <v>601</v>
      </c>
      <c r="AS18" t="s" s="0">
        <v>602</v>
      </c>
      <c r="AT18" t="s" s="0">
        <v>603</v>
      </c>
      <c r="AU18" t="s" s="0">
        <v>604</v>
      </c>
      <c r="AV18" t="s" s="0">
        <v>82</v>
      </c>
      <c r="AW18" t="s" s="0">
        <v>605</v>
      </c>
      <c r="AX18" t="s" s="0">
        <v>606</v>
      </c>
      <c r="AY18" t="s" s="0">
        <v>607</v>
      </c>
      <c r="AZ18" t="s" s="0">
        <v>408</v>
      </c>
      <c r="BA18" t="s" s="0">
        <v>608</v>
      </c>
      <c r="BB18" t="s" s="0">
        <v>82</v>
      </c>
      <c r="BC18" t="s" s="0">
        <v>82</v>
      </c>
      <c r="BD18" t="s" s="0">
        <v>82</v>
      </c>
      <c r="BE18" t="s" s="0">
        <v>82</v>
      </c>
      <c r="BF18" t="s" s="0">
        <v>82</v>
      </c>
      <c r="BG18" t="s" s="0">
        <v>609</v>
      </c>
      <c r="BH18" t="s" s="0">
        <v>320</v>
      </c>
      <c r="BI18" t="s" s="0">
        <v>82</v>
      </c>
      <c r="BJ18" t="s" s="0">
        <v>610</v>
      </c>
      <c r="BK18" t="s" s="33">
        <f>HYPERLINK("http://dx.doi.org/10.1016/j.jocn.2021.12.031","http://dx.doi.org/10.1016/j.jocn.2021.12.031")</f>
        <v>611</v>
      </c>
      <c r="BL18" t="s" s="0">
        <v>82</v>
      </c>
      <c r="BM18" t="s" s="0">
        <v>612</v>
      </c>
      <c r="BN18" t="s" s="0">
        <v>221</v>
      </c>
      <c r="BO18" t="s" s="0">
        <v>613</v>
      </c>
      <c r="BP18" t="s" s="0">
        <v>252</v>
      </c>
      <c r="BQ18" t="s" s="0">
        <v>614</v>
      </c>
      <c r="BR18" t="s" s="0">
        <v>615</v>
      </c>
      <c r="BS18" t="s" s="0">
        <v>616</v>
      </c>
      <c r="BT18" t="s" s="34">
        <f>HYPERLINK("https://www.webofscience.com/wos/woscc/full-record/WOS:000783823200014","View Record in Web of Science")</f>
        <v>120</v>
      </c>
      <c r="BU18" t="s" s="0">
        <v>82</v>
      </c>
      <c r="BV18" t="s" s="0">
        <v>82</v>
      </c>
      <c r="BW18" t="s" s="0">
        <v>82</v>
      </c>
      <c r="BX18" t="s" s="0">
        <v>122</v>
      </c>
    </row>
    <row r="19">
      <c r="A19" t="s" s="0">
        <v>77</v>
      </c>
      <c r="B19" t="s" s="0">
        <v>78</v>
      </c>
      <c r="C19" t="s" s="0">
        <v>77</v>
      </c>
      <c r="D19" t="s" s="0">
        <v>78</v>
      </c>
      <c r="E19" t="s" s="0">
        <v>617</v>
      </c>
      <c r="F19" t="s" s="0">
        <v>618</v>
      </c>
      <c r="G19" t="s" s="0">
        <v>619</v>
      </c>
      <c r="H19" t="s" s="0">
        <v>82</v>
      </c>
      <c r="I19" t="s" s="0">
        <v>83</v>
      </c>
      <c r="J19" t="s" s="0">
        <v>620</v>
      </c>
      <c r="K19" t="s" s="0">
        <v>621</v>
      </c>
      <c r="L19" t="s" s="0">
        <v>622</v>
      </c>
      <c r="M19" t="s" s="0">
        <v>623</v>
      </c>
      <c r="N19" t="s" s="0">
        <v>624</v>
      </c>
      <c r="O19" t="s" s="0">
        <v>625</v>
      </c>
      <c r="P19" t="s" s="0">
        <v>626</v>
      </c>
      <c r="Q19" t="s" s="0">
        <v>91</v>
      </c>
      <c r="R19" t="s" s="0">
        <v>82</v>
      </c>
      <c r="S19" t="s" s="0">
        <v>82</v>
      </c>
      <c r="T19" t="s" s="0">
        <v>82</v>
      </c>
      <c r="U19" t="s" s="0">
        <v>82</v>
      </c>
      <c r="V19" t="s" s="0">
        <v>627</v>
      </c>
      <c r="W19" t="s" s="0">
        <v>628</v>
      </c>
      <c r="X19" t="s" s="0">
        <v>82</v>
      </c>
      <c r="Y19" t="s" s="0">
        <v>82</v>
      </c>
      <c r="Z19" t="s" s="0">
        <v>94</v>
      </c>
      <c r="AA19" t="s" s="0">
        <v>95</v>
      </c>
      <c r="AB19" t="s" s="0">
        <v>82</v>
      </c>
      <c r="AC19" t="s" s="0">
        <v>82</v>
      </c>
      <c r="AD19" t="s" s="0">
        <v>82</v>
      </c>
      <c r="AE19" t="s" s="0">
        <v>82</v>
      </c>
      <c r="AF19" t="s" s="0">
        <v>82</v>
      </c>
      <c r="AG19" t="s" s="0">
        <v>82</v>
      </c>
      <c r="AH19" t="s" s="0">
        <v>629</v>
      </c>
      <c r="AI19" t="s" s="0">
        <v>630</v>
      </c>
      <c r="AJ19" t="s" s="0">
        <v>631</v>
      </c>
      <c r="AK19" t="s" s="0">
        <v>82</v>
      </c>
      <c r="AL19" t="s" s="0">
        <v>632</v>
      </c>
      <c r="AM19" t="s" s="0">
        <v>548</v>
      </c>
      <c r="AN19" t="s" s="0">
        <v>273</v>
      </c>
      <c r="AO19" t="s" s="0">
        <v>77</v>
      </c>
      <c r="AP19" t="s" s="0">
        <v>245</v>
      </c>
      <c r="AQ19" t="s" s="0">
        <v>633</v>
      </c>
      <c r="AR19" t="s" s="0">
        <v>634</v>
      </c>
      <c r="AS19" t="s" s="0">
        <v>635</v>
      </c>
      <c r="AT19" t="s" s="0">
        <v>82</v>
      </c>
      <c r="AU19" t="s" s="0">
        <v>636</v>
      </c>
      <c r="AV19" t="s" s="0">
        <v>82</v>
      </c>
      <c r="AW19" t="s" s="0">
        <v>637</v>
      </c>
      <c r="AX19" t="s" s="0">
        <v>638</v>
      </c>
      <c r="AY19" t="s" s="0">
        <v>639</v>
      </c>
      <c r="AZ19" t="s" s="0">
        <v>147</v>
      </c>
      <c r="BA19" t="s" s="0">
        <v>640</v>
      </c>
      <c r="BB19" t="s" s="0">
        <v>77</v>
      </c>
      <c r="BC19" t="s" s="0">
        <v>82</v>
      </c>
      <c r="BD19" t="s" s="0">
        <v>82</v>
      </c>
      <c r="BE19" t="s" s="0">
        <v>82</v>
      </c>
      <c r="BF19" t="s" s="0">
        <v>82</v>
      </c>
      <c r="BG19" t="s" s="0">
        <v>82</v>
      </c>
      <c r="BH19" t="s" s="0">
        <v>82</v>
      </c>
      <c r="BI19" t="s" s="0">
        <v>641</v>
      </c>
      <c r="BJ19" t="s" s="0">
        <v>642</v>
      </c>
      <c r="BK19" t="s" s="35">
        <f>HYPERLINK("http://dx.doi.org/10.1038/s41467-025-58283-7","http://dx.doi.org/10.1038/s41467-025-58283-7")</f>
        <v>643</v>
      </c>
      <c r="BL19" t="s" s="0">
        <v>82</v>
      </c>
      <c r="BM19" t="s" s="0">
        <v>82</v>
      </c>
      <c r="BN19" t="s" s="0">
        <v>149</v>
      </c>
      <c r="BO19" t="s" s="0">
        <v>644</v>
      </c>
      <c r="BP19" t="s" s="0">
        <v>645</v>
      </c>
      <c r="BQ19" t="s" s="0">
        <v>646</v>
      </c>
      <c r="BR19" t="s" s="0">
        <v>647</v>
      </c>
      <c r="BS19" t="s" s="0">
        <v>648</v>
      </c>
      <c r="BT19" t="s" s="36">
        <f>HYPERLINK("https://www.webofscience.com/wos/woscc/full-record/WOS:001452497500021","View Record in Web of Science")</f>
        <v>120</v>
      </c>
      <c r="BU19" t="s" s="0">
        <v>121</v>
      </c>
      <c r="BV19" t="s" s="0">
        <v>82</v>
      </c>
      <c r="BW19" t="s" s="0">
        <v>82</v>
      </c>
      <c r="BX19" t="s" s="0">
        <v>122</v>
      </c>
    </row>
    <row r="20">
      <c r="A20" t="s" s="0">
        <v>77</v>
      </c>
      <c r="B20" t="s" s="0">
        <v>78</v>
      </c>
      <c r="C20" t="s" s="0">
        <v>102</v>
      </c>
      <c r="D20" t="s" s="0">
        <v>78</v>
      </c>
      <c r="E20" t="s" s="0">
        <v>649</v>
      </c>
      <c r="F20" t="s" s="0">
        <v>650</v>
      </c>
      <c r="G20" t="s" s="0">
        <v>651</v>
      </c>
      <c r="H20" t="s" s="0">
        <v>82</v>
      </c>
      <c r="I20" t="s" s="0">
        <v>297</v>
      </c>
      <c r="J20" t="s" s="0">
        <v>652</v>
      </c>
      <c r="K20" t="s" s="0">
        <v>653</v>
      </c>
      <c r="L20" t="s" s="0">
        <v>654</v>
      </c>
      <c r="M20" t="s" s="0">
        <v>654</v>
      </c>
      <c r="N20" t="s" s="0">
        <v>655</v>
      </c>
      <c r="O20" t="s" s="0">
        <v>656</v>
      </c>
      <c r="P20" t="s" s="0">
        <v>657</v>
      </c>
      <c r="Q20" t="s" s="0">
        <v>91</v>
      </c>
      <c r="R20" t="s" s="0">
        <v>82</v>
      </c>
      <c r="S20" t="s" s="0">
        <v>82</v>
      </c>
      <c r="T20" t="s" s="0">
        <v>82</v>
      </c>
      <c r="U20" t="s" s="0">
        <v>82</v>
      </c>
      <c r="V20" t="s" s="0">
        <v>658</v>
      </c>
      <c r="W20" t="s" s="0">
        <v>486</v>
      </c>
      <c r="X20" t="s" s="0">
        <v>82</v>
      </c>
      <c r="Y20" t="s" s="0">
        <v>82</v>
      </c>
      <c r="Z20" t="s" s="0">
        <v>94</v>
      </c>
      <c r="AA20" t="s" s="0">
        <v>95</v>
      </c>
      <c r="AB20" t="s" s="0">
        <v>82</v>
      </c>
      <c r="AC20" t="s" s="0">
        <v>82</v>
      </c>
      <c r="AD20" t="s" s="0">
        <v>82</v>
      </c>
      <c r="AE20" t="s" s="0">
        <v>82</v>
      </c>
      <c r="AF20" t="s" s="0">
        <v>82</v>
      </c>
      <c r="AG20" t="s" s="0">
        <v>659</v>
      </c>
      <c r="AH20" t="s" s="0">
        <v>660</v>
      </c>
      <c r="AI20" t="s" s="0">
        <v>661</v>
      </c>
      <c r="AJ20" t="s" s="0">
        <v>662</v>
      </c>
      <c r="AK20" t="s" s="0">
        <v>82</v>
      </c>
      <c r="AL20" t="s" s="0">
        <v>273</v>
      </c>
      <c r="AM20" t="s" s="0">
        <v>399</v>
      </c>
      <c r="AN20" t="s" s="0">
        <v>548</v>
      </c>
      <c r="AO20" t="s" s="0">
        <v>447</v>
      </c>
      <c r="AP20" t="s" s="0">
        <v>221</v>
      </c>
      <c r="AQ20" t="s" s="0">
        <v>491</v>
      </c>
      <c r="AR20" t="s" s="0">
        <v>492</v>
      </c>
      <c r="AS20" t="s" s="0">
        <v>493</v>
      </c>
      <c r="AT20" t="s" s="0">
        <v>82</v>
      </c>
      <c r="AU20" t="s" s="0">
        <v>494</v>
      </c>
      <c r="AV20" t="s" s="0">
        <v>82</v>
      </c>
      <c r="AW20" t="s" s="0">
        <v>495</v>
      </c>
      <c r="AX20" t="s" s="0">
        <v>496</v>
      </c>
      <c r="AY20" t="s" s="0">
        <v>663</v>
      </c>
      <c r="AZ20" t="s" s="0">
        <v>110</v>
      </c>
      <c r="BA20" t="s" s="0">
        <v>221</v>
      </c>
      <c r="BB20" t="s" s="0">
        <v>102</v>
      </c>
      <c r="BC20" t="s" s="0">
        <v>82</v>
      </c>
      <c r="BD20" t="s" s="0">
        <v>82</v>
      </c>
      <c r="BE20" t="s" s="0">
        <v>82</v>
      </c>
      <c r="BF20" t="s" s="0">
        <v>82</v>
      </c>
      <c r="BG20" t="s" s="0">
        <v>664</v>
      </c>
      <c r="BH20" t="s" s="0">
        <v>665</v>
      </c>
      <c r="BI20" t="s" s="0">
        <v>82</v>
      </c>
      <c r="BJ20" t="s" s="0">
        <v>666</v>
      </c>
      <c r="BK20" t="s" s="37">
        <f>HYPERLINK("http://dx.doi.org/10.1093/ehjdh/ztae029","http://dx.doi.org/10.1093/ehjdh/ztae029")</f>
        <v>667</v>
      </c>
      <c r="BL20" t="s" s="0">
        <v>82</v>
      </c>
      <c r="BM20" t="s" s="0">
        <v>668</v>
      </c>
      <c r="BN20" t="s" s="0">
        <v>137</v>
      </c>
      <c r="BO20" t="s" s="0">
        <v>503</v>
      </c>
      <c r="BP20" t="s" s="0">
        <v>504</v>
      </c>
      <c r="BQ20" t="s" s="0">
        <v>669</v>
      </c>
      <c r="BR20" t="s" s="0">
        <v>670</v>
      </c>
      <c r="BS20" t="s" s="0">
        <v>671</v>
      </c>
      <c r="BT20" t="s" s="38">
        <f>HYPERLINK("https://www.webofscience.com/wos/woscc/full-record/WOS:001216710300001","View Record in Web of Science")</f>
        <v>120</v>
      </c>
      <c r="BU20" t="s" s="0">
        <v>121</v>
      </c>
      <c r="BV20" t="s" s="0">
        <v>82</v>
      </c>
      <c r="BW20" t="s" s="0">
        <v>82</v>
      </c>
      <c r="BX20" t="s" s="0">
        <v>122</v>
      </c>
    </row>
    <row r="21">
      <c r="A21" t="s" s="0">
        <v>77</v>
      </c>
      <c r="B21" t="s" s="0">
        <v>78</v>
      </c>
      <c r="C21" t="s" s="0">
        <v>375</v>
      </c>
      <c r="D21" t="s" s="0">
        <v>78</v>
      </c>
      <c r="E21" t="s" s="0">
        <v>672</v>
      </c>
      <c r="F21" t="s" s="0">
        <v>673</v>
      </c>
      <c r="G21" t="s" s="0">
        <v>674</v>
      </c>
      <c r="H21" t="s" s="0">
        <v>82</v>
      </c>
      <c r="I21" t="s" s="0">
        <v>83</v>
      </c>
      <c r="J21" t="s" s="0">
        <v>675</v>
      </c>
      <c r="K21" t="s" s="0">
        <v>676</v>
      </c>
      <c r="L21" t="s" s="0">
        <v>82</v>
      </c>
      <c r="M21" t="s" s="0">
        <v>82</v>
      </c>
      <c r="N21" t="s" s="0">
        <v>82</v>
      </c>
      <c r="O21" t="s" s="0">
        <v>677</v>
      </c>
      <c r="P21" t="s" s="0">
        <v>678</v>
      </c>
      <c r="Q21" t="s" s="0">
        <v>91</v>
      </c>
      <c r="R21" t="s" s="0">
        <v>82</v>
      </c>
      <c r="S21" t="s" s="0">
        <v>82</v>
      </c>
      <c r="T21" t="s" s="0">
        <v>82</v>
      </c>
      <c r="U21" t="s" s="0">
        <v>82</v>
      </c>
      <c r="V21" t="s" s="0">
        <v>679</v>
      </c>
      <c r="W21" t="s" s="0">
        <v>680</v>
      </c>
      <c r="X21" t="s" s="0">
        <v>82</v>
      </c>
      <c r="Y21" t="s" s="0">
        <v>82</v>
      </c>
      <c r="Z21" t="s" s="0">
        <v>94</v>
      </c>
      <c r="AA21" t="s" s="0">
        <v>95</v>
      </c>
      <c r="AB21" t="s" s="0">
        <v>82</v>
      </c>
      <c r="AC21" t="s" s="0">
        <v>82</v>
      </c>
      <c r="AD21" t="s" s="0">
        <v>82</v>
      </c>
      <c r="AE21" t="s" s="0">
        <v>82</v>
      </c>
      <c r="AF21" t="s" s="0">
        <v>82</v>
      </c>
      <c r="AG21" t="s" s="0">
        <v>681</v>
      </c>
      <c r="AH21" t="s" s="0">
        <v>682</v>
      </c>
      <c r="AI21" t="s" s="0">
        <v>683</v>
      </c>
      <c r="AJ21" t="s" s="0">
        <v>684</v>
      </c>
      <c r="AK21" t="s" s="0">
        <v>82</v>
      </c>
      <c r="AL21" t="s" s="0">
        <v>685</v>
      </c>
      <c r="AM21" t="s" s="0">
        <v>154</v>
      </c>
      <c r="AN21" t="s" s="0">
        <v>173</v>
      </c>
      <c r="AO21" t="s" s="0">
        <v>78</v>
      </c>
      <c r="AP21" t="s" s="0">
        <v>136</v>
      </c>
      <c r="AQ21" t="s" s="0">
        <v>686</v>
      </c>
      <c r="AR21" t="s" s="0">
        <v>687</v>
      </c>
      <c r="AS21" t="s" s="0">
        <v>688</v>
      </c>
      <c r="AT21" t="s" s="0">
        <v>689</v>
      </c>
      <c r="AU21" t="s" s="0">
        <v>690</v>
      </c>
      <c r="AV21" t="s" s="0">
        <v>82</v>
      </c>
      <c r="AW21" t="s" s="0">
        <v>691</v>
      </c>
      <c r="AX21" t="s" s="0">
        <v>692</v>
      </c>
      <c r="AY21" t="s" s="0">
        <v>693</v>
      </c>
      <c r="AZ21" t="s" s="0">
        <v>408</v>
      </c>
      <c r="BA21" t="s" s="0">
        <v>137</v>
      </c>
      <c r="BB21" t="s" s="0">
        <v>447</v>
      </c>
      <c r="BC21" t="s" s="0">
        <v>82</v>
      </c>
      <c r="BD21" t="s" s="0">
        <v>82</v>
      </c>
      <c r="BE21" t="s" s="0">
        <v>82</v>
      </c>
      <c r="BF21" t="s" s="0">
        <v>82</v>
      </c>
      <c r="BG21" t="s" s="0">
        <v>82</v>
      </c>
      <c r="BH21" t="s" s="0">
        <v>82</v>
      </c>
      <c r="BI21" t="s" s="0">
        <v>694</v>
      </c>
      <c r="BJ21" t="s" s="0">
        <v>695</v>
      </c>
      <c r="BK21" t="s" s="39">
        <f>HYPERLINK("http://dx.doi.org/10.1530/ETJ-21-0129","http://dx.doi.org/10.1530/ETJ-21-0129")</f>
        <v>696</v>
      </c>
      <c r="BL21" t="s" s="0">
        <v>82</v>
      </c>
      <c r="BM21" t="s" s="0">
        <v>82</v>
      </c>
      <c r="BN21" t="s" s="0">
        <v>138</v>
      </c>
      <c r="BO21" t="s" s="0">
        <v>697</v>
      </c>
      <c r="BP21" t="s" s="0">
        <v>697</v>
      </c>
      <c r="BQ21" t="s" s="0">
        <v>698</v>
      </c>
      <c r="BR21" t="s" s="0">
        <v>699</v>
      </c>
      <c r="BS21" t="s" s="0">
        <v>700</v>
      </c>
      <c r="BT21" t="s" s="40">
        <f>HYPERLINK("https://www.webofscience.com/wos/woscc/full-record/WOS:000808463200004","View Record in Web of Science")</f>
        <v>120</v>
      </c>
      <c r="BU21" t="s" s="0">
        <v>121</v>
      </c>
      <c r="BV21" t="s" s="0">
        <v>82</v>
      </c>
      <c r="BW21" t="s" s="0">
        <v>82</v>
      </c>
      <c r="BX21" t="s" s="0">
        <v>122</v>
      </c>
    </row>
    <row r="22">
      <c r="A22" t="s" s="0">
        <v>102</v>
      </c>
      <c r="B22" t="s" s="0">
        <v>78</v>
      </c>
      <c r="C22" t="s" s="0">
        <v>115</v>
      </c>
      <c r="D22" t="s" s="0">
        <v>78</v>
      </c>
      <c r="E22" t="s" s="0">
        <v>701</v>
      </c>
      <c r="F22" t="s" s="0">
        <v>702</v>
      </c>
      <c r="G22" t="s" s="0">
        <v>703</v>
      </c>
      <c r="H22" t="s" s="0">
        <v>82</v>
      </c>
      <c r="I22" t="s" s="0">
        <v>83</v>
      </c>
      <c r="J22" t="s" s="0">
        <v>704</v>
      </c>
      <c r="K22" t="s" s="0">
        <v>705</v>
      </c>
      <c r="L22" t="s" s="0">
        <v>706</v>
      </c>
      <c r="M22" t="s" s="0">
        <v>707</v>
      </c>
      <c r="N22" t="s" s="0">
        <v>708</v>
      </c>
      <c r="O22" t="s" s="0">
        <v>709</v>
      </c>
      <c r="P22" t="s" s="0">
        <v>710</v>
      </c>
      <c r="Q22" t="s" s="0">
        <v>91</v>
      </c>
      <c r="R22" t="s" s="0">
        <v>82</v>
      </c>
      <c r="S22" t="s" s="0">
        <v>82</v>
      </c>
      <c r="T22" t="s" s="0">
        <v>82</v>
      </c>
      <c r="U22" t="s" s="0">
        <v>82</v>
      </c>
      <c r="V22" t="s" s="0">
        <v>711</v>
      </c>
      <c r="W22" t="s" s="0">
        <v>712</v>
      </c>
      <c r="X22" t="s" s="0">
        <v>82</v>
      </c>
      <c r="Y22" t="s" s="0">
        <v>82</v>
      </c>
      <c r="Z22" t="s" s="0">
        <v>94</v>
      </c>
      <c r="AA22" t="s" s="0">
        <v>95</v>
      </c>
      <c r="AB22" t="s" s="0">
        <v>82</v>
      </c>
      <c r="AC22" t="s" s="0">
        <v>82</v>
      </c>
      <c r="AD22" t="s" s="0">
        <v>82</v>
      </c>
      <c r="AE22" t="s" s="0">
        <v>82</v>
      </c>
      <c r="AF22" t="s" s="0">
        <v>82</v>
      </c>
      <c r="AG22" t="s" s="0">
        <v>713</v>
      </c>
      <c r="AH22" t="s" s="0">
        <v>714</v>
      </c>
      <c r="AI22" t="s" s="0">
        <v>715</v>
      </c>
      <c r="AJ22" t="s" s="0">
        <v>716</v>
      </c>
      <c r="AK22" t="s" s="0">
        <v>82</v>
      </c>
      <c r="AL22" t="s" s="0">
        <v>311</v>
      </c>
      <c r="AM22" t="s" s="0">
        <v>464</v>
      </c>
      <c r="AN22" t="s" s="0">
        <v>717</v>
      </c>
      <c r="AO22" t="s" s="0">
        <v>78</v>
      </c>
      <c r="AP22" t="s" s="0">
        <v>548</v>
      </c>
      <c r="AQ22" t="s" s="0">
        <v>600</v>
      </c>
      <c r="AR22" t="s" s="0">
        <v>601</v>
      </c>
      <c r="AS22" t="s" s="0">
        <v>602</v>
      </c>
      <c r="AT22" t="s" s="0">
        <v>718</v>
      </c>
      <c r="AU22" t="s" s="0">
        <v>719</v>
      </c>
      <c r="AV22" t="s" s="0">
        <v>82</v>
      </c>
      <c r="AW22" t="s" s="0">
        <v>720</v>
      </c>
      <c r="AX22" t="s" s="0">
        <v>721</v>
      </c>
      <c r="AY22" t="s" s="0">
        <v>722</v>
      </c>
      <c r="AZ22" t="s" s="0">
        <v>210</v>
      </c>
      <c r="BA22" t="s" s="0">
        <v>723</v>
      </c>
      <c r="BB22" t="s" s="0">
        <v>447</v>
      </c>
      <c r="BC22" t="s" s="0">
        <v>82</v>
      </c>
      <c r="BD22" t="s" s="0">
        <v>82</v>
      </c>
      <c r="BE22" t="s" s="0">
        <v>82</v>
      </c>
      <c r="BF22" t="s" s="0">
        <v>82</v>
      </c>
      <c r="BG22" t="s" s="0">
        <v>724</v>
      </c>
      <c r="BH22" t="s" s="0">
        <v>725</v>
      </c>
      <c r="BI22" t="s" s="0">
        <v>82</v>
      </c>
      <c r="BJ22" t="s" s="0">
        <v>726</v>
      </c>
      <c r="BK22" t="s" s="41">
        <f>HYPERLINK("http://dx.doi.org/10.1016/j.bja.2022.06.031","http://dx.doi.org/10.1016/j.bja.2022.06.031")</f>
        <v>727</v>
      </c>
      <c r="BL22" t="s" s="0">
        <v>82</v>
      </c>
      <c r="BM22" t="s" s="0">
        <v>728</v>
      </c>
      <c r="BN22" t="s" s="0">
        <v>319</v>
      </c>
      <c r="BO22" t="s" s="0">
        <v>729</v>
      </c>
      <c r="BP22" t="s" s="0">
        <v>729</v>
      </c>
      <c r="BQ22" t="s" s="0">
        <v>730</v>
      </c>
      <c r="BR22" t="s" s="0">
        <v>731</v>
      </c>
      <c r="BS22" t="s" s="0">
        <v>732</v>
      </c>
      <c r="BT22" t="s" s="42">
        <f>HYPERLINK("https://www.webofscience.com/wos/woscc/full-record/WOS:000961675800001","View Record in Web of Science")</f>
        <v>120</v>
      </c>
      <c r="BU22" t="s" s="0">
        <v>256</v>
      </c>
      <c r="BV22" t="s" s="0">
        <v>82</v>
      </c>
      <c r="BW22" t="s" s="0">
        <v>82</v>
      </c>
      <c r="BX22" t="s" s="0">
        <v>122</v>
      </c>
    </row>
    <row r="23">
      <c r="A23" t="s" s="0">
        <v>78</v>
      </c>
      <c r="B23" t="s" s="0">
        <v>78</v>
      </c>
      <c r="C23" t="s" s="0">
        <v>78</v>
      </c>
      <c r="D23" t="s" s="0">
        <v>78</v>
      </c>
      <c r="E23" t="s" s="0">
        <v>733</v>
      </c>
      <c r="F23" t="s" s="0">
        <v>734</v>
      </c>
      <c r="G23" t="s" s="0">
        <v>735</v>
      </c>
      <c r="H23" t="s" s="0">
        <v>82</v>
      </c>
      <c r="I23" t="s" s="0">
        <v>83</v>
      </c>
      <c r="J23" t="s" s="0">
        <v>736</v>
      </c>
      <c r="K23" t="s" s="0">
        <v>737</v>
      </c>
      <c r="L23" t="s" s="0">
        <v>82</v>
      </c>
      <c r="M23" t="s" s="0">
        <v>82</v>
      </c>
      <c r="N23" t="s" s="0">
        <v>82</v>
      </c>
      <c r="O23" t="s" s="0">
        <v>738</v>
      </c>
      <c r="P23" t="s" s="0">
        <v>739</v>
      </c>
      <c r="Q23" t="s" s="0">
        <v>91</v>
      </c>
      <c r="R23" t="s" s="0">
        <v>82</v>
      </c>
      <c r="S23" t="s" s="0">
        <v>82</v>
      </c>
      <c r="T23" t="s" s="0">
        <v>82</v>
      </c>
      <c r="U23" t="s" s="0">
        <v>82</v>
      </c>
      <c r="V23" t="s" s="0">
        <v>740</v>
      </c>
      <c r="W23" t="s" s="0">
        <v>741</v>
      </c>
      <c r="X23" t="s" s="0">
        <v>82</v>
      </c>
      <c r="Y23" t="s" s="0">
        <v>82</v>
      </c>
      <c r="Z23" t="s" s="0">
        <v>94</v>
      </c>
      <c r="AA23" t="s" s="0">
        <v>95</v>
      </c>
      <c r="AB23" t="s" s="0">
        <v>82</v>
      </c>
      <c r="AC23" t="s" s="0">
        <v>82</v>
      </c>
      <c r="AD23" t="s" s="0">
        <v>82</v>
      </c>
      <c r="AE23" t="s" s="0">
        <v>82</v>
      </c>
      <c r="AF23" t="s" s="0">
        <v>82</v>
      </c>
      <c r="AG23" t="s" s="0">
        <v>742</v>
      </c>
      <c r="AH23" t="s" s="0">
        <v>743</v>
      </c>
      <c r="AI23" t="s" s="0">
        <v>744</v>
      </c>
      <c r="AJ23" t="s" s="0">
        <v>82</v>
      </c>
      <c r="AK23" t="s" s="0">
        <v>82</v>
      </c>
      <c r="AL23" t="s" s="0">
        <v>745</v>
      </c>
      <c r="AM23" t="s" s="0">
        <v>78</v>
      </c>
      <c r="AN23" t="s" s="0">
        <v>78</v>
      </c>
      <c r="AO23" t="s" s="0">
        <v>78</v>
      </c>
      <c r="AP23" t="s" s="0">
        <v>78</v>
      </c>
      <c r="AQ23" t="s" s="0">
        <v>746</v>
      </c>
      <c r="AR23" t="s" s="0">
        <v>747</v>
      </c>
      <c r="AS23" t="s" s="0">
        <v>748</v>
      </c>
      <c r="AT23" t="s" s="0">
        <v>749</v>
      </c>
      <c r="AU23" t="s" s="0">
        <v>750</v>
      </c>
      <c r="AV23" t="s" s="0">
        <v>82</v>
      </c>
      <c r="AW23" t="s" s="0">
        <v>751</v>
      </c>
      <c r="AX23" t="s" s="0">
        <v>752</v>
      </c>
      <c r="AY23" t="s" s="0">
        <v>753</v>
      </c>
      <c r="AZ23" t="s" s="0">
        <v>181</v>
      </c>
      <c r="BA23" t="s" s="0">
        <v>754</v>
      </c>
      <c r="BB23" t="s" s="0">
        <v>82</v>
      </c>
      <c r="BC23" t="s" s="0">
        <v>82</v>
      </c>
      <c r="BD23" t="s" s="0">
        <v>82</v>
      </c>
      <c r="BE23" t="s" s="0">
        <v>82</v>
      </c>
      <c r="BF23" t="s" s="0">
        <v>82</v>
      </c>
      <c r="BG23" t="s" s="0">
        <v>100</v>
      </c>
      <c r="BH23" t="s" s="0">
        <v>755</v>
      </c>
      <c r="BI23" t="s" s="0">
        <v>82</v>
      </c>
      <c r="BJ23" t="s" s="0">
        <v>756</v>
      </c>
      <c r="BK23" t="s" s="43">
        <f>HYPERLINK("http://dx.doi.org/10.1016/j.amjcard.2026.06.005","http://dx.doi.org/10.1016/j.amjcard.2026.06.005")</f>
        <v>757</v>
      </c>
      <c r="BL23" t="s" s="0">
        <v>82</v>
      </c>
      <c r="BM23" t="s" s="0">
        <v>184</v>
      </c>
      <c r="BN23" t="s" s="0">
        <v>115</v>
      </c>
      <c r="BO23" t="s" s="0">
        <v>503</v>
      </c>
      <c r="BP23" t="s" s="0">
        <v>504</v>
      </c>
      <c r="BQ23" t="s" s="0">
        <v>758</v>
      </c>
      <c r="BR23" t="s" s="0">
        <v>759</v>
      </c>
      <c r="BS23" t="s" s="0">
        <v>760</v>
      </c>
      <c r="BT23" t="s" s="44">
        <f>HYPERLINK("https://www.webofscience.com/wos/woscc/full-record/WOS:001813385100001","View Record in Web of Science")</f>
        <v>120</v>
      </c>
      <c r="BU23" t="s" s="0">
        <v>82</v>
      </c>
      <c r="BV23" t="s" s="0">
        <v>82</v>
      </c>
      <c r="BW23" t="s" s="0">
        <v>82</v>
      </c>
      <c r="BX23" t="s" s="0">
        <v>122</v>
      </c>
    </row>
    <row r="24">
      <c r="A24" t="s" s="0">
        <v>221</v>
      </c>
      <c r="B24" t="s" s="0">
        <v>78</v>
      </c>
      <c r="C24" t="s" s="0">
        <v>548</v>
      </c>
      <c r="D24" t="s" s="0">
        <v>78</v>
      </c>
      <c r="E24" t="s" s="0">
        <v>761</v>
      </c>
      <c r="F24" t="s" s="0">
        <v>762</v>
      </c>
      <c r="G24" t="s" s="0">
        <v>763</v>
      </c>
      <c r="H24" t="s" s="0">
        <v>82</v>
      </c>
      <c r="I24" t="s" s="0">
        <v>83</v>
      </c>
      <c r="J24" t="s" s="0">
        <v>764</v>
      </c>
      <c r="K24" t="s" s="0">
        <v>765</v>
      </c>
      <c r="L24" t="s" s="0">
        <v>766</v>
      </c>
      <c r="M24" t="s" s="0">
        <v>767</v>
      </c>
      <c r="N24" t="s" s="0">
        <v>82</v>
      </c>
      <c r="O24" t="s" s="0">
        <v>768</v>
      </c>
      <c r="P24" t="s" s="0">
        <v>769</v>
      </c>
      <c r="Q24" t="s" s="0">
        <v>91</v>
      </c>
      <c r="R24" t="s" s="0">
        <v>82</v>
      </c>
      <c r="S24" t="s" s="0">
        <v>82</v>
      </c>
      <c r="T24" t="s" s="0">
        <v>82</v>
      </c>
      <c r="U24" t="s" s="0">
        <v>82</v>
      </c>
      <c r="V24" t="s" s="0">
        <v>770</v>
      </c>
      <c r="W24" t="s" s="0">
        <v>771</v>
      </c>
      <c r="X24" t="s" s="0">
        <v>82</v>
      </c>
      <c r="Y24" t="s" s="0">
        <v>82</v>
      </c>
      <c r="Z24" t="s" s="0">
        <v>94</v>
      </c>
      <c r="AA24" t="s" s="0">
        <v>95</v>
      </c>
      <c r="AB24" t="s" s="0">
        <v>82</v>
      </c>
      <c r="AC24" t="s" s="0">
        <v>82</v>
      </c>
      <c r="AD24" t="s" s="0">
        <v>82</v>
      </c>
      <c r="AE24" t="s" s="0">
        <v>82</v>
      </c>
      <c r="AF24" t="s" s="0">
        <v>82</v>
      </c>
      <c r="AG24" t="s" s="0">
        <v>82</v>
      </c>
      <c r="AH24" t="s" s="0">
        <v>772</v>
      </c>
      <c r="AI24" t="s" s="0">
        <v>773</v>
      </c>
      <c r="AJ24" t="s" s="0">
        <v>774</v>
      </c>
      <c r="AK24" t="s" s="0">
        <v>82</v>
      </c>
      <c r="AL24" t="s" s="0">
        <v>775</v>
      </c>
      <c r="AM24" t="s" s="0">
        <v>776</v>
      </c>
      <c r="AN24" t="s" s="0">
        <v>777</v>
      </c>
      <c r="AO24" t="s" s="0">
        <v>447</v>
      </c>
      <c r="AP24" t="s" s="0">
        <v>640</v>
      </c>
      <c r="AQ24" t="s" s="0">
        <v>633</v>
      </c>
      <c r="AR24" t="s" s="0">
        <v>634</v>
      </c>
      <c r="AS24" t="s" s="0">
        <v>635</v>
      </c>
      <c r="AT24" t="s" s="0">
        <v>778</v>
      </c>
      <c r="AU24" t="s" s="0">
        <v>82</v>
      </c>
      <c r="AV24" t="s" s="0">
        <v>82</v>
      </c>
      <c r="AW24" t="s" s="0">
        <v>779</v>
      </c>
      <c r="AX24" t="s" s="0">
        <v>780</v>
      </c>
      <c r="AY24" t="s" s="0">
        <v>781</v>
      </c>
      <c r="AZ24" t="s" s="0">
        <v>525</v>
      </c>
      <c r="BA24" t="s" s="0">
        <v>102</v>
      </c>
      <c r="BB24" t="s" s="0">
        <v>77</v>
      </c>
      <c r="BC24" t="s" s="0">
        <v>82</v>
      </c>
      <c r="BD24" t="s" s="0">
        <v>82</v>
      </c>
      <c r="BE24" t="s" s="0">
        <v>82</v>
      </c>
      <c r="BF24" t="s" s="0">
        <v>82</v>
      </c>
      <c r="BG24" t="s" s="0">
        <v>82</v>
      </c>
      <c r="BH24" t="s" s="0">
        <v>82</v>
      </c>
      <c r="BI24" t="s" s="0">
        <v>782</v>
      </c>
      <c r="BJ24" t="s" s="0">
        <v>783</v>
      </c>
      <c r="BK24" t="s" s="45">
        <f>HYPERLINK("http://dx.doi.org/10.1038/s41746-021-00460-1","http://dx.doi.org/10.1038/s41746-021-00460-1")</f>
        <v>784</v>
      </c>
      <c r="BL24" t="s" s="0">
        <v>82</v>
      </c>
      <c r="BM24" t="s" s="0">
        <v>82</v>
      </c>
      <c r="BN24" t="s" s="0">
        <v>115</v>
      </c>
      <c r="BO24" t="s" s="0">
        <v>785</v>
      </c>
      <c r="BP24" t="s" s="0">
        <v>785</v>
      </c>
      <c r="BQ24" t="s" s="0">
        <v>786</v>
      </c>
      <c r="BR24" t="s" s="0">
        <v>787</v>
      </c>
      <c r="BS24" t="s" s="0">
        <v>788</v>
      </c>
      <c r="BT24" t="s" s="46">
        <f>HYPERLINK("https://www.webofscience.com/wos/woscc/full-record/WOS:000657038900001","View Record in Web of Science")</f>
        <v>120</v>
      </c>
      <c r="BU24" t="s" s="0">
        <v>121</v>
      </c>
      <c r="BV24" t="s" s="0">
        <v>82</v>
      </c>
      <c r="BW24" t="s" s="0">
        <v>82</v>
      </c>
      <c r="BX24" t="s" s="0">
        <v>122</v>
      </c>
    </row>
    <row r="25">
      <c r="A25" t="s" s="0">
        <v>78</v>
      </c>
      <c r="B25" t="s" s="0">
        <v>78</v>
      </c>
      <c r="C25" t="s" s="0">
        <v>77</v>
      </c>
      <c r="D25" t="s" s="0">
        <v>78</v>
      </c>
      <c r="E25" t="s" s="0">
        <v>789</v>
      </c>
      <c r="F25" t="s" s="0">
        <v>790</v>
      </c>
      <c r="G25" t="s" s="0">
        <v>791</v>
      </c>
      <c r="H25" t="s" s="0">
        <v>82</v>
      </c>
      <c r="I25" t="s" s="0">
        <v>83</v>
      </c>
      <c r="J25" t="s" s="0">
        <v>792</v>
      </c>
      <c r="K25" t="s" s="0">
        <v>793</v>
      </c>
      <c r="L25" t="s" s="0">
        <v>82</v>
      </c>
      <c r="M25" t="s" s="0">
        <v>82</v>
      </c>
      <c r="N25" t="s" s="0">
        <v>82</v>
      </c>
      <c r="O25" t="s" s="0">
        <v>794</v>
      </c>
      <c r="P25" t="s" s="0">
        <v>795</v>
      </c>
      <c r="Q25" t="s" s="0">
        <v>91</v>
      </c>
      <c r="R25" t="s" s="0">
        <v>82</v>
      </c>
      <c r="S25" t="s" s="0">
        <v>82</v>
      </c>
      <c r="T25" t="s" s="0">
        <v>82</v>
      </c>
      <c r="U25" t="s" s="0">
        <v>82</v>
      </c>
      <c r="V25" t="s" s="0">
        <v>796</v>
      </c>
      <c r="W25" t="s" s="0">
        <v>797</v>
      </c>
      <c r="X25" t="s" s="0">
        <v>82</v>
      </c>
      <c r="Y25" t="s" s="0">
        <v>82</v>
      </c>
      <c r="Z25" t="s" s="0">
        <v>94</v>
      </c>
      <c r="AA25" t="s" s="0">
        <v>95</v>
      </c>
      <c r="AB25" t="s" s="0">
        <v>82</v>
      </c>
      <c r="AC25" t="s" s="0">
        <v>82</v>
      </c>
      <c r="AD25" t="s" s="0">
        <v>82</v>
      </c>
      <c r="AE25" t="s" s="0">
        <v>82</v>
      </c>
      <c r="AF25" t="s" s="0">
        <v>82</v>
      </c>
      <c r="AG25" t="s" s="0">
        <v>798</v>
      </c>
      <c r="AH25" t="s" s="0">
        <v>82</v>
      </c>
      <c r="AI25" t="s" s="0">
        <v>799</v>
      </c>
      <c r="AJ25" t="s" s="0">
        <v>82</v>
      </c>
      <c r="AK25" t="s" s="0">
        <v>82</v>
      </c>
      <c r="AL25" t="s" s="0">
        <v>149</v>
      </c>
      <c r="AM25" t="s" s="0">
        <v>77</v>
      </c>
      <c r="AN25" t="s" s="0">
        <v>447</v>
      </c>
      <c r="AO25" t="s" s="0">
        <v>78</v>
      </c>
      <c r="AP25" t="s" s="0">
        <v>77</v>
      </c>
      <c r="AQ25" t="s" s="0">
        <v>202</v>
      </c>
      <c r="AR25" t="s" s="0">
        <v>203</v>
      </c>
      <c r="AS25" t="s" s="0">
        <v>204</v>
      </c>
      <c r="AT25" t="s" s="0">
        <v>800</v>
      </c>
      <c r="AU25" t="s" s="0">
        <v>801</v>
      </c>
      <c r="AV25" t="s" s="0">
        <v>82</v>
      </c>
      <c r="AW25" t="s" s="0">
        <v>802</v>
      </c>
      <c r="AX25" t="s" s="0">
        <v>803</v>
      </c>
      <c r="AY25" t="s" s="0">
        <v>804</v>
      </c>
      <c r="AZ25" t="s" s="0">
        <v>210</v>
      </c>
      <c r="BA25" t="s" s="0">
        <v>805</v>
      </c>
      <c r="BB25" t="s" s="0">
        <v>82</v>
      </c>
      <c r="BC25" t="s" s="0">
        <v>82</v>
      </c>
      <c r="BD25" t="s" s="0">
        <v>82</v>
      </c>
      <c r="BE25" t="s" s="0">
        <v>82</v>
      </c>
      <c r="BF25" t="s" s="0">
        <v>82</v>
      </c>
      <c r="BG25" t="s" s="0">
        <v>806</v>
      </c>
      <c r="BH25" t="s" s="0">
        <v>807</v>
      </c>
      <c r="BI25" t="s" s="0">
        <v>82</v>
      </c>
      <c r="BJ25" t="s" s="0">
        <v>808</v>
      </c>
      <c r="BK25" t="s" s="47">
        <f>HYPERLINK("http://dx.doi.org/10.1016/j.clinimag.2023.06.023","http://dx.doi.org/10.1016/j.clinimag.2023.06.023")</f>
        <v>809</v>
      </c>
      <c r="BL25" t="s" s="0">
        <v>82</v>
      </c>
      <c r="BM25" t="s" s="0">
        <v>810</v>
      </c>
      <c r="BN25" t="s" s="0">
        <v>375</v>
      </c>
      <c r="BO25" t="s" s="0">
        <v>414</v>
      </c>
      <c r="BP25" t="s" s="0">
        <v>414</v>
      </c>
      <c r="BQ25" t="s" s="0">
        <v>811</v>
      </c>
      <c r="BR25" t="s" s="0">
        <v>812</v>
      </c>
      <c r="BS25" t="s" s="0">
        <v>813</v>
      </c>
      <c r="BT25" t="s" s="48">
        <f>HYPERLINK("https://www.webofscience.com/wos/woscc/full-record/WOS:001036889500001","View Record in Web of Science")</f>
        <v>120</v>
      </c>
      <c r="BU25" t="s" s="0">
        <v>82</v>
      </c>
      <c r="BV25" t="s" s="0">
        <v>82</v>
      </c>
      <c r="BW25" t="s" s="0">
        <v>82</v>
      </c>
      <c r="BX25" t="s" s="0">
        <v>122</v>
      </c>
    </row>
    <row r="26">
      <c r="A26" t="s" s="0">
        <v>447</v>
      </c>
      <c r="B26" t="s" s="0">
        <v>78</v>
      </c>
      <c r="C26" t="s" s="0">
        <v>137</v>
      </c>
      <c r="D26" t="s" s="0">
        <v>78</v>
      </c>
      <c r="E26" t="s" s="0">
        <v>814</v>
      </c>
      <c r="F26" t="s" s="0">
        <v>815</v>
      </c>
      <c r="G26" t="s" s="0">
        <v>816</v>
      </c>
      <c r="H26" t="s" s="0">
        <v>82</v>
      </c>
      <c r="I26" t="s" s="0">
        <v>83</v>
      </c>
      <c r="J26" t="s" s="0">
        <v>817</v>
      </c>
      <c r="K26" t="s" s="0">
        <v>818</v>
      </c>
      <c r="L26" t="s" s="0">
        <v>819</v>
      </c>
      <c r="M26" t="s" s="0">
        <v>819</v>
      </c>
      <c r="N26" t="s" s="0">
        <v>820</v>
      </c>
      <c r="O26" t="s" s="0">
        <v>821</v>
      </c>
      <c r="P26" t="s" s="0">
        <v>822</v>
      </c>
      <c r="Q26" t="s" s="0">
        <v>91</v>
      </c>
      <c r="R26" t="s" s="0">
        <v>82</v>
      </c>
      <c r="S26" t="s" s="0">
        <v>82</v>
      </c>
      <c r="T26" t="s" s="0">
        <v>82</v>
      </c>
      <c r="U26" t="s" s="0">
        <v>82</v>
      </c>
      <c r="V26" t="s" s="0">
        <v>823</v>
      </c>
      <c r="W26" t="s" s="0">
        <v>824</v>
      </c>
      <c r="X26" t="s" s="0">
        <v>82</v>
      </c>
      <c r="Y26" t="s" s="0">
        <v>82</v>
      </c>
      <c r="Z26" t="s" s="0">
        <v>94</v>
      </c>
      <c r="AA26" t="s" s="0">
        <v>95</v>
      </c>
      <c r="AB26" t="s" s="0">
        <v>82</v>
      </c>
      <c r="AC26" t="s" s="0">
        <v>82</v>
      </c>
      <c r="AD26" t="s" s="0">
        <v>82</v>
      </c>
      <c r="AE26" t="s" s="0">
        <v>82</v>
      </c>
      <c r="AF26" t="s" s="0">
        <v>82</v>
      </c>
      <c r="AG26" t="s" s="0">
        <v>82</v>
      </c>
      <c r="AH26" t="s" s="0">
        <v>825</v>
      </c>
      <c r="AI26" t="s" s="0">
        <v>826</v>
      </c>
      <c r="AJ26" t="s" s="0">
        <v>827</v>
      </c>
      <c r="AK26" t="s" s="0">
        <v>82</v>
      </c>
      <c r="AL26" t="s" s="0">
        <v>828</v>
      </c>
      <c r="AM26" t="s" s="0">
        <v>829</v>
      </c>
      <c r="AN26" t="s" s="0">
        <v>830</v>
      </c>
      <c r="AO26" t="s" s="0">
        <v>77</v>
      </c>
      <c r="AP26" t="s" s="0">
        <v>831</v>
      </c>
      <c r="AQ26" t="s" s="0">
        <v>832</v>
      </c>
      <c r="AR26" t="s" s="0">
        <v>833</v>
      </c>
      <c r="AS26" t="s" s="0">
        <v>834</v>
      </c>
      <c r="AT26" t="s" s="0">
        <v>835</v>
      </c>
      <c r="AU26" t="s" s="0">
        <v>836</v>
      </c>
      <c r="AV26" t="s" s="0">
        <v>82</v>
      </c>
      <c r="AW26" t="s" s="0">
        <v>824</v>
      </c>
      <c r="AX26" t="s" s="0">
        <v>729</v>
      </c>
      <c r="AY26" t="s" s="0">
        <v>837</v>
      </c>
      <c r="AZ26" t="s" s="0">
        <v>210</v>
      </c>
      <c r="BA26" t="s" s="0">
        <v>838</v>
      </c>
      <c r="BB26" t="s" s="0">
        <v>101</v>
      </c>
      <c r="BC26" t="s" s="0">
        <v>82</v>
      </c>
      <c r="BD26" t="s" s="0">
        <v>82</v>
      </c>
      <c r="BE26" t="s" s="0">
        <v>82</v>
      </c>
      <c r="BF26" t="s" s="0">
        <v>82</v>
      </c>
      <c r="BG26" t="s" s="0">
        <v>839</v>
      </c>
      <c r="BH26" t="s" s="0">
        <v>840</v>
      </c>
      <c r="BI26" t="s" s="0">
        <v>82</v>
      </c>
      <c r="BJ26" t="s" s="0">
        <v>841</v>
      </c>
      <c r="BK26" t="s" s="49">
        <f>HYPERLINK("http://dx.doi.org/10.1097/ALN.0000000000004478","http://dx.doi.org/10.1097/ALN.0000000000004478")</f>
        <v>842</v>
      </c>
      <c r="BL26" t="s" s="0">
        <v>82</v>
      </c>
      <c r="BM26" t="s" s="0">
        <v>82</v>
      </c>
      <c r="BN26" t="s" s="0">
        <v>115</v>
      </c>
      <c r="BO26" t="s" s="0">
        <v>729</v>
      </c>
      <c r="BP26" t="s" s="0">
        <v>729</v>
      </c>
      <c r="BQ26" t="s" s="0">
        <v>843</v>
      </c>
      <c r="BR26" t="s" s="0">
        <v>844</v>
      </c>
      <c r="BS26" t="s" s="0">
        <v>845</v>
      </c>
      <c r="BT26" t="s" s="50">
        <f>HYPERLINK("https://www.webofscience.com/wos/woscc/full-record/WOS:000934909400009","View Record in Web of Science")</f>
        <v>120</v>
      </c>
      <c r="BU26" t="s" s="0">
        <v>846</v>
      </c>
      <c r="BV26" t="s" s="0">
        <v>82</v>
      </c>
      <c r="BW26" t="s" s="0">
        <v>82</v>
      </c>
      <c r="BX26" t="s" s="0">
        <v>122</v>
      </c>
    </row>
    <row r="27">
      <c r="A27" t="s" s="0">
        <v>101</v>
      </c>
      <c r="B27" t="s" s="0">
        <v>78</v>
      </c>
      <c r="C27" t="s" s="0">
        <v>149</v>
      </c>
      <c r="D27" t="s" s="0">
        <v>77</v>
      </c>
      <c r="E27" t="s" s="0">
        <v>847</v>
      </c>
      <c r="F27" t="s" s="0">
        <v>848</v>
      </c>
      <c r="G27" t="s" s="0">
        <v>849</v>
      </c>
      <c r="H27" t="s" s="0">
        <v>82</v>
      </c>
      <c r="I27" t="s" s="0">
        <v>83</v>
      </c>
      <c r="J27" t="s" s="0">
        <v>850</v>
      </c>
      <c r="K27" t="s" s="0">
        <v>851</v>
      </c>
      <c r="L27" t="s" s="0">
        <v>852</v>
      </c>
      <c r="M27" t="s" s="0">
        <v>853</v>
      </c>
      <c r="N27" t="s" s="0">
        <v>854</v>
      </c>
      <c r="O27" t="s" s="0">
        <v>855</v>
      </c>
      <c r="P27" t="s" s="0">
        <v>856</v>
      </c>
      <c r="Q27" t="s" s="0">
        <v>91</v>
      </c>
      <c r="R27" t="s" s="0">
        <v>82</v>
      </c>
      <c r="S27" t="s" s="0">
        <v>82</v>
      </c>
      <c r="T27" t="s" s="0">
        <v>82</v>
      </c>
      <c r="U27" t="s" s="0">
        <v>82</v>
      </c>
      <c r="V27" t="s" s="0">
        <v>857</v>
      </c>
      <c r="W27" t="s" s="0">
        <v>858</v>
      </c>
      <c r="X27" t="s" s="0">
        <v>82</v>
      </c>
      <c r="Y27" t="s" s="0">
        <v>82</v>
      </c>
      <c r="Z27" t="s" s="0">
        <v>94</v>
      </c>
      <c r="AA27" t="s" s="0">
        <v>95</v>
      </c>
      <c r="AB27" t="s" s="0">
        <v>82</v>
      </c>
      <c r="AC27" t="s" s="0">
        <v>82</v>
      </c>
      <c r="AD27" t="s" s="0">
        <v>82</v>
      </c>
      <c r="AE27" t="s" s="0">
        <v>82</v>
      </c>
      <c r="AF27" t="s" s="0">
        <v>82</v>
      </c>
      <c r="AG27" t="s" s="0">
        <v>859</v>
      </c>
      <c r="AH27" t="s" s="0">
        <v>860</v>
      </c>
      <c r="AI27" t="s" s="0">
        <v>861</v>
      </c>
      <c r="AJ27" t="s" s="0">
        <v>862</v>
      </c>
      <c r="AK27" t="s" s="0">
        <v>82</v>
      </c>
      <c r="AL27" t="s" s="0">
        <v>349</v>
      </c>
      <c r="AM27" t="s" s="0">
        <v>863</v>
      </c>
      <c r="AN27" t="s" s="0">
        <v>864</v>
      </c>
      <c r="AO27" t="s" s="0">
        <v>447</v>
      </c>
      <c r="AP27" t="s" s="0">
        <v>311</v>
      </c>
      <c r="AQ27" t="s" s="0">
        <v>312</v>
      </c>
      <c r="AR27" t="s" s="0">
        <v>313</v>
      </c>
      <c r="AS27" t="s" s="0">
        <v>549</v>
      </c>
      <c r="AT27" t="s" s="0">
        <v>82</v>
      </c>
      <c r="AU27" t="s" s="0">
        <v>865</v>
      </c>
      <c r="AV27" t="s" s="0">
        <v>82</v>
      </c>
      <c r="AW27" t="s" s="0">
        <v>858</v>
      </c>
      <c r="AX27" t="s" s="0">
        <v>866</v>
      </c>
      <c r="AY27" t="s" s="0">
        <v>837</v>
      </c>
      <c r="AZ27" t="s" s="0">
        <v>210</v>
      </c>
      <c r="BA27" t="s" s="0">
        <v>137</v>
      </c>
      <c r="BB27" t="s" s="0">
        <v>101</v>
      </c>
      <c r="BC27" t="s" s="0">
        <v>82</v>
      </c>
      <c r="BD27" t="s" s="0">
        <v>82</v>
      </c>
      <c r="BE27" t="s" s="0">
        <v>82</v>
      </c>
      <c r="BF27" t="s" s="0">
        <v>82</v>
      </c>
      <c r="BG27" t="s" s="0">
        <v>82</v>
      </c>
      <c r="BH27" t="s" s="0">
        <v>82</v>
      </c>
      <c r="BI27" t="s" s="0">
        <v>867</v>
      </c>
      <c r="BJ27" t="s" s="0">
        <v>868</v>
      </c>
      <c r="BK27" t="s" s="51">
        <f>HYPERLINK("http://dx.doi.org/10.3390/biomedicines11030685","http://dx.doi.org/10.3390/biomedicines11030685")</f>
        <v>869</v>
      </c>
      <c r="BL27" t="s" s="0">
        <v>82</v>
      </c>
      <c r="BM27" t="s" s="0">
        <v>82</v>
      </c>
      <c r="BN27" t="s" s="0">
        <v>319</v>
      </c>
      <c r="BO27" t="s" s="0">
        <v>870</v>
      </c>
      <c r="BP27" t="s" s="0">
        <v>871</v>
      </c>
      <c r="BQ27" t="s" s="0">
        <v>872</v>
      </c>
      <c r="BR27" t="s" s="0">
        <v>873</v>
      </c>
      <c r="BS27" t="s" s="0">
        <v>874</v>
      </c>
      <c r="BT27" t="s" s="52">
        <f>HYPERLINK("https://www.webofscience.com/wos/woscc/full-record/WOS:000957491700001","View Record in Web of Science")</f>
        <v>120</v>
      </c>
      <c r="BU27" t="s" s="0">
        <v>121</v>
      </c>
      <c r="BV27" t="s" s="0">
        <v>82</v>
      </c>
      <c r="BW27" t="s" s="0">
        <v>82</v>
      </c>
      <c r="BX27" t="s" s="0">
        <v>122</v>
      </c>
    </row>
    <row r="28">
      <c r="A28" t="s" s="0">
        <v>78</v>
      </c>
      <c r="B28" t="s" s="0">
        <v>78</v>
      </c>
      <c r="C28" t="s" s="0">
        <v>221</v>
      </c>
      <c r="D28" t="s" s="0">
        <v>78</v>
      </c>
      <c r="E28" t="s" s="0">
        <v>875</v>
      </c>
      <c r="F28" t="s" s="0">
        <v>876</v>
      </c>
      <c r="G28" t="s" s="0">
        <v>877</v>
      </c>
      <c r="H28" t="s" s="0">
        <v>82</v>
      </c>
      <c r="I28" t="s" s="0">
        <v>83</v>
      </c>
      <c r="J28" t="s" s="0">
        <v>878</v>
      </c>
      <c r="K28" t="s" s="0">
        <v>879</v>
      </c>
      <c r="L28" t="s" s="0">
        <v>880</v>
      </c>
      <c r="M28" t="s" s="0">
        <v>881</v>
      </c>
      <c r="N28" t="s" s="0">
        <v>882</v>
      </c>
      <c r="O28" t="s" s="0">
        <v>883</v>
      </c>
      <c r="P28" t="s" s="0">
        <v>884</v>
      </c>
      <c r="Q28" t="s" s="0">
        <v>91</v>
      </c>
      <c r="R28" t="s" s="0">
        <v>82</v>
      </c>
      <c r="S28" t="s" s="0">
        <v>82</v>
      </c>
      <c r="T28" t="s" s="0">
        <v>82</v>
      </c>
      <c r="U28" t="s" s="0">
        <v>82</v>
      </c>
      <c r="V28" t="s" s="0">
        <v>885</v>
      </c>
      <c r="W28" t="s" s="0">
        <v>886</v>
      </c>
      <c r="X28" t="s" s="0">
        <v>82</v>
      </c>
      <c r="Y28" t="s" s="0">
        <v>82</v>
      </c>
      <c r="Z28" t="s" s="0">
        <v>94</v>
      </c>
      <c r="AA28" t="s" s="0">
        <v>95</v>
      </c>
      <c r="AB28" t="s" s="0">
        <v>82</v>
      </c>
      <c r="AC28" t="s" s="0">
        <v>82</v>
      </c>
      <c r="AD28" t="s" s="0">
        <v>82</v>
      </c>
      <c r="AE28" t="s" s="0">
        <v>82</v>
      </c>
      <c r="AF28" t="s" s="0">
        <v>82</v>
      </c>
      <c r="AG28" t="s" s="0">
        <v>887</v>
      </c>
      <c r="AH28" t="s" s="0">
        <v>82</v>
      </c>
      <c r="AI28" t="s" s="0">
        <v>888</v>
      </c>
      <c r="AJ28" t="s" s="0">
        <v>889</v>
      </c>
      <c r="AK28" t="s" s="0">
        <v>82</v>
      </c>
      <c r="AL28" t="s" s="0">
        <v>755</v>
      </c>
      <c r="AM28" t="s" s="0">
        <v>273</v>
      </c>
      <c r="AN28" t="s" s="0">
        <v>890</v>
      </c>
      <c r="AO28" t="s" s="0">
        <v>102</v>
      </c>
      <c r="AP28" t="s" s="0">
        <v>136</v>
      </c>
      <c r="AQ28" t="s" s="0">
        <v>491</v>
      </c>
      <c r="AR28" t="s" s="0">
        <v>492</v>
      </c>
      <c r="AS28" t="s" s="0">
        <v>493</v>
      </c>
      <c r="AT28" t="s" s="0">
        <v>891</v>
      </c>
      <c r="AU28" t="s" s="0">
        <v>82</v>
      </c>
      <c r="AV28" t="s" s="0">
        <v>82</v>
      </c>
      <c r="AW28" t="s" s="0">
        <v>886</v>
      </c>
      <c r="AX28" t="s" s="0">
        <v>892</v>
      </c>
      <c r="AY28" t="s" s="0">
        <v>147</v>
      </c>
      <c r="AZ28" t="s" s="0">
        <v>147</v>
      </c>
      <c r="BA28" t="s" s="0">
        <v>323</v>
      </c>
      <c r="BB28" t="s" s="0">
        <v>82</v>
      </c>
      <c r="BC28" t="s" s="0">
        <v>82</v>
      </c>
      <c r="BD28" t="s" s="0">
        <v>82</v>
      </c>
      <c r="BE28" t="s" s="0">
        <v>82</v>
      </c>
      <c r="BF28" t="s" s="0">
        <v>82</v>
      </c>
      <c r="BG28" t="s" s="0">
        <v>82</v>
      </c>
      <c r="BH28" t="s" s="0">
        <v>82</v>
      </c>
      <c r="BI28" t="s" s="0">
        <v>893</v>
      </c>
      <c r="BJ28" t="s" s="0">
        <v>894</v>
      </c>
      <c r="BK28" t="s" s="53">
        <f>HYPERLINK("http://dx.doi.org/10.1093/gigascience/giaf036","http://dx.doi.org/10.1093/gigascience/giaf036")</f>
        <v>895</v>
      </c>
      <c r="BL28" t="s" s="0">
        <v>82</v>
      </c>
      <c r="BM28" t="s" s="0">
        <v>82</v>
      </c>
      <c r="BN28" t="s" s="0">
        <v>149</v>
      </c>
      <c r="BO28" t="s" s="0">
        <v>896</v>
      </c>
      <c r="BP28" t="s" s="0">
        <v>897</v>
      </c>
      <c r="BQ28" t="s" s="0">
        <v>898</v>
      </c>
      <c r="BR28" t="s" s="0">
        <v>899</v>
      </c>
      <c r="BS28" t="s" s="0">
        <v>900</v>
      </c>
      <c r="BT28" t="s" s="54">
        <f>HYPERLINK("https://www.webofscience.com/wos/woscc/full-record/WOS:001487443000001","View Record in Web of Science")</f>
        <v>120</v>
      </c>
      <c r="BU28" t="s" s="0">
        <v>121</v>
      </c>
      <c r="BV28" t="s" s="0">
        <v>82</v>
      </c>
      <c r="BW28" t="s" s="0">
        <v>82</v>
      </c>
      <c r="BX28" t="s" s="0">
        <v>122</v>
      </c>
    </row>
    <row r="29">
      <c r="A29" t="s" s="0">
        <v>77</v>
      </c>
      <c r="B29" t="s" s="0">
        <v>78</v>
      </c>
      <c r="C29" t="s" s="0">
        <v>102</v>
      </c>
      <c r="D29" t="s" s="0">
        <v>78</v>
      </c>
      <c r="E29" t="s" s="0">
        <v>901</v>
      </c>
      <c r="F29" t="s" s="0">
        <v>902</v>
      </c>
      <c r="G29" t="s" s="0">
        <v>903</v>
      </c>
      <c r="H29" t="s" s="0">
        <v>82</v>
      </c>
      <c r="I29" t="s" s="0">
        <v>83</v>
      </c>
      <c r="J29" t="s" s="0">
        <v>904</v>
      </c>
      <c r="K29" t="s" s="0">
        <v>905</v>
      </c>
      <c r="L29" t="s" s="0">
        <v>906</v>
      </c>
      <c r="M29" t="s" s="0">
        <v>906</v>
      </c>
      <c r="N29" t="s" s="0">
        <v>907</v>
      </c>
      <c r="O29" t="s" s="0">
        <v>908</v>
      </c>
      <c r="P29" t="s" s="0">
        <v>909</v>
      </c>
      <c r="Q29" t="s" s="0">
        <v>91</v>
      </c>
      <c r="R29" t="s" s="0">
        <v>82</v>
      </c>
      <c r="S29" t="s" s="0">
        <v>82</v>
      </c>
      <c r="T29" t="s" s="0">
        <v>82</v>
      </c>
      <c r="U29" t="s" s="0">
        <v>82</v>
      </c>
      <c r="V29" t="s" s="0">
        <v>910</v>
      </c>
      <c r="W29" t="s" s="0">
        <v>911</v>
      </c>
      <c r="X29" t="s" s="0">
        <v>82</v>
      </c>
      <c r="Y29" t="s" s="0">
        <v>82</v>
      </c>
      <c r="Z29" t="s" s="0">
        <v>94</v>
      </c>
      <c r="AA29" t="s" s="0">
        <v>95</v>
      </c>
      <c r="AB29" t="s" s="0">
        <v>82</v>
      </c>
      <c r="AC29" t="s" s="0">
        <v>82</v>
      </c>
      <c r="AD29" t="s" s="0">
        <v>82</v>
      </c>
      <c r="AE29" t="s" s="0">
        <v>82</v>
      </c>
      <c r="AF29" t="s" s="0">
        <v>82</v>
      </c>
      <c r="AG29" t="s" s="0">
        <v>912</v>
      </c>
      <c r="AH29" t="s" s="0">
        <v>913</v>
      </c>
      <c r="AI29" t="s" s="0">
        <v>914</v>
      </c>
      <c r="AJ29" t="s" s="0">
        <v>915</v>
      </c>
      <c r="AK29" t="s" s="0">
        <v>82</v>
      </c>
      <c r="AL29" t="s" s="0">
        <v>173</v>
      </c>
      <c r="AM29" t="s" s="0">
        <v>149</v>
      </c>
      <c r="AN29" t="s" s="0">
        <v>115</v>
      </c>
      <c r="AO29" t="s" s="0">
        <v>78</v>
      </c>
      <c r="AP29" t="s" s="0">
        <v>149</v>
      </c>
      <c r="AQ29" t="s" s="0">
        <v>174</v>
      </c>
      <c r="AR29" t="s" s="0">
        <v>175</v>
      </c>
      <c r="AS29" t="s" s="0">
        <v>176</v>
      </c>
      <c r="AT29" t="s" s="0">
        <v>916</v>
      </c>
      <c r="AU29" t="s" s="0">
        <v>917</v>
      </c>
      <c r="AV29" t="s" s="0">
        <v>82</v>
      </c>
      <c r="AW29" t="s" s="0">
        <v>918</v>
      </c>
      <c r="AX29" t="s" s="0">
        <v>919</v>
      </c>
      <c r="AY29" t="s" s="0">
        <v>804</v>
      </c>
      <c r="AZ29" t="s" s="0">
        <v>210</v>
      </c>
      <c r="BA29" t="s" s="0">
        <v>201</v>
      </c>
      <c r="BB29" t="s" s="0">
        <v>319</v>
      </c>
      <c r="BC29" t="s" s="0">
        <v>82</v>
      </c>
      <c r="BD29" t="s" s="0">
        <v>82</v>
      </c>
      <c r="BE29" t="s" s="0">
        <v>82</v>
      </c>
      <c r="BF29" t="s" s="0">
        <v>82</v>
      </c>
      <c r="BG29" t="s" s="0">
        <v>920</v>
      </c>
      <c r="BH29" t="s" s="0">
        <v>921</v>
      </c>
      <c r="BI29" t="s" s="0">
        <v>82</v>
      </c>
      <c r="BJ29" t="s" s="0">
        <v>922</v>
      </c>
      <c r="BK29" t="s" s="55">
        <f>HYPERLINK("http://dx.doi.org/10.1111/jgh.16274","http://dx.doi.org/10.1111/jgh.16274")</f>
        <v>923</v>
      </c>
      <c r="BL29" t="s" s="0">
        <v>82</v>
      </c>
      <c r="BM29" t="s" s="0">
        <v>810</v>
      </c>
      <c r="BN29" t="s" s="0">
        <v>221</v>
      </c>
      <c r="BO29" t="s" s="0">
        <v>924</v>
      </c>
      <c r="BP29" t="s" s="0">
        <v>924</v>
      </c>
      <c r="BQ29" t="s" s="0">
        <v>925</v>
      </c>
      <c r="BR29" t="s" s="0">
        <v>926</v>
      </c>
      <c r="BS29" t="s" s="0">
        <v>927</v>
      </c>
      <c r="BT29" t="s" s="56">
        <f>HYPERLINK("https://www.webofscience.com/wos/woscc/full-record/WOS:001022505000001","View Record in Web of Science")</f>
        <v>120</v>
      </c>
      <c r="BU29" t="s" s="0">
        <v>159</v>
      </c>
      <c r="BV29" t="s" s="0">
        <v>82</v>
      </c>
      <c r="BW29" t="s" s="0">
        <v>82</v>
      </c>
      <c r="BX29" t="s" s="0">
        <v>122</v>
      </c>
    </row>
    <row r="30">
      <c r="A30" t="s" s="0">
        <v>77</v>
      </c>
      <c r="B30" t="s" s="0">
        <v>78</v>
      </c>
      <c r="C30" t="s" s="0">
        <v>78</v>
      </c>
      <c r="D30" t="s" s="0">
        <v>78</v>
      </c>
      <c r="E30" t="s" s="0">
        <v>928</v>
      </c>
      <c r="F30" t="s" s="0">
        <v>929</v>
      </c>
      <c r="G30" t="s" s="0">
        <v>930</v>
      </c>
      <c r="H30" t="s" s="0">
        <v>82</v>
      </c>
      <c r="I30" t="s" s="0">
        <v>83</v>
      </c>
      <c r="J30" t="s" s="0">
        <v>931</v>
      </c>
      <c r="K30" t="s" s="0">
        <v>932</v>
      </c>
      <c r="L30" t="s" s="0">
        <v>82</v>
      </c>
      <c r="M30" t="s" s="0">
        <v>82</v>
      </c>
      <c r="N30" t="s" s="0">
        <v>82</v>
      </c>
      <c r="O30" t="s" s="0">
        <v>933</v>
      </c>
      <c r="P30" t="s" s="0">
        <v>934</v>
      </c>
      <c r="Q30" t="s" s="0">
        <v>91</v>
      </c>
      <c r="R30" t="s" s="0">
        <v>82</v>
      </c>
      <c r="S30" t="s" s="0">
        <v>82</v>
      </c>
      <c r="T30" t="s" s="0">
        <v>82</v>
      </c>
      <c r="U30" t="s" s="0">
        <v>82</v>
      </c>
      <c r="V30" t="s" s="0">
        <v>935</v>
      </c>
      <c r="W30" t="s" s="0">
        <v>936</v>
      </c>
      <c r="X30" t="s" s="0">
        <v>82</v>
      </c>
      <c r="Y30" t="s" s="0">
        <v>82</v>
      </c>
      <c r="Z30" t="s" s="0">
        <v>94</v>
      </c>
      <c r="AA30" t="s" s="0">
        <v>95</v>
      </c>
      <c r="AB30" t="s" s="0">
        <v>82</v>
      </c>
      <c r="AC30" t="s" s="0">
        <v>82</v>
      </c>
      <c r="AD30" t="s" s="0">
        <v>82</v>
      </c>
      <c r="AE30" t="s" s="0">
        <v>82</v>
      </c>
      <c r="AF30" t="s" s="0">
        <v>82</v>
      </c>
      <c r="AG30" t="s" s="0">
        <v>937</v>
      </c>
      <c r="AH30" t="s" s="0">
        <v>82</v>
      </c>
      <c r="AI30" t="s" s="0">
        <v>938</v>
      </c>
      <c r="AJ30" t="s" s="0">
        <v>939</v>
      </c>
      <c r="AK30" t="s" s="0">
        <v>82</v>
      </c>
      <c r="AL30" t="s" s="0">
        <v>137</v>
      </c>
      <c r="AM30" t="s" s="0">
        <v>221</v>
      </c>
      <c r="AN30" t="s" s="0">
        <v>375</v>
      </c>
      <c r="AO30" t="s" s="0">
        <v>77</v>
      </c>
      <c r="AP30" t="s" s="0">
        <v>447</v>
      </c>
      <c r="AQ30" t="s" s="0">
        <v>600</v>
      </c>
      <c r="AR30" t="s" s="0">
        <v>601</v>
      </c>
      <c r="AS30" t="s" s="0">
        <v>602</v>
      </c>
      <c r="AT30" t="s" s="0">
        <v>940</v>
      </c>
      <c r="AU30" t="s" s="0">
        <v>941</v>
      </c>
      <c r="AV30" t="s" s="0">
        <v>82</v>
      </c>
      <c r="AW30" t="s" s="0">
        <v>942</v>
      </c>
      <c r="AX30" t="s" s="0">
        <v>943</v>
      </c>
      <c r="AY30" t="s" s="0">
        <v>502</v>
      </c>
      <c r="AZ30" t="s" s="0">
        <v>147</v>
      </c>
      <c r="BA30" t="s" s="0">
        <v>944</v>
      </c>
      <c r="BB30" t="s" s="0">
        <v>82</v>
      </c>
      <c r="BC30" t="s" s="0">
        <v>82</v>
      </c>
      <c r="BD30" t="s" s="0">
        <v>82</v>
      </c>
      <c r="BE30" t="s" s="0">
        <v>82</v>
      </c>
      <c r="BF30" t="s" s="0">
        <v>82</v>
      </c>
      <c r="BG30" t="s" s="0">
        <v>945</v>
      </c>
      <c r="BH30" t="s" s="0">
        <v>946</v>
      </c>
      <c r="BI30" t="s" s="0">
        <v>82</v>
      </c>
      <c r="BJ30" t="s" s="0">
        <v>947</v>
      </c>
      <c r="BK30" t="s" s="57">
        <f>HYPERLINK("http://dx.doi.org/10.1016/j.bjps.2025.06.020","http://dx.doi.org/10.1016/j.bjps.2025.06.020")</f>
        <v>948</v>
      </c>
      <c r="BL30" t="s" s="0">
        <v>82</v>
      </c>
      <c r="BM30" t="s" s="0">
        <v>949</v>
      </c>
      <c r="BN30" t="s" s="0">
        <v>375</v>
      </c>
      <c r="BO30" t="s" s="0">
        <v>950</v>
      </c>
      <c r="BP30" t="s" s="0">
        <v>950</v>
      </c>
      <c r="BQ30" t="s" s="0">
        <v>951</v>
      </c>
      <c r="BR30" t="s" s="0">
        <v>952</v>
      </c>
      <c r="BS30" t="s" s="0">
        <v>953</v>
      </c>
      <c r="BT30" t="s" s="58">
        <f>HYPERLINK("https://www.webofscience.com/wos/woscc/full-record/WOS:001533859600001","View Record in Web of Science")</f>
        <v>120</v>
      </c>
      <c r="BU30" t="s" s="0">
        <v>159</v>
      </c>
      <c r="BV30" t="s" s="0">
        <v>82</v>
      </c>
      <c r="BW30" t="s" s="0">
        <v>82</v>
      </c>
      <c r="BX30" t="s" s="0">
        <v>122</v>
      </c>
    </row>
    <row r="31">
      <c r="A31" t="s" s="0">
        <v>447</v>
      </c>
      <c r="B31" t="s" s="0">
        <v>78</v>
      </c>
      <c r="C31" t="s" s="0">
        <v>102</v>
      </c>
      <c r="D31" t="s" s="0">
        <v>78</v>
      </c>
      <c r="E31" t="s" s="0">
        <v>954</v>
      </c>
      <c r="F31" t="s" s="0">
        <v>955</v>
      </c>
      <c r="G31" t="s" s="0">
        <v>956</v>
      </c>
      <c r="H31" t="s" s="0">
        <v>82</v>
      </c>
      <c r="I31" t="s" s="0">
        <v>83</v>
      </c>
      <c r="J31" t="s" s="0">
        <v>957</v>
      </c>
      <c r="K31" t="s" s="0">
        <v>958</v>
      </c>
      <c r="L31" t="s" s="0">
        <v>959</v>
      </c>
      <c r="M31" t="s" s="0">
        <v>960</v>
      </c>
      <c r="N31" t="s" s="0">
        <v>961</v>
      </c>
      <c r="O31" t="s" s="0">
        <v>962</v>
      </c>
      <c r="P31" t="s" s="0">
        <v>963</v>
      </c>
      <c r="Q31" t="s" s="0">
        <v>91</v>
      </c>
      <c r="R31" t="s" s="0">
        <v>82</v>
      </c>
      <c r="S31" t="s" s="0">
        <v>82</v>
      </c>
      <c r="T31" t="s" s="0">
        <v>82</v>
      </c>
      <c r="U31" t="s" s="0">
        <v>82</v>
      </c>
      <c r="V31" t="s" s="0">
        <v>964</v>
      </c>
      <c r="W31" t="s" s="0">
        <v>965</v>
      </c>
      <c r="X31" t="s" s="0">
        <v>82</v>
      </c>
      <c r="Y31" t="s" s="0">
        <v>82</v>
      </c>
      <c r="Z31" t="s" s="0">
        <v>94</v>
      </c>
      <c r="AA31" t="s" s="0">
        <v>95</v>
      </c>
      <c r="AB31" t="s" s="0">
        <v>82</v>
      </c>
      <c r="AC31" t="s" s="0">
        <v>82</v>
      </c>
      <c r="AD31" t="s" s="0">
        <v>82</v>
      </c>
      <c r="AE31" t="s" s="0">
        <v>82</v>
      </c>
      <c r="AF31" t="s" s="0">
        <v>82</v>
      </c>
      <c r="AG31" t="s" s="0">
        <v>82</v>
      </c>
      <c r="AH31" t="s" s="0">
        <v>966</v>
      </c>
      <c r="AI31" t="s" s="0">
        <v>967</v>
      </c>
      <c r="AJ31" t="s" s="0">
        <v>82</v>
      </c>
      <c r="AK31" t="s" s="0">
        <v>82</v>
      </c>
      <c r="AL31" t="s" s="0">
        <v>548</v>
      </c>
      <c r="AM31" t="s" s="0">
        <v>173</v>
      </c>
      <c r="AN31" t="s" s="0">
        <v>111</v>
      </c>
      <c r="AO31" t="s" s="0">
        <v>221</v>
      </c>
      <c r="AP31" t="s" s="0">
        <v>632</v>
      </c>
      <c r="AQ31" t="s" s="0">
        <v>968</v>
      </c>
      <c r="AR31" t="s" s="0">
        <v>969</v>
      </c>
      <c r="AS31" t="s" s="0">
        <v>970</v>
      </c>
      <c r="AT31" t="s" s="0">
        <v>971</v>
      </c>
      <c r="AU31" t="s" s="0">
        <v>972</v>
      </c>
      <c r="AV31" t="s" s="0">
        <v>82</v>
      </c>
      <c r="AW31" t="s" s="0">
        <v>965</v>
      </c>
      <c r="AX31" t="s" s="0">
        <v>973</v>
      </c>
      <c r="AY31" t="s" s="0">
        <v>728</v>
      </c>
      <c r="AZ31" t="s" s="0">
        <v>210</v>
      </c>
      <c r="BA31" t="s" s="0">
        <v>974</v>
      </c>
      <c r="BB31" t="s" s="0">
        <v>77</v>
      </c>
      <c r="BC31" t="s" s="0">
        <v>82</v>
      </c>
      <c r="BD31" t="s" s="0">
        <v>82</v>
      </c>
      <c r="BE31" t="s" s="0">
        <v>82</v>
      </c>
      <c r="BF31" t="s" s="0">
        <v>82</v>
      </c>
      <c r="BG31" t="s" s="0">
        <v>102</v>
      </c>
      <c r="BH31" t="s" s="0">
        <v>137</v>
      </c>
      <c r="BI31" t="s" s="0">
        <v>82</v>
      </c>
      <c r="BJ31" t="s" s="0">
        <v>975</v>
      </c>
      <c r="BK31" t="s" s="59">
        <f>HYPERLINK("http://dx.doi.org/10.1055/a-1850-6717","http://dx.doi.org/10.1055/a-1850-6717")</f>
        <v>976</v>
      </c>
      <c r="BL31" t="s" s="0">
        <v>82</v>
      </c>
      <c r="BM31" t="s" s="0">
        <v>977</v>
      </c>
      <c r="BN31" t="s" s="0">
        <v>136</v>
      </c>
      <c r="BO31" t="s" s="0">
        <v>978</v>
      </c>
      <c r="BP31" t="s" s="0">
        <v>978</v>
      </c>
      <c r="BQ31" t="s" s="0">
        <v>979</v>
      </c>
      <c r="BR31" t="s" s="0">
        <v>980</v>
      </c>
      <c r="BS31" t="s" s="0">
        <v>981</v>
      </c>
      <c r="BT31" t="s" s="60">
        <f>HYPERLINK("https://www.webofscience.com/wos/woscc/full-record/WOS:000823910300003","View Record in Web of Science")</f>
        <v>120</v>
      </c>
      <c r="BU31" t="s" s="0">
        <v>82</v>
      </c>
      <c r="BV31" t="s" s="0">
        <v>82</v>
      </c>
      <c r="BW31" t="s" s="0">
        <v>82</v>
      </c>
      <c r="BX31" t="s" s="0">
        <v>122</v>
      </c>
    </row>
    <row r="32">
      <c r="A32" t="s" s="0">
        <v>78</v>
      </c>
      <c r="B32" t="s" s="0">
        <v>78</v>
      </c>
      <c r="C32" t="s" s="0">
        <v>78</v>
      </c>
      <c r="D32" t="s" s="0">
        <v>78</v>
      </c>
      <c r="E32" t="s" s="0">
        <v>982</v>
      </c>
      <c r="F32" t="s" s="0">
        <v>983</v>
      </c>
      <c r="G32" t="s" s="0">
        <v>984</v>
      </c>
      <c r="H32" t="s" s="0">
        <v>82</v>
      </c>
      <c r="I32" t="s" s="0">
        <v>83</v>
      </c>
      <c r="J32" t="s" s="0">
        <v>985</v>
      </c>
      <c r="K32" t="s" s="0">
        <v>986</v>
      </c>
      <c r="L32" t="s" s="0">
        <v>987</v>
      </c>
      <c r="M32" t="s" s="0">
        <v>988</v>
      </c>
      <c r="N32" t="s" s="0">
        <v>989</v>
      </c>
      <c r="O32" t="s" s="0">
        <v>990</v>
      </c>
      <c r="P32" t="s" s="0">
        <v>991</v>
      </c>
      <c r="Q32" t="s" s="0">
        <v>91</v>
      </c>
      <c r="R32" t="s" s="0">
        <v>82</v>
      </c>
      <c r="S32" t="s" s="0">
        <v>82</v>
      </c>
      <c r="T32" t="s" s="0">
        <v>82</v>
      </c>
      <c r="U32" t="s" s="0">
        <v>82</v>
      </c>
      <c r="V32" t="s" s="0">
        <v>992</v>
      </c>
      <c r="W32" t="s" s="0">
        <v>993</v>
      </c>
      <c r="X32" t="s" s="0">
        <v>82</v>
      </c>
      <c r="Y32" t="s" s="0">
        <v>82</v>
      </c>
      <c r="Z32" t="s" s="0">
        <v>94</v>
      </c>
      <c r="AA32" t="s" s="0">
        <v>95</v>
      </c>
      <c r="AB32" t="s" s="0">
        <v>82</v>
      </c>
      <c r="AC32" t="s" s="0">
        <v>82</v>
      </c>
      <c r="AD32" t="s" s="0">
        <v>82</v>
      </c>
      <c r="AE32" t="s" s="0">
        <v>82</v>
      </c>
      <c r="AF32" t="s" s="0">
        <v>82</v>
      </c>
      <c r="AG32" t="s" s="0">
        <v>994</v>
      </c>
      <c r="AH32" t="s" s="0">
        <v>82</v>
      </c>
      <c r="AI32" t="s" s="0">
        <v>995</v>
      </c>
      <c r="AJ32" t="s" s="0">
        <v>82</v>
      </c>
      <c r="AK32" t="s" s="0">
        <v>82</v>
      </c>
      <c r="AL32" t="s" s="0">
        <v>273</v>
      </c>
      <c r="AM32" t="s" s="0">
        <v>78</v>
      </c>
      <c r="AN32" t="s" s="0">
        <v>78</v>
      </c>
      <c r="AO32" t="s" s="0">
        <v>78</v>
      </c>
      <c r="AP32" t="s" s="0">
        <v>78</v>
      </c>
      <c r="AQ32" t="s" s="0">
        <v>312</v>
      </c>
      <c r="AR32" t="s" s="0">
        <v>313</v>
      </c>
      <c r="AS32" t="s" s="0">
        <v>314</v>
      </c>
      <c r="AT32" t="s" s="0">
        <v>996</v>
      </c>
      <c r="AU32" t="s" s="0">
        <v>82</v>
      </c>
      <c r="AV32" t="s" s="0">
        <v>82</v>
      </c>
      <c r="AW32" t="s" s="0">
        <v>997</v>
      </c>
      <c r="AX32" t="s" s="0">
        <v>998</v>
      </c>
      <c r="AY32" t="s" s="0">
        <v>999</v>
      </c>
      <c r="AZ32" t="s" s="0">
        <v>181</v>
      </c>
      <c r="BA32" t="s" s="0">
        <v>349</v>
      </c>
      <c r="BB32" t="s" s="0">
        <v>137</v>
      </c>
      <c r="BC32" t="s" s="0">
        <v>82</v>
      </c>
      <c r="BD32" t="s" s="0">
        <v>82</v>
      </c>
      <c r="BE32" t="s" s="0">
        <v>82</v>
      </c>
      <c r="BF32" t="s" s="0">
        <v>82</v>
      </c>
      <c r="BG32" t="s" s="0">
        <v>82</v>
      </c>
      <c r="BH32" t="s" s="0">
        <v>82</v>
      </c>
      <c r="BI32" t="s" s="0">
        <v>1000</v>
      </c>
      <c r="BJ32" t="s" s="0">
        <v>1001</v>
      </c>
      <c r="BK32" t="s" s="61">
        <f>HYPERLINK("http://dx.doi.org/10.3390/electronics15112367","http://dx.doi.org/10.3390/electronics15112367")</f>
        <v>1002</v>
      </c>
      <c r="BL32" t="s" s="0">
        <v>82</v>
      </c>
      <c r="BM32" t="s" s="0">
        <v>1003</v>
      </c>
      <c r="BN32" t="s" s="0">
        <v>111</v>
      </c>
      <c r="BO32" t="s" s="0">
        <v>1004</v>
      </c>
      <c r="BP32" t="s" s="0">
        <v>1005</v>
      </c>
      <c r="BQ32" t="s" s="0">
        <v>1006</v>
      </c>
      <c r="BR32" t="s" s="0">
        <v>82</v>
      </c>
      <c r="BS32" t="s" s="0">
        <v>1007</v>
      </c>
      <c r="BT32" t="s" s="62">
        <f>HYPERLINK("https://www.webofscience.com/wos/woscc/full-record/WOS:001789901600001","View Record in Web of Science")</f>
        <v>120</v>
      </c>
      <c r="BU32" t="s" s="0">
        <v>1008</v>
      </c>
      <c r="BV32" t="s" s="0">
        <v>82</v>
      </c>
      <c r="BW32" t="s" s="0">
        <v>82</v>
      </c>
      <c r="BX32" t="s" s="0">
        <v>122</v>
      </c>
    </row>
    <row r="33">
      <c r="A33" t="s" s="0">
        <v>77</v>
      </c>
      <c r="B33" t="s" s="0">
        <v>78</v>
      </c>
      <c r="C33" t="s" s="0">
        <v>640</v>
      </c>
      <c r="D33" t="s" s="0">
        <v>78</v>
      </c>
      <c r="E33" t="s" s="0">
        <v>1009</v>
      </c>
      <c r="F33" t="s" s="0">
        <v>1010</v>
      </c>
      <c r="G33" t="s" s="0">
        <v>1011</v>
      </c>
      <c r="H33" t="s" s="0">
        <v>82</v>
      </c>
      <c r="I33" t="s" s="0">
        <v>83</v>
      </c>
      <c r="J33" t="s" s="0">
        <v>1012</v>
      </c>
      <c r="K33" t="s" s="0">
        <v>1013</v>
      </c>
      <c r="L33" t="s" s="0">
        <v>1014</v>
      </c>
      <c r="M33" t="s" s="0">
        <v>1015</v>
      </c>
      <c r="N33" t="s" s="0">
        <v>1016</v>
      </c>
      <c r="O33" t="s" s="0">
        <v>1017</v>
      </c>
      <c r="P33" t="s" s="0">
        <v>1018</v>
      </c>
      <c r="Q33" t="s" s="0">
        <v>91</v>
      </c>
      <c r="R33" t="s" s="0">
        <v>82</v>
      </c>
      <c r="S33" t="s" s="0">
        <v>82</v>
      </c>
      <c r="T33" t="s" s="0">
        <v>82</v>
      </c>
      <c r="U33" t="s" s="0">
        <v>82</v>
      </c>
      <c r="V33" t="s" s="0">
        <v>1019</v>
      </c>
      <c r="W33" t="s" s="0">
        <v>1020</v>
      </c>
      <c r="X33" t="s" s="0">
        <v>82</v>
      </c>
      <c r="Y33" t="s" s="0">
        <v>82</v>
      </c>
      <c r="Z33" t="s" s="0">
        <v>94</v>
      </c>
      <c r="AA33" t="s" s="0">
        <v>95</v>
      </c>
      <c r="AB33" t="s" s="0">
        <v>82</v>
      </c>
      <c r="AC33" t="s" s="0">
        <v>82</v>
      </c>
      <c r="AD33" t="s" s="0">
        <v>82</v>
      </c>
      <c r="AE33" t="s" s="0">
        <v>82</v>
      </c>
      <c r="AF33" t="s" s="0">
        <v>82</v>
      </c>
      <c r="AG33" t="s" s="0">
        <v>82</v>
      </c>
      <c r="AH33" t="s" s="0">
        <v>1021</v>
      </c>
      <c r="AI33" t="s" s="0">
        <v>1022</v>
      </c>
      <c r="AJ33" t="s" s="0">
        <v>1023</v>
      </c>
      <c r="AK33" t="s" s="0">
        <v>82</v>
      </c>
      <c r="AL33" t="s" s="0">
        <v>755</v>
      </c>
      <c r="AM33" t="s" s="0">
        <v>1024</v>
      </c>
      <c r="AN33" t="s" s="0">
        <v>1025</v>
      </c>
      <c r="AO33" t="s" s="0">
        <v>447</v>
      </c>
      <c r="AP33" t="s" s="0">
        <v>1026</v>
      </c>
      <c r="AQ33" t="s" s="0">
        <v>1027</v>
      </c>
      <c r="AR33" t="s" s="0">
        <v>1028</v>
      </c>
      <c r="AS33" t="s" s="0">
        <v>1029</v>
      </c>
      <c r="AT33" t="s" s="0">
        <v>1030</v>
      </c>
      <c r="AU33" t="s" s="0">
        <v>1031</v>
      </c>
      <c r="AV33" t="s" s="0">
        <v>82</v>
      </c>
      <c r="AW33" t="s" s="0">
        <v>1032</v>
      </c>
      <c r="AX33" t="s" s="0">
        <v>1033</v>
      </c>
      <c r="AY33" t="s" s="0">
        <v>1034</v>
      </c>
      <c r="AZ33" t="s" s="0">
        <v>1035</v>
      </c>
      <c r="BA33" t="s" s="0">
        <v>137</v>
      </c>
      <c r="BB33" t="s" s="0">
        <v>154</v>
      </c>
      <c r="BC33" t="s" s="0">
        <v>82</v>
      </c>
      <c r="BD33" t="s" s="0">
        <v>82</v>
      </c>
      <c r="BE33" t="s" s="0">
        <v>82</v>
      </c>
      <c r="BF33" t="s" s="0">
        <v>82</v>
      </c>
      <c r="BG33" t="s" s="0">
        <v>1036</v>
      </c>
      <c r="BH33" t="s" s="0">
        <v>1037</v>
      </c>
      <c r="BI33" t="s" s="0">
        <v>82</v>
      </c>
      <c r="BJ33" t="s" s="0">
        <v>1038</v>
      </c>
      <c r="BK33" t="s" s="63">
        <f>HYPERLINK("http://dx.doi.org/10.1039/c9sc06240h","http://dx.doi.org/10.1039/c9sc06240h")</f>
        <v>1039</v>
      </c>
      <c r="BL33" t="s" s="0">
        <v>82</v>
      </c>
      <c r="BM33" t="s" s="0">
        <v>82</v>
      </c>
      <c r="BN33" t="s" s="0">
        <v>115</v>
      </c>
      <c r="BO33" t="s" s="0">
        <v>1040</v>
      </c>
      <c r="BP33" t="s" s="0">
        <v>1041</v>
      </c>
      <c r="BQ33" t="s" s="0">
        <v>1042</v>
      </c>
      <c r="BR33" t="s" s="0">
        <v>1043</v>
      </c>
      <c r="BS33" t="s" s="0">
        <v>1044</v>
      </c>
      <c r="BT33" t="s" s="64">
        <f>HYPERLINK("https://www.webofscience.com/wos/woscc/full-record/WOS:000535674600003","View Record in Web of Science")</f>
        <v>120</v>
      </c>
      <c r="BU33" t="s" s="0">
        <v>121</v>
      </c>
      <c r="BV33" t="s" s="0">
        <v>82</v>
      </c>
      <c r="BW33" t="s" s="0">
        <v>82</v>
      </c>
      <c r="BX33" t="s" s="0">
        <v>122</v>
      </c>
    </row>
    <row r="34">
      <c r="A34" t="s" s="0">
        <v>102</v>
      </c>
      <c r="B34" t="s" s="0">
        <v>78</v>
      </c>
      <c r="C34" t="s" s="0">
        <v>173</v>
      </c>
      <c r="D34" t="s" s="0">
        <v>78</v>
      </c>
      <c r="E34" t="s" s="0">
        <v>1045</v>
      </c>
      <c r="F34" t="s" s="0">
        <v>1046</v>
      </c>
      <c r="G34" t="s" s="0">
        <v>1047</v>
      </c>
      <c r="H34" t="s" s="0">
        <v>82</v>
      </c>
      <c r="I34" t="s" s="0">
        <v>83</v>
      </c>
      <c r="J34" t="s" s="0">
        <v>1048</v>
      </c>
      <c r="K34" t="s" s="0">
        <v>1049</v>
      </c>
      <c r="L34" t="s" s="0">
        <v>1050</v>
      </c>
      <c r="M34" t="s" s="0">
        <v>1051</v>
      </c>
      <c r="N34" t="s" s="0">
        <v>1052</v>
      </c>
      <c r="O34" t="s" s="0">
        <v>1053</v>
      </c>
      <c r="P34" t="s" s="0">
        <v>1054</v>
      </c>
      <c r="Q34" t="s" s="0">
        <v>91</v>
      </c>
      <c r="R34" t="s" s="0">
        <v>82</v>
      </c>
      <c r="S34" t="s" s="0">
        <v>82</v>
      </c>
      <c r="T34" t="s" s="0">
        <v>82</v>
      </c>
      <c r="U34" t="s" s="0">
        <v>82</v>
      </c>
      <c r="V34" t="s" s="0">
        <v>1055</v>
      </c>
      <c r="W34" t="s" s="0">
        <v>1056</v>
      </c>
      <c r="X34" t="s" s="0">
        <v>82</v>
      </c>
      <c r="Y34" t="s" s="0">
        <v>82</v>
      </c>
      <c r="Z34" t="s" s="0">
        <v>94</v>
      </c>
      <c r="AA34" t="s" s="0">
        <v>95</v>
      </c>
      <c r="AB34" t="s" s="0">
        <v>82</v>
      </c>
      <c r="AC34" t="s" s="0">
        <v>82</v>
      </c>
      <c r="AD34" t="s" s="0">
        <v>82</v>
      </c>
      <c r="AE34" t="s" s="0">
        <v>82</v>
      </c>
      <c r="AF34" t="s" s="0">
        <v>82</v>
      </c>
      <c r="AG34" t="s" s="0">
        <v>1057</v>
      </c>
      <c r="AH34" t="s" s="0">
        <v>82</v>
      </c>
      <c r="AI34" t="s" s="0">
        <v>1058</v>
      </c>
      <c r="AJ34" t="s" s="0">
        <v>1059</v>
      </c>
      <c r="AK34" t="s" s="0">
        <v>82</v>
      </c>
      <c r="AL34" t="s" s="0">
        <v>640</v>
      </c>
      <c r="AM34" t="s" s="0">
        <v>1060</v>
      </c>
      <c r="AN34" t="s" s="0">
        <v>1061</v>
      </c>
      <c r="AO34" t="s" s="0">
        <v>447</v>
      </c>
      <c r="AP34" t="s" s="0">
        <v>245</v>
      </c>
      <c r="AQ34" t="s" s="0">
        <v>400</v>
      </c>
      <c r="AR34" t="s" s="0">
        <v>401</v>
      </c>
      <c r="AS34" t="s" s="0">
        <v>402</v>
      </c>
      <c r="AT34" t="s" s="0">
        <v>1062</v>
      </c>
      <c r="AU34" t="s" s="0">
        <v>1063</v>
      </c>
      <c r="AV34" t="s" s="0">
        <v>82</v>
      </c>
      <c r="AW34" t="s" s="0">
        <v>1064</v>
      </c>
      <c r="AX34" t="s" s="0">
        <v>1065</v>
      </c>
      <c r="AY34" t="s" s="0">
        <v>1066</v>
      </c>
      <c r="AZ34" t="s" s="0">
        <v>525</v>
      </c>
      <c r="BA34" t="s" s="0">
        <v>1067</v>
      </c>
      <c r="BB34" t="s" s="0">
        <v>82</v>
      </c>
      <c r="BC34" t="s" s="0">
        <v>82</v>
      </c>
      <c r="BD34" t="s" s="0">
        <v>82</v>
      </c>
      <c r="BE34" t="s" s="0">
        <v>82</v>
      </c>
      <c r="BF34" t="s" s="0">
        <v>82</v>
      </c>
      <c r="BG34" t="s" s="0">
        <v>723</v>
      </c>
      <c r="BH34" t="s" s="0">
        <v>1068</v>
      </c>
      <c r="BI34" t="s" s="0">
        <v>82</v>
      </c>
      <c r="BJ34" t="s" s="0">
        <v>1069</v>
      </c>
      <c r="BK34" t="s" s="65">
        <f>HYPERLINK("http://dx.doi.org/10.1016/j.ijcard.2020.12.065","http://dx.doi.org/10.1016/j.ijcard.2020.12.065")</f>
        <v>1070</v>
      </c>
      <c r="BL34" t="s" s="0">
        <v>82</v>
      </c>
      <c r="BM34" t="s" s="0">
        <v>1071</v>
      </c>
      <c r="BN34" t="s" s="0">
        <v>375</v>
      </c>
      <c r="BO34" t="s" s="0">
        <v>503</v>
      </c>
      <c r="BP34" t="s" s="0">
        <v>504</v>
      </c>
      <c r="BQ34" t="s" s="0">
        <v>1072</v>
      </c>
      <c r="BR34" t="s" s="0">
        <v>1073</v>
      </c>
      <c r="BS34" t="s" s="0">
        <v>1074</v>
      </c>
      <c r="BT34" t="s" s="66">
        <f>HYPERLINK("https://www.webofscience.com/wos/woscc/full-record/WOS:000637601100025","View Record in Web of Science")</f>
        <v>120</v>
      </c>
      <c r="BU34" t="s" s="0">
        <v>256</v>
      </c>
      <c r="BV34" t="s" s="0">
        <v>82</v>
      </c>
      <c r="BW34" t="s" s="0">
        <v>82</v>
      </c>
      <c r="BX34" t="s" s="0">
        <v>122</v>
      </c>
    </row>
    <row r="35">
      <c r="A35" t="s" s="0">
        <v>78</v>
      </c>
      <c r="B35" t="s" s="0">
        <v>78</v>
      </c>
      <c r="C35" t="s" s="0">
        <v>221</v>
      </c>
      <c r="D35" t="s" s="0">
        <v>78</v>
      </c>
      <c r="E35" t="s" s="0">
        <v>1075</v>
      </c>
      <c r="F35" t="s" s="0">
        <v>1076</v>
      </c>
      <c r="G35" t="s" s="0">
        <v>1077</v>
      </c>
      <c r="H35" t="s" s="0">
        <v>82</v>
      </c>
      <c r="I35" t="s" s="0">
        <v>297</v>
      </c>
      <c r="J35" t="s" s="0">
        <v>1078</v>
      </c>
      <c r="K35" t="s" s="0">
        <v>1079</v>
      </c>
      <c r="L35" t="s" s="0">
        <v>1080</v>
      </c>
      <c r="M35" t="s" s="0">
        <v>1081</v>
      </c>
      <c r="N35" t="s" s="0">
        <v>1082</v>
      </c>
      <c r="O35" t="s" s="0">
        <v>1083</v>
      </c>
      <c r="P35" t="s" s="0">
        <v>1084</v>
      </c>
      <c r="Q35" t="s" s="0">
        <v>91</v>
      </c>
      <c r="R35" t="s" s="0">
        <v>82</v>
      </c>
      <c r="S35" t="s" s="0">
        <v>82</v>
      </c>
      <c r="T35" t="s" s="0">
        <v>82</v>
      </c>
      <c r="U35" t="s" s="0">
        <v>82</v>
      </c>
      <c r="V35" t="s" s="0">
        <v>1085</v>
      </c>
      <c r="W35" t="s" s="0">
        <v>486</v>
      </c>
      <c r="X35" t="s" s="0">
        <v>82</v>
      </c>
      <c r="Y35" t="s" s="0">
        <v>82</v>
      </c>
      <c r="Z35" t="s" s="0">
        <v>94</v>
      </c>
      <c r="AA35" t="s" s="0">
        <v>95</v>
      </c>
      <c r="AB35" t="s" s="0">
        <v>82</v>
      </c>
      <c r="AC35" t="s" s="0">
        <v>82</v>
      </c>
      <c r="AD35" t="s" s="0">
        <v>82</v>
      </c>
      <c r="AE35" t="s" s="0">
        <v>82</v>
      </c>
      <c r="AF35" t="s" s="0">
        <v>82</v>
      </c>
      <c r="AG35" t="s" s="0">
        <v>1086</v>
      </c>
      <c r="AH35" t="s" s="0">
        <v>1087</v>
      </c>
      <c r="AI35" t="s" s="0">
        <v>1088</v>
      </c>
      <c r="AJ35" t="s" s="0">
        <v>1089</v>
      </c>
      <c r="AK35" t="s" s="0">
        <v>82</v>
      </c>
      <c r="AL35" t="s" s="0">
        <v>685</v>
      </c>
      <c r="AM35" t="s" s="0">
        <v>374</v>
      </c>
      <c r="AN35" t="s" s="0">
        <v>344</v>
      </c>
      <c r="AO35" t="s" s="0">
        <v>78</v>
      </c>
      <c r="AP35" t="s" s="0">
        <v>136</v>
      </c>
      <c r="AQ35" t="s" s="0">
        <v>491</v>
      </c>
      <c r="AR35" t="s" s="0">
        <v>492</v>
      </c>
      <c r="AS35" t="s" s="0">
        <v>493</v>
      </c>
      <c r="AT35" t="s" s="0">
        <v>82</v>
      </c>
      <c r="AU35" t="s" s="0">
        <v>494</v>
      </c>
      <c r="AV35" t="s" s="0">
        <v>82</v>
      </c>
      <c r="AW35" t="s" s="0">
        <v>495</v>
      </c>
      <c r="AX35" t="s" s="0">
        <v>496</v>
      </c>
      <c r="AY35" t="s" s="0">
        <v>1090</v>
      </c>
      <c r="AZ35" t="s" s="0">
        <v>110</v>
      </c>
      <c r="BA35" t="s" s="0">
        <v>221</v>
      </c>
      <c r="BB35" t="s" s="0">
        <v>77</v>
      </c>
      <c r="BC35" t="s" s="0">
        <v>82</v>
      </c>
      <c r="BD35" t="s" s="0">
        <v>82</v>
      </c>
      <c r="BE35" t="s" s="0">
        <v>82</v>
      </c>
      <c r="BF35" t="s" s="0">
        <v>82</v>
      </c>
      <c r="BG35" t="s" s="0">
        <v>1091</v>
      </c>
      <c r="BH35" t="s" s="0">
        <v>1092</v>
      </c>
      <c r="BI35" t="s" s="0">
        <v>82</v>
      </c>
      <c r="BJ35" t="s" s="0">
        <v>1093</v>
      </c>
      <c r="BK35" t="s" s="67">
        <f>HYPERLINK("http://dx.doi.org/10.1093/ehjdh/ztad072","http://dx.doi.org/10.1093/ehjdh/ztad072")</f>
        <v>1094</v>
      </c>
      <c r="BL35" t="s" s="0">
        <v>82</v>
      </c>
      <c r="BM35" t="s" s="0">
        <v>552</v>
      </c>
      <c r="BN35" t="s" s="0">
        <v>319</v>
      </c>
      <c r="BO35" t="s" s="0">
        <v>503</v>
      </c>
      <c r="BP35" t="s" s="0">
        <v>504</v>
      </c>
      <c r="BQ35" t="s" s="0">
        <v>1095</v>
      </c>
      <c r="BR35" t="s" s="0">
        <v>1096</v>
      </c>
      <c r="BS35" t="s" s="0">
        <v>1097</v>
      </c>
      <c r="BT35" t="s" s="68">
        <f>HYPERLINK("https://www.webofscience.com/wos/woscc/full-record/WOS:001155071200010","View Record in Web of Science")</f>
        <v>120</v>
      </c>
      <c r="BU35" t="s" s="0">
        <v>121</v>
      </c>
      <c r="BV35" t="s" s="0">
        <v>82</v>
      </c>
      <c r="BW35" t="s" s="0">
        <v>82</v>
      </c>
      <c r="BX35" t="s" s="0">
        <v>122</v>
      </c>
    </row>
    <row r="36">
      <c r="A36" t="s" s="0">
        <v>78</v>
      </c>
      <c r="B36" t="s" s="0">
        <v>78</v>
      </c>
      <c r="C36" t="s" s="0">
        <v>447</v>
      </c>
      <c r="D36" t="s" s="0">
        <v>78</v>
      </c>
      <c r="E36" t="s" s="0">
        <v>1098</v>
      </c>
      <c r="F36" t="s" s="0">
        <v>1099</v>
      </c>
      <c r="G36" t="s" s="0">
        <v>1100</v>
      </c>
      <c r="H36" t="s" s="0">
        <v>82</v>
      </c>
      <c r="I36" t="s" s="0">
        <v>83</v>
      </c>
      <c r="J36" t="s" s="0">
        <v>1101</v>
      </c>
      <c r="K36" t="s" s="0">
        <v>1102</v>
      </c>
      <c r="L36" t="s" s="0">
        <v>1103</v>
      </c>
      <c r="M36" t="s" s="0">
        <v>1103</v>
      </c>
      <c r="N36" t="s" s="0">
        <v>1104</v>
      </c>
      <c r="O36" t="s" s="0">
        <v>1105</v>
      </c>
      <c r="P36" t="s" s="0">
        <v>1106</v>
      </c>
      <c r="Q36" t="s" s="0">
        <v>91</v>
      </c>
      <c r="R36" t="s" s="0">
        <v>82</v>
      </c>
      <c r="S36" t="s" s="0">
        <v>82</v>
      </c>
      <c r="T36" t="s" s="0">
        <v>82</v>
      </c>
      <c r="U36" t="s" s="0">
        <v>82</v>
      </c>
      <c r="V36" t="s" s="0">
        <v>1107</v>
      </c>
      <c r="W36" t="s" s="0">
        <v>543</v>
      </c>
      <c r="X36" t="s" s="0">
        <v>82</v>
      </c>
      <c r="Y36" t="s" s="0">
        <v>82</v>
      </c>
      <c r="Z36" t="s" s="0">
        <v>94</v>
      </c>
      <c r="AA36" t="s" s="0">
        <v>95</v>
      </c>
      <c r="AB36" t="s" s="0">
        <v>82</v>
      </c>
      <c r="AC36" t="s" s="0">
        <v>82</v>
      </c>
      <c r="AD36" t="s" s="0">
        <v>82</v>
      </c>
      <c r="AE36" t="s" s="0">
        <v>82</v>
      </c>
      <c r="AF36" t="s" s="0">
        <v>82</v>
      </c>
      <c r="AG36" t="s" s="0">
        <v>1108</v>
      </c>
      <c r="AH36" t="s" s="0">
        <v>1109</v>
      </c>
      <c r="AI36" t="s" s="0">
        <v>1110</v>
      </c>
      <c r="AJ36" t="s" s="0">
        <v>1111</v>
      </c>
      <c r="AK36" t="s" s="0">
        <v>82</v>
      </c>
      <c r="AL36" t="s" s="0">
        <v>238</v>
      </c>
      <c r="AM36" t="s" s="0">
        <v>136</v>
      </c>
      <c r="AN36" t="s" s="0">
        <v>245</v>
      </c>
      <c r="AO36" t="s" s="0">
        <v>447</v>
      </c>
      <c r="AP36" t="s" s="0">
        <v>375</v>
      </c>
      <c r="AQ36" t="s" s="0">
        <v>312</v>
      </c>
      <c r="AR36" t="s" s="0">
        <v>313</v>
      </c>
      <c r="AS36" t="s" s="0">
        <v>549</v>
      </c>
      <c r="AT36" t="s" s="0">
        <v>82</v>
      </c>
      <c r="AU36" t="s" s="0">
        <v>550</v>
      </c>
      <c r="AV36" t="s" s="0">
        <v>82</v>
      </c>
      <c r="AW36" t="s" s="0">
        <v>543</v>
      </c>
      <c r="AX36" t="s" s="0">
        <v>551</v>
      </c>
      <c r="AY36" t="s" s="0">
        <v>243</v>
      </c>
      <c r="AZ36" t="s" s="0">
        <v>110</v>
      </c>
      <c r="BA36" t="s" s="0">
        <v>323</v>
      </c>
      <c r="BB36" t="s" s="0">
        <v>173</v>
      </c>
      <c r="BC36" t="s" s="0">
        <v>82</v>
      </c>
      <c r="BD36" t="s" s="0">
        <v>82</v>
      </c>
      <c r="BE36" t="s" s="0">
        <v>82</v>
      </c>
      <c r="BF36" t="s" s="0">
        <v>82</v>
      </c>
      <c r="BG36" t="s" s="0">
        <v>82</v>
      </c>
      <c r="BH36" t="s" s="0">
        <v>82</v>
      </c>
      <c r="BI36" t="s" s="0">
        <v>1112</v>
      </c>
      <c r="BJ36" t="s" s="0">
        <v>1113</v>
      </c>
      <c r="BK36" t="s" s="69">
        <f>HYPERLINK("http://dx.doi.org/10.3390/diagnostics14202281","http://dx.doi.org/10.3390/diagnostics14202281")</f>
        <v>1114</v>
      </c>
      <c r="BL36" t="s" s="0">
        <v>82</v>
      </c>
      <c r="BM36" t="s" s="0">
        <v>82</v>
      </c>
      <c r="BN36" t="s" s="0">
        <v>137</v>
      </c>
      <c r="BO36" t="s" s="0">
        <v>354</v>
      </c>
      <c r="BP36" t="s" s="0">
        <v>355</v>
      </c>
      <c r="BQ36" t="s" s="0">
        <v>1115</v>
      </c>
      <c r="BR36" t="s" s="0">
        <v>1116</v>
      </c>
      <c r="BS36" t="s" s="0">
        <v>1117</v>
      </c>
      <c r="BT36" t="s" s="70">
        <f>HYPERLINK("https://www.webofscience.com/wos/woscc/full-record/WOS:001341635700001","View Record in Web of Science")</f>
        <v>120</v>
      </c>
      <c r="BU36" t="s" s="0">
        <v>121</v>
      </c>
      <c r="BV36" t="s" s="0">
        <v>82</v>
      </c>
      <c r="BW36" t="s" s="0">
        <v>82</v>
      </c>
      <c r="BX36" t="s" s="0">
        <v>122</v>
      </c>
    </row>
    <row r="37">
      <c r="A37" t="s" s="0">
        <v>78</v>
      </c>
      <c r="B37" t="s" s="0">
        <v>78</v>
      </c>
      <c r="C37" t="s" s="0">
        <v>101</v>
      </c>
      <c r="D37" t="s" s="0">
        <v>78</v>
      </c>
      <c r="E37" t="s" s="0">
        <v>1118</v>
      </c>
      <c r="F37" t="s" s="0">
        <v>1119</v>
      </c>
      <c r="G37" t="s" s="0">
        <v>1120</v>
      </c>
      <c r="H37" t="s" s="0">
        <v>82</v>
      </c>
      <c r="I37" t="s" s="0">
        <v>83</v>
      </c>
      <c r="J37" t="s" s="0">
        <v>1121</v>
      </c>
      <c r="K37" t="s" s="0">
        <v>1122</v>
      </c>
      <c r="L37" t="s" s="0">
        <v>1123</v>
      </c>
      <c r="M37" t="s" s="0">
        <v>1124</v>
      </c>
      <c r="N37" t="s" s="0">
        <v>1125</v>
      </c>
      <c r="O37" t="s" s="0">
        <v>1126</v>
      </c>
      <c r="P37" t="s" s="0">
        <v>1127</v>
      </c>
      <c r="Q37" t="s" s="0">
        <v>91</v>
      </c>
      <c r="R37" t="s" s="0">
        <v>82</v>
      </c>
      <c r="S37" t="s" s="0">
        <v>82</v>
      </c>
      <c r="T37" t="s" s="0">
        <v>82</v>
      </c>
      <c r="U37" t="s" s="0">
        <v>82</v>
      </c>
      <c r="V37" t="s" s="0">
        <v>1128</v>
      </c>
      <c r="W37" t="s" s="0">
        <v>1129</v>
      </c>
      <c r="X37" t="s" s="0">
        <v>82</v>
      </c>
      <c r="Y37" t="s" s="0">
        <v>82</v>
      </c>
      <c r="Z37" t="s" s="0">
        <v>94</v>
      </c>
      <c r="AA37" t="s" s="0">
        <v>95</v>
      </c>
      <c r="AB37" t="s" s="0">
        <v>82</v>
      </c>
      <c r="AC37" t="s" s="0">
        <v>82</v>
      </c>
      <c r="AD37" t="s" s="0">
        <v>82</v>
      </c>
      <c r="AE37" t="s" s="0">
        <v>82</v>
      </c>
      <c r="AF37" t="s" s="0">
        <v>82</v>
      </c>
      <c r="AG37" t="s" s="0">
        <v>1130</v>
      </c>
      <c r="AH37" t="s" s="0">
        <v>82</v>
      </c>
      <c r="AI37" t="s" s="0">
        <v>1131</v>
      </c>
      <c r="AJ37" t="s" s="0">
        <v>1132</v>
      </c>
      <c r="AK37" t="s" s="0">
        <v>82</v>
      </c>
      <c r="AL37" t="s" s="0">
        <v>148</v>
      </c>
      <c r="AM37" t="s" s="0">
        <v>221</v>
      </c>
      <c r="AN37" t="s" s="0">
        <v>375</v>
      </c>
      <c r="AO37" t="s" s="0">
        <v>78</v>
      </c>
      <c r="AP37" t="s" s="0">
        <v>101</v>
      </c>
      <c r="AQ37" t="s" s="0">
        <v>1133</v>
      </c>
      <c r="AR37" t="s" s="0">
        <v>1134</v>
      </c>
      <c r="AS37" t="s" s="0">
        <v>1135</v>
      </c>
      <c r="AT37" t="s" s="0">
        <v>1136</v>
      </c>
      <c r="AU37" t="s" s="0">
        <v>1137</v>
      </c>
      <c r="AV37" t="s" s="0">
        <v>82</v>
      </c>
      <c r="AW37" t="s" s="0">
        <v>1138</v>
      </c>
      <c r="AX37" t="s" s="0">
        <v>1139</v>
      </c>
      <c r="AY37" t="s" s="0">
        <v>413</v>
      </c>
      <c r="AZ37" t="s" s="0">
        <v>408</v>
      </c>
      <c r="BA37" t="s" s="0">
        <v>1140</v>
      </c>
      <c r="BB37" t="s" s="0">
        <v>101</v>
      </c>
      <c r="BC37" t="s" s="0">
        <v>82</v>
      </c>
      <c r="BD37" t="s" s="0">
        <v>82</v>
      </c>
      <c r="BE37" t="s" s="0">
        <v>82</v>
      </c>
      <c r="BF37" t="s" s="0">
        <v>82</v>
      </c>
      <c r="BG37" t="s" s="0">
        <v>1141</v>
      </c>
      <c r="BH37" t="s" s="0">
        <v>776</v>
      </c>
      <c r="BI37" t="s" s="0">
        <v>82</v>
      </c>
      <c r="BJ37" t="s" s="0">
        <v>1142</v>
      </c>
      <c r="BK37" t="s" s="71">
        <f>HYPERLINK("http://dx.doi.org/10.4174/astr.2022.102.3.147","http://dx.doi.org/10.4174/astr.2022.102.3.147")</f>
        <v>1143</v>
      </c>
      <c r="BL37" t="s" s="0">
        <v>82</v>
      </c>
      <c r="BM37" t="s" s="0">
        <v>82</v>
      </c>
      <c r="BN37" t="s" s="0">
        <v>375</v>
      </c>
      <c r="BO37" t="s" s="0">
        <v>950</v>
      </c>
      <c r="BP37" t="s" s="0">
        <v>950</v>
      </c>
      <c r="BQ37" t="s" s="0">
        <v>1144</v>
      </c>
      <c r="BR37" t="s" s="0">
        <v>1145</v>
      </c>
      <c r="BS37" t="s" s="0">
        <v>1146</v>
      </c>
      <c r="BT37" t="s" s="72">
        <f>HYPERLINK("https://www.webofscience.com/wos/woscc/full-record/WOS:000770058000004","View Record in Web of Science")</f>
        <v>120</v>
      </c>
      <c r="BU37" t="s" s="0">
        <v>121</v>
      </c>
      <c r="BV37" t="s" s="0">
        <v>82</v>
      </c>
      <c r="BW37" t="s" s="0">
        <v>82</v>
      </c>
      <c r="BX37" t="s" s="0">
        <v>122</v>
      </c>
    </row>
    <row r="38">
      <c r="A38" t="s" s="0">
        <v>78</v>
      </c>
      <c r="B38" t="s" s="0">
        <v>78</v>
      </c>
      <c r="C38" t="s" s="0">
        <v>154</v>
      </c>
      <c r="D38" t="s" s="0">
        <v>78</v>
      </c>
      <c r="E38" t="s" s="0">
        <v>1147</v>
      </c>
      <c r="F38" t="s" s="0">
        <v>1148</v>
      </c>
      <c r="G38" t="s" s="0">
        <v>1149</v>
      </c>
      <c r="H38" t="s" s="0">
        <v>82</v>
      </c>
      <c r="I38" t="s" s="0">
        <v>83</v>
      </c>
      <c r="J38" t="s" s="0">
        <v>1150</v>
      </c>
      <c r="K38" t="s" s="0">
        <v>1151</v>
      </c>
      <c r="L38" t="s" s="0">
        <v>1152</v>
      </c>
      <c r="M38" t="s" s="0">
        <v>1153</v>
      </c>
      <c r="N38" t="s" s="0">
        <v>1154</v>
      </c>
      <c r="O38" t="s" s="0">
        <v>1155</v>
      </c>
      <c r="P38" t="s" s="0">
        <v>1156</v>
      </c>
      <c r="Q38" t="s" s="0">
        <v>91</v>
      </c>
      <c r="R38" t="s" s="0">
        <v>82</v>
      </c>
      <c r="S38" t="s" s="0">
        <v>82</v>
      </c>
      <c r="T38" t="s" s="0">
        <v>82</v>
      </c>
      <c r="U38" t="s" s="0">
        <v>82</v>
      </c>
      <c r="V38" t="s" s="0">
        <v>1157</v>
      </c>
      <c r="W38" t="s" s="0">
        <v>771</v>
      </c>
      <c r="X38" t="s" s="0">
        <v>82</v>
      </c>
      <c r="Y38" t="s" s="0">
        <v>82</v>
      </c>
      <c r="Z38" t="s" s="0">
        <v>94</v>
      </c>
      <c r="AA38" t="s" s="0">
        <v>95</v>
      </c>
      <c r="AB38" t="s" s="0">
        <v>82</v>
      </c>
      <c r="AC38" t="s" s="0">
        <v>82</v>
      </c>
      <c r="AD38" t="s" s="0">
        <v>82</v>
      </c>
      <c r="AE38" t="s" s="0">
        <v>82</v>
      </c>
      <c r="AF38" t="s" s="0">
        <v>82</v>
      </c>
      <c r="AG38" t="s" s="0">
        <v>82</v>
      </c>
      <c r="AH38" t="s" s="0">
        <v>1158</v>
      </c>
      <c r="AI38" t="s" s="0">
        <v>1159</v>
      </c>
      <c r="AJ38" t="s" s="0">
        <v>1160</v>
      </c>
      <c r="AK38" t="s" s="0">
        <v>82</v>
      </c>
      <c r="AL38" t="s" s="0">
        <v>1161</v>
      </c>
      <c r="AM38" t="s" s="0">
        <v>1162</v>
      </c>
      <c r="AN38" t="s" s="0">
        <v>1060</v>
      </c>
      <c r="AO38" t="s" s="0">
        <v>102</v>
      </c>
      <c r="AP38" t="s" s="0">
        <v>115</v>
      </c>
      <c r="AQ38" t="s" s="0">
        <v>633</v>
      </c>
      <c r="AR38" t="s" s="0">
        <v>634</v>
      </c>
      <c r="AS38" t="s" s="0">
        <v>635</v>
      </c>
      <c r="AT38" t="s" s="0">
        <v>778</v>
      </c>
      <c r="AU38" t="s" s="0">
        <v>82</v>
      </c>
      <c r="AV38" t="s" s="0">
        <v>82</v>
      </c>
      <c r="AW38" t="s" s="0">
        <v>779</v>
      </c>
      <c r="AX38" t="s" s="0">
        <v>780</v>
      </c>
      <c r="AY38" t="s" s="0">
        <v>1163</v>
      </c>
      <c r="AZ38" t="s" s="0">
        <v>210</v>
      </c>
      <c r="BA38" t="s" s="0">
        <v>375</v>
      </c>
      <c r="BB38" t="s" s="0">
        <v>77</v>
      </c>
      <c r="BC38" t="s" s="0">
        <v>82</v>
      </c>
      <c r="BD38" t="s" s="0">
        <v>82</v>
      </c>
      <c r="BE38" t="s" s="0">
        <v>82</v>
      </c>
      <c r="BF38" t="s" s="0">
        <v>82</v>
      </c>
      <c r="BG38" t="s" s="0">
        <v>82</v>
      </c>
      <c r="BH38" t="s" s="0">
        <v>82</v>
      </c>
      <c r="BI38" t="s" s="0">
        <v>1164</v>
      </c>
      <c r="BJ38" t="s" s="0">
        <v>1165</v>
      </c>
      <c r="BK38" t="s" s="73">
        <f>HYPERLINK("http://dx.doi.org/10.1038/s41746-023-00872-1","http://dx.doi.org/10.1038/s41746-023-00872-1")</f>
        <v>1166</v>
      </c>
      <c r="BL38" t="s" s="0">
        <v>82</v>
      </c>
      <c r="BM38" t="s" s="0">
        <v>82</v>
      </c>
      <c r="BN38" t="s" s="0">
        <v>137</v>
      </c>
      <c r="BO38" t="s" s="0">
        <v>785</v>
      </c>
      <c r="BP38" t="s" s="0">
        <v>785</v>
      </c>
      <c r="BQ38" t="s" s="0">
        <v>1167</v>
      </c>
      <c r="BR38" t="s" s="0">
        <v>1168</v>
      </c>
      <c r="BS38" t="s" s="0">
        <v>1169</v>
      </c>
      <c r="BT38" t="s" s="74">
        <f>HYPERLINK("https://www.webofscience.com/wos/woscc/full-record/WOS:001027088200001","View Record in Web of Science")</f>
        <v>120</v>
      </c>
      <c r="BU38" t="s" s="0">
        <v>121</v>
      </c>
      <c r="BV38" t="s" s="0">
        <v>82</v>
      </c>
      <c r="BW38" t="s" s="0">
        <v>82</v>
      </c>
      <c r="BX38" t="s" s="0">
        <v>122</v>
      </c>
    </row>
    <row r="39">
      <c r="A39" t="s" s="0">
        <v>78</v>
      </c>
      <c r="B39" t="s" s="0">
        <v>78</v>
      </c>
      <c r="C39" t="s" s="0">
        <v>221</v>
      </c>
      <c r="D39" t="s" s="0">
        <v>78</v>
      </c>
      <c r="E39" t="s" s="0">
        <v>1170</v>
      </c>
      <c r="F39" t="s" s="0">
        <v>1171</v>
      </c>
      <c r="G39" t="s" s="0">
        <v>1172</v>
      </c>
      <c r="H39" t="s" s="0">
        <v>82</v>
      </c>
      <c r="I39" t="s" s="0">
        <v>83</v>
      </c>
      <c r="J39" t="s" s="0">
        <v>1173</v>
      </c>
      <c r="K39" t="s" s="0">
        <v>1174</v>
      </c>
      <c r="L39" t="s" s="0">
        <v>1175</v>
      </c>
      <c r="M39" t="s" s="0">
        <v>1176</v>
      </c>
      <c r="N39" t="s" s="0">
        <v>1177</v>
      </c>
      <c r="O39" t="s" s="0">
        <v>1178</v>
      </c>
      <c r="P39" t="s" s="0">
        <v>1179</v>
      </c>
      <c r="Q39" t="s" s="0">
        <v>91</v>
      </c>
      <c r="R39" t="s" s="0">
        <v>82</v>
      </c>
      <c r="S39" t="s" s="0">
        <v>82</v>
      </c>
      <c r="T39" t="s" s="0">
        <v>82</v>
      </c>
      <c r="U39" t="s" s="0">
        <v>82</v>
      </c>
      <c r="V39" t="s" s="0">
        <v>1180</v>
      </c>
      <c r="W39" t="s" s="0">
        <v>1181</v>
      </c>
      <c r="X39" t="s" s="0">
        <v>82</v>
      </c>
      <c r="Y39" t="s" s="0">
        <v>82</v>
      </c>
      <c r="Z39" t="s" s="0">
        <v>94</v>
      </c>
      <c r="AA39" t="s" s="0">
        <v>95</v>
      </c>
      <c r="AB39" t="s" s="0">
        <v>82</v>
      </c>
      <c r="AC39" t="s" s="0">
        <v>82</v>
      </c>
      <c r="AD39" t="s" s="0">
        <v>82</v>
      </c>
      <c r="AE39" t="s" s="0">
        <v>82</v>
      </c>
      <c r="AF39" t="s" s="0">
        <v>82</v>
      </c>
      <c r="AG39" t="s" s="0">
        <v>1182</v>
      </c>
      <c r="AH39" t="s" s="0">
        <v>1183</v>
      </c>
      <c r="AI39" t="s" s="0">
        <v>1184</v>
      </c>
      <c r="AJ39" t="s" s="0">
        <v>1185</v>
      </c>
      <c r="AK39" t="s" s="0">
        <v>82</v>
      </c>
      <c r="AL39" t="s" s="0">
        <v>1186</v>
      </c>
      <c r="AM39" t="s" s="0">
        <v>149</v>
      </c>
      <c r="AN39" t="s" s="0">
        <v>640</v>
      </c>
      <c r="AO39" t="s" s="0">
        <v>78</v>
      </c>
      <c r="AP39" t="s" s="0">
        <v>77</v>
      </c>
      <c r="AQ39" t="s" s="0">
        <v>174</v>
      </c>
      <c r="AR39" t="s" s="0">
        <v>175</v>
      </c>
      <c r="AS39" t="s" s="0">
        <v>176</v>
      </c>
      <c r="AT39" t="s" s="0">
        <v>1187</v>
      </c>
      <c r="AU39" t="s" s="0">
        <v>1188</v>
      </c>
      <c r="AV39" t="s" s="0">
        <v>82</v>
      </c>
      <c r="AW39" t="s" s="0">
        <v>1189</v>
      </c>
      <c r="AX39" t="s" s="0">
        <v>1190</v>
      </c>
      <c r="AY39" t="s" s="0">
        <v>1191</v>
      </c>
      <c r="AZ39" t="s" s="0">
        <v>147</v>
      </c>
      <c r="BA39" t="s" s="0">
        <v>1068</v>
      </c>
      <c r="BB39" t="s" s="0">
        <v>77</v>
      </c>
      <c r="BC39" t="s" s="0">
        <v>82</v>
      </c>
      <c r="BD39" t="s" s="0">
        <v>82</v>
      </c>
      <c r="BE39" t="s" s="0">
        <v>82</v>
      </c>
      <c r="BF39" t="s" s="0">
        <v>82</v>
      </c>
      <c r="BG39" t="s" s="0">
        <v>1192</v>
      </c>
      <c r="BH39" t="s" s="0">
        <v>1193</v>
      </c>
      <c r="BI39" t="s" s="0">
        <v>82</v>
      </c>
      <c r="BJ39" t="s" s="0">
        <v>1194</v>
      </c>
      <c r="BK39" t="s" s="75">
        <f>HYPERLINK("http://dx.doi.org/10.1111/bju.16464","http://dx.doi.org/10.1111/bju.16464")</f>
        <v>1195</v>
      </c>
      <c r="BL39" t="s" s="0">
        <v>82</v>
      </c>
      <c r="BM39" t="s" s="0">
        <v>1196</v>
      </c>
      <c r="BN39" t="s" s="0">
        <v>138</v>
      </c>
      <c r="BO39" t="s" s="0">
        <v>1197</v>
      </c>
      <c r="BP39" t="s" s="0">
        <v>1197</v>
      </c>
      <c r="BQ39" t="s" s="0">
        <v>1198</v>
      </c>
      <c r="BR39" t="s" s="0">
        <v>1199</v>
      </c>
      <c r="BS39" t="s" s="0">
        <v>1200</v>
      </c>
      <c r="BT39" t="s" s="76">
        <f>HYPERLINK("https://www.webofscience.com/wos/woscc/full-record/WOS:001268775100001","View Record in Web of Science")</f>
        <v>120</v>
      </c>
      <c r="BU39" t="s" s="0">
        <v>256</v>
      </c>
      <c r="BV39" t="s" s="0">
        <v>82</v>
      </c>
      <c r="BW39" t="s" s="0">
        <v>82</v>
      </c>
      <c r="BX39" t="s" s="0">
        <v>122</v>
      </c>
    </row>
    <row r="40">
      <c r="A40" t="s" s="0">
        <v>115</v>
      </c>
      <c r="B40" t="s" s="0">
        <v>78</v>
      </c>
      <c r="C40" t="s" s="0">
        <v>463</v>
      </c>
      <c r="D40" t="s" s="0">
        <v>77</v>
      </c>
      <c r="E40" t="s" s="0">
        <v>1201</v>
      </c>
      <c r="F40" t="s" s="0">
        <v>1202</v>
      </c>
      <c r="G40" t="s" s="0">
        <v>1203</v>
      </c>
      <c r="H40" t="s" s="0">
        <v>82</v>
      </c>
      <c r="I40" t="s" s="0">
        <v>83</v>
      </c>
      <c r="J40" t="s" s="0">
        <v>1204</v>
      </c>
      <c r="K40" t="s" s="0">
        <v>1205</v>
      </c>
      <c r="L40" t="s" s="0">
        <v>1206</v>
      </c>
      <c r="M40" t="s" s="0">
        <v>1207</v>
      </c>
      <c r="N40" t="s" s="0">
        <v>1208</v>
      </c>
      <c r="O40" t="s" s="0">
        <v>1209</v>
      </c>
      <c r="P40" t="s" s="0">
        <v>1210</v>
      </c>
      <c r="Q40" t="s" s="0">
        <v>91</v>
      </c>
      <c r="R40" t="s" s="0">
        <v>82</v>
      </c>
      <c r="S40" t="s" s="0">
        <v>82</v>
      </c>
      <c r="T40" t="s" s="0">
        <v>82</v>
      </c>
      <c r="U40" t="s" s="0">
        <v>82</v>
      </c>
      <c r="V40" t="s" s="0">
        <v>1211</v>
      </c>
      <c r="W40" t="s" s="0">
        <v>1212</v>
      </c>
      <c r="X40" t="s" s="0">
        <v>82</v>
      </c>
      <c r="Y40" t="s" s="0">
        <v>82</v>
      </c>
      <c r="Z40" t="s" s="0">
        <v>94</v>
      </c>
      <c r="AA40" t="s" s="0">
        <v>95</v>
      </c>
      <c r="AB40" t="s" s="0">
        <v>82</v>
      </c>
      <c r="AC40" t="s" s="0">
        <v>82</v>
      </c>
      <c r="AD40" t="s" s="0">
        <v>82</v>
      </c>
      <c r="AE40" t="s" s="0">
        <v>82</v>
      </c>
      <c r="AF40" t="s" s="0">
        <v>82</v>
      </c>
      <c r="AG40" t="s" s="0">
        <v>1213</v>
      </c>
      <c r="AH40" t="s" s="0">
        <v>1214</v>
      </c>
      <c r="AI40" t="s" s="0">
        <v>1215</v>
      </c>
      <c r="AJ40" t="s" s="0">
        <v>1216</v>
      </c>
      <c r="AK40" t="s" s="0">
        <v>82</v>
      </c>
      <c r="AL40" t="s" s="0">
        <v>349</v>
      </c>
      <c r="AM40" t="s" s="0">
        <v>1217</v>
      </c>
      <c r="AN40" t="s" s="0">
        <v>1218</v>
      </c>
      <c r="AO40" t="s" s="0">
        <v>447</v>
      </c>
      <c r="AP40" t="s" s="0">
        <v>111</v>
      </c>
      <c r="AQ40" t="s" s="0">
        <v>575</v>
      </c>
      <c r="AR40" t="s" s="0">
        <v>104</v>
      </c>
      <c r="AS40" t="s" s="0">
        <v>576</v>
      </c>
      <c r="AT40" t="s" s="0">
        <v>1219</v>
      </c>
      <c r="AU40" t="s" s="0">
        <v>1220</v>
      </c>
      <c r="AV40" t="s" s="0">
        <v>82</v>
      </c>
      <c r="AW40" t="s" s="0">
        <v>1212</v>
      </c>
      <c r="AX40" t="s" s="0">
        <v>1221</v>
      </c>
      <c r="AY40" t="s" s="0">
        <v>1222</v>
      </c>
      <c r="AZ40" t="s" s="0">
        <v>1035</v>
      </c>
      <c r="BA40" t="s" s="0">
        <v>775</v>
      </c>
      <c r="BB40" t="s" s="0">
        <v>102</v>
      </c>
      <c r="BC40" t="s" s="0">
        <v>82</v>
      </c>
      <c r="BD40" t="s" s="0">
        <v>82</v>
      </c>
      <c r="BE40" t="s" s="0">
        <v>82</v>
      </c>
      <c r="BF40" t="s" s="0">
        <v>82</v>
      </c>
      <c r="BG40" t="s" s="0">
        <v>1223</v>
      </c>
      <c r="BH40" t="s" s="0">
        <v>1224</v>
      </c>
      <c r="BI40" t="s" s="0">
        <v>82</v>
      </c>
      <c r="BJ40" t="s" s="0">
        <v>1225</v>
      </c>
      <c r="BK40" t="s" s="77">
        <f>HYPERLINK("http://dx.doi.org/10.1136/thoraxjnl-2019-214104","http://dx.doi.org/10.1136/thoraxjnl-2019-214104")</f>
        <v>1226</v>
      </c>
      <c r="BL40" t="s" s="0">
        <v>82</v>
      </c>
      <c r="BM40" t="s" s="0">
        <v>82</v>
      </c>
      <c r="BN40" t="s" s="0">
        <v>138</v>
      </c>
      <c r="BO40" t="s" s="0">
        <v>1227</v>
      </c>
      <c r="BP40" t="s" s="0">
        <v>1227</v>
      </c>
      <c r="BQ40" t="s" s="0">
        <v>1228</v>
      </c>
      <c r="BR40" t="s" s="0">
        <v>1229</v>
      </c>
      <c r="BS40" t="s" s="0">
        <v>1230</v>
      </c>
      <c r="BT40" t="s" s="78">
        <f>HYPERLINK("https://www.webofscience.com/wos/woscc/full-record/WOS:000536123400004","View Record in Web of Science")</f>
        <v>120</v>
      </c>
      <c r="BU40" t="s" s="0">
        <v>256</v>
      </c>
      <c r="BV40" t="s" s="0">
        <v>82</v>
      </c>
      <c r="BW40" t="s" s="0">
        <v>82</v>
      </c>
      <c r="BX40" t="s" s="0">
        <v>122</v>
      </c>
    </row>
    <row r="41">
      <c r="A41" t="s" s="0">
        <v>78</v>
      </c>
      <c r="B41" t="s" s="0">
        <v>78</v>
      </c>
      <c r="C41" t="s" s="0">
        <v>319</v>
      </c>
      <c r="D41" t="s" s="0">
        <v>78</v>
      </c>
      <c r="E41" t="s" s="0">
        <v>1231</v>
      </c>
      <c r="F41" t="s" s="0">
        <v>1232</v>
      </c>
      <c r="G41" t="s" s="0">
        <v>1233</v>
      </c>
      <c r="H41" t="s" s="0">
        <v>82</v>
      </c>
      <c r="I41" t="s" s="0">
        <v>1234</v>
      </c>
      <c r="J41" t="s" s="0">
        <v>1235</v>
      </c>
      <c r="K41" t="s" s="0">
        <v>1236</v>
      </c>
      <c r="L41" t="s" s="0">
        <v>82</v>
      </c>
      <c r="M41" t="s" s="0">
        <v>82</v>
      </c>
      <c r="N41" t="s" s="0">
        <v>82</v>
      </c>
      <c r="O41" t="s" s="0">
        <v>1237</v>
      </c>
      <c r="P41" t="s" s="0">
        <v>1238</v>
      </c>
      <c r="Q41" t="s" s="0">
        <v>91</v>
      </c>
      <c r="R41" t="s" s="0">
        <v>82</v>
      </c>
      <c r="S41" t="s" s="0">
        <v>82</v>
      </c>
      <c r="T41" t="s" s="0">
        <v>82</v>
      </c>
      <c r="U41" t="s" s="0">
        <v>82</v>
      </c>
      <c r="V41" t="s" s="0">
        <v>1239</v>
      </c>
      <c r="W41" t="s" s="0">
        <v>1240</v>
      </c>
      <c r="X41" t="s" s="0">
        <v>82</v>
      </c>
      <c r="Y41" t="s" s="0">
        <v>82</v>
      </c>
      <c r="Z41" t="s" s="0">
        <v>94</v>
      </c>
      <c r="AA41" t="s" s="0">
        <v>1241</v>
      </c>
      <c r="AB41" t="s" s="0">
        <v>1242</v>
      </c>
      <c r="AC41" t="s" s="0">
        <v>1243</v>
      </c>
      <c r="AD41" t="s" s="0">
        <v>1244</v>
      </c>
      <c r="AE41" t="s" s="0">
        <v>1245</v>
      </c>
      <c r="AF41" t="s" s="0">
        <v>82</v>
      </c>
      <c r="AG41" t="s" s="0">
        <v>1246</v>
      </c>
      <c r="AH41" t="s" s="0">
        <v>1247</v>
      </c>
      <c r="AI41" t="s" s="0">
        <v>1248</v>
      </c>
      <c r="AJ41" t="s" s="0">
        <v>1249</v>
      </c>
      <c r="AK41" t="s" s="0">
        <v>82</v>
      </c>
      <c r="AL41" t="s" s="0">
        <v>890</v>
      </c>
      <c r="AM41" t="s" s="0">
        <v>830</v>
      </c>
      <c r="AN41" t="s" s="0">
        <v>864</v>
      </c>
      <c r="AO41" t="s" s="0">
        <v>78</v>
      </c>
      <c r="AP41" t="s" s="0">
        <v>136</v>
      </c>
      <c r="AQ41" t="s" s="0">
        <v>1250</v>
      </c>
      <c r="AR41" t="s" s="0">
        <v>1251</v>
      </c>
      <c r="AS41" t="s" s="0">
        <v>1252</v>
      </c>
      <c r="AT41" t="s" s="0">
        <v>1253</v>
      </c>
      <c r="AU41" t="s" s="0">
        <v>1254</v>
      </c>
      <c r="AV41" t="s" s="0">
        <v>82</v>
      </c>
      <c r="AW41" t="s" s="0">
        <v>1255</v>
      </c>
      <c r="AX41" t="s" s="0">
        <v>1256</v>
      </c>
      <c r="AY41" t="s" s="0">
        <v>1257</v>
      </c>
      <c r="AZ41" t="s" s="0">
        <v>284</v>
      </c>
      <c r="BA41" t="s" s="0">
        <v>548</v>
      </c>
      <c r="BB41" t="s" s="0">
        <v>221</v>
      </c>
      <c r="BC41" t="s" s="0">
        <v>82</v>
      </c>
      <c r="BD41" t="s" s="0">
        <v>82</v>
      </c>
      <c r="BE41" t="s" s="0">
        <v>82</v>
      </c>
      <c r="BF41" t="s" s="0">
        <v>82</v>
      </c>
      <c r="BG41" t="s" s="0">
        <v>1258</v>
      </c>
      <c r="BH41" t="s" s="0">
        <v>1259</v>
      </c>
      <c r="BI41" t="s" s="0">
        <v>82</v>
      </c>
      <c r="BJ41" t="s" s="0">
        <v>1260</v>
      </c>
      <c r="BK41" t="s" s="79">
        <f>HYPERLINK("http://dx.doi.org/10.3171/2019.5.SPINE1987","http://dx.doi.org/10.3171/2019.5.SPINE1987")</f>
        <v>1261</v>
      </c>
      <c r="BL41" t="s" s="0">
        <v>82</v>
      </c>
      <c r="BM41" t="s" s="0">
        <v>82</v>
      </c>
      <c r="BN41" t="s" s="0">
        <v>375</v>
      </c>
      <c r="BO41" t="s" s="0">
        <v>216</v>
      </c>
      <c r="BP41" t="s" s="0">
        <v>217</v>
      </c>
      <c r="BQ41" t="s" s="0">
        <v>1262</v>
      </c>
      <c r="BR41" t="s" s="0">
        <v>1263</v>
      </c>
      <c r="BS41" t="s" s="0">
        <v>1264</v>
      </c>
      <c r="BT41" t="s" s="80">
        <f>HYPERLINK("https://www.webofscience.com/wos/woscc/full-record/WOS:000493980000015","View Record in Web of Science")</f>
        <v>120</v>
      </c>
      <c r="BU41" t="s" s="0">
        <v>1265</v>
      </c>
      <c r="BV41" t="s" s="0">
        <v>82</v>
      </c>
      <c r="BW41" t="s" s="0">
        <v>82</v>
      </c>
      <c r="BX41" t="s" s="0">
        <v>122</v>
      </c>
    </row>
    <row r="42">
      <c r="A42" t="s" s="0">
        <v>78</v>
      </c>
      <c r="B42" t="s" s="0">
        <v>78</v>
      </c>
      <c r="C42" t="s" s="0">
        <v>77</v>
      </c>
      <c r="D42" t="s" s="0">
        <v>78</v>
      </c>
      <c r="E42" t="s" s="0">
        <v>1266</v>
      </c>
      <c r="F42" t="s" s="0">
        <v>1267</v>
      </c>
      <c r="G42" t="s" s="0">
        <v>1268</v>
      </c>
      <c r="H42" t="s" s="0">
        <v>82</v>
      </c>
      <c r="I42" t="s" s="0">
        <v>83</v>
      </c>
      <c r="J42" t="s" s="0">
        <v>1269</v>
      </c>
      <c r="K42" t="s" s="0">
        <v>1270</v>
      </c>
      <c r="L42" t="s" s="0">
        <v>82</v>
      </c>
      <c r="M42" t="s" s="0">
        <v>82</v>
      </c>
      <c r="N42" t="s" s="0">
        <v>82</v>
      </c>
      <c r="O42" t="s" s="0">
        <v>1271</v>
      </c>
      <c r="P42" t="s" s="0">
        <v>1272</v>
      </c>
      <c r="Q42" t="s" s="0">
        <v>91</v>
      </c>
      <c r="R42" t="s" s="0">
        <v>82</v>
      </c>
      <c r="S42" t="s" s="0">
        <v>82</v>
      </c>
      <c r="T42" t="s" s="0">
        <v>82</v>
      </c>
      <c r="U42" t="s" s="0">
        <v>82</v>
      </c>
      <c r="V42" t="s" s="0">
        <v>1273</v>
      </c>
      <c r="W42" t="s" s="0">
        <v>1274</v>
      </c>
      <c r="X42" t="s" s="0">
        <v>82</v>
      </c>
      <c r="Y42" t="s" s="0">
        <v>82</v>
      </c>
      <c r="Z42" t="s" s="0">
        <v>94</v>
      </c>
      <c r="AA42" t="s" s="0">
        <v>95</v>
      </c>
      <c r="AB42" t="s" s="0">
        <v>82</v>
      </c>
      <c r="AC42" t="s" s="0">
        <v>82</v>
      </c>
      <c r="AD42" t="s" s="0">
        <v>82</v>
      </c>
      <c r="AE42" t="s" s="0">
        <v>82</v>
      </c>
      <c r="AF42" t="s" s="0">
        <v>82</v>
      </c>
      <c r="AG42" t="s" s="0">
        <v>1275</v>
      </c>
      <c r="AH42" t="s" s="0">
        <v>1276</v>
      </c>
      <c r="AI42" t="s" s="0">
        <v>1277</v>
      </c>
      <c r="AJ42" t="s" s="0">
        <v>1278</v>
      </c>
      <c r="AK42" t="s" s="0">
        <v>82</v>
      </c>
      <c r="AL42" t="s" s="0">
        <v>1279</v>
      </c>
      <c r="AM42" t="s" s="0">
        <v>77</v>
      </c>
      <c r="AN42" t="s" s="0">
        <v>77</v>
      </c>
      <c r="AO42" t="s" s="0">
        <v>78</v>
      </c>
      <c r="AP42" t="s" s="0">
        <v>78</v>
      </c>
      <c r="AQ42" t="s" s="0">
        <v>1280</v>
      </c>
      <c r="AR42" t="s" s="0">
        <v>104</v>
      </c>
      <c r="AS42" t="s" s="0">
        <v>1281</v>
      </c>
      <c r="AT42" t="s" s="0">
        <v>1282</v>
      </c>
      <c r="AU42" t="s" s="0">
        <v>1283</v>
      </c>
      <c r="AV42" t="s" s="0">
        <v>82</v>
      </c>
      <c r="AW42" t="s" s="0">
        <v>1284</v>
      </c>
      <c r="AX42" t="s" s="0">
        <v>1285</v>
      </c>
      <c r="AY42" t="s" s="0">
        <v>1191</v>
      </c>
      <c r="AZ42" t="s" s="0">
        <v>147</v>
      </c>
      <c r="BA42" t="s" s="0">
        <v>1286</v>
      </c>
      <c r="BB42" t="s" s="0">
        <v>447</v>
      </c>
      <c r="BC42" t="s" s="0">
        <v>82</v>
      </c>
      <c r="BD42" t="s" s="0">
        <v>82</v>
      </c>
      <c r="BE42" t="s" s="0">
        <v>82</v>
      </c>
      <c r="BF42" t="s" s="0">
        <v>82</v>
      </c>
      <c r="BG42" t="s" s="0">
        <v>1287</v>
      </c>
      <c r="BH42" t="s" s="0">
        <v>1288</v>
      </c>
      <c r="BI42" t="s" s="0">
        <v>82</v>
      </c>
      <c r="BJ42" t="s" s="0">
        <v>1289</v>
      </c>
      <c r="BK42" t="s" s="81">
        <f>HYPERLINK("http://dx.doi.org/10.1177/13872877241304607","http://dx.doi.org/10.1177/13872877241304607")</f>
        <v>1290</v>
      </c>
      <c r="BL42" t="s" s="0">
        <v>82</v>
      </c>
      <c r="BM42" t="s" s="0">
        <v>1191</v>
      </c>
      <c r="BN42" t="s" s="0">
        <v>245</v>
      </c>
      <c r="BO42" t="s" s="0">
        <v>1291</v>
      </c>
      <c r="BP42" t="s" s="0">
        <v>252</v>
      </c>
      <c r="BQ42" t="s" s="0">
        <v>1292</v>
      </c>
      <c r="BR42" t="s" s="0">
        <v>1293</v>
      </c>
      <c r="BS42" t="s" s="0">
        <v>1294</v>
      </c>
      <c r="BT42" t="s" s="82">
        <f>HYPERLINK("https://www.webofscience.com/wos/woscc/full-record/WOS:001415400300023","View Record in Web of Science")</f>
        <v>120</v>
      </c>
      <c r="BU42" t="s" s="0">
        <v>82</v>
      </c>
      <c r="BV42" t="s" s="0">
        <v>82</v>
      </c>
      <c r="BW42" t="s" s="0">
        <v>82</v>
      </c>
      <c r="BX42" t="s" s="0">
        <v>122</v>
      </c>
    </row>
    <row r="43">
      <c r="A43" t="s" s="0">
        <v>78</v>
      </c>
      <c r="B43" t="s" s="0">
        <v>78</v>
      </c>
      <c r="C43" t="s" s="0">
        <v>101</v>
      </c>
      <c r="D43" t="s" s="0">
        <v>78</v>
      </c>
      <c r="E43" t="s" s="0">
        <v>1295</v>
      </c>
      <c r="F43" t="s" s="0">
        <v>1296</v>
      </c>
      <c r="G43" t="s" s="0">
        <v>1297</v>
      </c>
      <c r="H43" t="s" s="0">
        <v>82</v>
      </c>
      <c r="I43" t="s" s="0">
        <v>297</v>
      </c>
      <c r="J43" t="s" s="0">
        <v>1298</v>
      </c>
      <c r="K43" t="s" s="0">
        <v>1299</v>
      </c>
      <c r="L43" t="s" s="0">
        <v>1300</v>
      </c>
      <c r="M43" t="s" s="0">
        <v>1301</v>
      </c>
      <c r="N43" t="s" s="0">
        <v>1302</v>
      </c>
      <c r="O43" t="s" s="0">
        <v>1303</v>
      </c>
      <c r="P43" t="s" s="0">
        <v>1304</v>
      </c>
      <c r="Q43" t="s" s="0">
        <v>91</v>
      </c>
      <c r="R43" t="s" s="0">
        <v>82</v>
      </c>
      <c r="S43" t="s" s="0">
        <v>82</v>
      </c>
      <c r="T43" t="s" s="0">
        <v>82</v>
      </c>
      <c r="U43" t="s" s="0">
        <v>82</v>
      </c>
      <c r="V43" t="s" s="0">
        <v>1305</v>
      </c>
      <c r="W43" t="s" s="0">
        <v>1306</v>
      </c>
      <c r="X43" t="s" s="0">
        <v>82</v>
      </c>
      <c r="Y43" t="s" s="0">
        <v>82</v>
      </c>
      <c r="Z43" t="s" s="0">
        <v>94</v>
      </c>
      <c r="AA43" t="s" s="0">
        <v>95</v>
      </c>
      <c r="AB43" t="s" s="0">
        <v>82</v>
      </c>
      <c r="AC43" t="s" s="0">
        <v>82</v>
      </c>
      <c r="AD43" t="s" s="0">
        <v>82</v>
      </c>
      <c r="AE43" t="s" s="0">
        <v>82</v>
      </c>
      <c r="AF43" t="s" s="0">
        <v>82</v>
      </c>
      <c r="AG43" t="s" s="0">
        <v>1307</v>
      </c>
      <c r="AH43" t="s" s="0">
        <v>82</v>
      </c>
      <c r="AI43" t="s" s="0">
        <v>1308</v>
      </c>
      <c r="AJ43" t="s" s="0">
        <v>1309</v>
      </c>
      <c r="AK43" t="s" s="0">
        <v>82</v>
      </c>
      <c r="AL43" t="s" s="0">
        <v>399</v>
      </c>
      <c r="AM43" t="s" s="0">
        <v>136</v>
      </c>
      <c r="AN43" t="s" s="0">
        <v>245</v>
      </c>
      <c r="AO43" t="s" s="0">
        <v>78</v>
      </c>
      <c r="AP43" t="s" s="0">
        <v>77</v>
      </c>
      <c r="AQ43" t="s" s="0">
        <v>1310</v>
      </c>
      <c r="AR43" t="s" s="0">
        <v>1311</v>
      </c>
      <c r="AS43" t="s" s="0">
        <v>1312</v>
      </c>
      <c r="AT43" t="s" s="0">
        <v>1313</v>
      </c>
      <c r="AU43" t="s" s="0">
        <v>1314</v>
      </c>
      <c r="AV43" t="s" s="0">
        <v>82</v>
      </c>
      <c r="AW43" t="s" s="0">
        <v>1315</v>
      </c>
      <c r="AX43" t="s" s="0">
        <v>1316</v>
      </c>
      <c r="AY43" t="s" s="0">
        <v>1317</v>
      </c>
      <c r="AZ43" t="s" s="0">
        <v>210</v>
      </c>
      <c r="BA43" t="s" s="0">
        <v>245</v>
      </c>
      <c r="BB43" t="s" s="0">
        <v>375</v>
      </c>
      <c r="BC43" t="s" s="0">
        <v>82</v>
      </c>
      <c r="BD43" t="s" s="0">
        <v>82</v>
      </c>
      <c r="BE43" t="s" s="0">
        <v>82</v>
      </c>
      <c r="BF43" t="s" s="0">
        <v>82</v>
      </c>
      <c r="BG43" t="s" s="0">
        <v>82</v>
      </c>
      <c r="BH43" t="s" s="0">
        <v>82</v>
      </c>
      <c r="BI43" t="s" s="0">
        <v>82</v>
      </c>
      <c r="BJ43" t="s" s="0">
        <v>1318</v>
      </c>
      <c r="BK43" t="s" s="83">
        <f>HYPERLINK("http://dx.doi.org/10.1117/1.JMI.10.6.061404","http://dx.doi.org/10.1117/1.JMI.10.6.061404")</f>
        <v>1319</v>
      </c>
      <c r="BL43" t="s" s="0">
        <v>82</v>
      </c>
      <c r="BM43" t="s" s="0">
        <v>82</v>
      </c>
      <c r="BN43" t="s" s="0">
        <v>1320</v>
      </c>
      <c r="BO43" t="s" s="0">
        <v>414</v>
      </c>
      <c r="BP43" t="s" s="0">
        <v>414</v>
      </c>
      <c r="BQ43" t="s" s="0">
        <v>1321</v>
      </c>
      <c r="BR43" t="s" s="0">
        <v>1322</v>
      </c>
      <c r="BS43" t="s" s="0">
        <v>1323</v>
      </c>
      <c r="BT43" t="s" s="84">
        <f>HYPERLINK("https://www.webofscience.com/wos/woscc/full-record/WOS:001139907400005","View Record in Web of Science")</f>
        <v>120</v>
      </c>
      <c r="BU43" t="s" s="0">
        <v>256</v>
      </c>
      <c r="BV43" t="s" s="0">
        <v>82</v>
      </c>
      <c r="BW43" t="s" s="0">
        <v>82</v>
      </c>
      <c r="BX43" t="s" s="0">
        <v>122</v>
      </c>
    </row>
    <row r="44">
      <c r="A44" t="s" s="0">
        <v>78</v>
      </c>
      <c r="B44" t="s" s="0">
        <v>78</v>
      </c>
      <c r="C44" t="s" s="0">
        <v>78</v>
      </c>
      <c r="D44" t="s" s="0">
        <v>78</v>
      </c>
      <c r="E44" t="s" s="0">
        <v>1324</v>
      </c>
      <c r="F44" t="s" s="0">
        <v>1325</v>
      </c>
      <c r="G44" t="s" s="0">
        <v>1326</v>
      </c>
      <c r="H44" t="s" s="0">
        <v>82</v>
      </c>
      <c r="I44" t="s" s="0">
        <v>83</v>
      </c>
      <c r="J44" t="s" s="0">
        <v>1327</v>
      </c>
      <c r="K44" t="s" s="0">
        <v>1328</v>
      </c>
      <c r="L44" t="s" s="0">
        <v>82</v>
      </c>
      <c r="M44" t="s" s="0">
        <v>82</v>
      </c>
      <c r="N44" t="s" s="0">
        <v>82</v>
      </c>
      <c r="O44" t="s" s="0">
        <v>1329</v>
      </c>
      <c r="P44" t="s" s="0">
        <v>1330</v>
      </c>
      <c r="Q44" t="s" s="0">
        <v>91</v>
      </c>
      <c r="R44" t="s" s="0">
        <v>82</v>
      </c>
      <c r="S44" t="s" s="0">
        <v>82</v>
      </c>
      <c r="T44" t="s" s="0">
        <v>82</v>
      </c>
      <c r="U44" t="s" s="0">
        <v>82</v>
      </c>
      <c r="V44" t="s" s="0">
        <v>1331</v>
      </c>
      <c r="W44" t="s" s="0">
        <v>1332</v>
      </c>
      <c r="X44" t="s" s="0">
        <v>82</v>
      </c>
      <c r="Y44" t="s" s="0">
        <v>82</v>
      </c>
      <c r="Z44" t="s" s="0">
        <v>94</v>
      </c>
      <c r="AA44" t="s" s="0">
        <v>169</v>
      </c>
      <c r="AB44" t="s" s="0">
        <v>82</v>
      </c>
      <c r="AC44" t="s" s="0">
        <v>82</v>
      </c>
      <c r="AD44" t="s" s="0">
        <v>82</v>
      </c>
      <c r="AE44" t="s" s="0">
        <v>82</v>
      </c>
      <c r="AF44" t="s" s="0">
        <v>82</v>
      </c>
      <c r="AG44" t="s" s="0">
        <v>1333</v>
      </c>
      <c r="AH44" t="s" s="0">
        <v>1334</v>
      </c>
      <c r="AI44" t="s" s="0">
        <v>82</v>
      </c>
      <c r="AJ44" t="s" s="0">
        <v>82</v>
      </c>
      <c r="AK44" t="s" s="0">
        <v>82</v>
      </c>
      <c r="AL44" t="s" s="0">
        <v>463</v>
      </c>
      <c r="AM44" t="s" s="0">
        <v>78</v>
      </c>
      <c r="AN44" t="s" s="0">
        <v>78</v>
      </c>
      <c r="AO44" t="s" s="0">
        <v>78</v>
      </c>
      <c r="AP44" t="s" s="0">
        <v>78</v>
      </c>
      <c r="AQ44" t="s" s="0">
        <v>968</v>
      </c>
      <c r="AR44" t="s" s="0">
        <v>969</v>
      </c>
      <c r="AS44" t="s" s="0">
        <v>1335</v>
      </c>
      <c r="AT44" t="s" s="0">
        <v>1336</v>
      </c>
      <c r="AU44" t="s" s="0">
        <v>1337</v>
      </c>
      <c r="AV44" t="s" s="0">
        <v>82</v>
      </c>
      <c r="AW44" t="s" s="0">
        <v>1338</v>
      </c>
      <c r="AX44" t="s" s="0">
        <v>1339</v>
      </c>
      <c r="AY44" t="s" s="0">
        <v>82</v>
      </c>
      <c r="AZ44" t="s" s="0">
        <v>181</v>
      </c>
      <c r="BA44" t="s" s="0">
        <v>82</v>
      </c>
      <c r="BB44" t="s" s="0">
        <v>82</v>
      </c>
      <c r="BC44" t="s" s="0">
        <v>82</v>
      </c>
      <c r="BD44" t="s" s="0">
        <v>82</v>
      </c>
      <c r="BE44" t="s" s="0">
        <v>82</v>
      </c>
      <c r="BF44" t="s" s="0">
        <v>82</v>
      </c>
      <c r="BG44" t="s" s="0">
        <v>82</v>
      </c>
      <c r="BH44" t="s" s="0">
        <v>82</v>
      </c>
      <c r="BI44" t="s" s="0">
        <v>82</v>
      </c>
      <c r="BJ44" t="s" s="0">
        <v>1340</v>
      </c>
      <c r="BK44" t="s" s="85">
        <f>HYPERLINK("http://dx.doi.org/10.1055/a-2920-1072","http://dx.doi.org/10.1055/a-2920-1072")</f>
        <v>1341</v>
      </c>
      <c r="BL44" t="s" s="0">
        <v>82</v>
      </c>
      <c r="BM44" t="s" s="0">
        <v>1342</v>
      </c>
      <c r="BN44" t="s" s="0">
        <v>149</v>
      </c>
      <c r="BO44" t="s" s="0">
        <v>1343</v>
      </c>
      <c r="BP44" t="s" s="0">
        <v>1343</v>
      </c>
      <c r="BQ44" t="s" s="0">
        <v>1344</v>
      </c>
      <c r="BR44" t="s" s="0">
        <v>82</v>
      </c>
      <c r="BS44" t="s" s="0">
        <v>1345</v>
      </c>
      <c r="BT44" t="s" s="86">
        <f>HYPERLINK("https://www.webofscience.com/wos/woscc/full-record/WOS:001848230300001","View Record in Web of Science")</f>
        <v>120</v>
      </c>
      <c r="BU44" t="s" s="0">
        <v>159</v>
      </c>
      <c r="BV44" t="s" s="0">
        <v>82</v>
      </c>
      <c r="BW44" t="s" s="0">
        <v>82</v>
      </c>
      <c r="BX44" t="s" s="0">
        <v>122</v>
      </c>
    </row>
    <row r="45">
      <c r="A45" t="s" s="0">
        <v>78</v>
      </c>
      <c r="B45" t="s" s="0">
        <v>78</v>
      </c>
      <c r="C45" t="s" s="0">
        <v>78</v>
      </c>
      <c r="D45" t="s" s="0">
        <v>78</v>
      </c>
      <c r="E45" t="s" s="0">
        <v>1346</v>
      </c>
      <c r="F45" t="s" s="0">
        <v>1347</v>
      </c>
      <c r="G45" t="s" s="0">
        <v>1348</v>
      </c>
      <c r="H45" t="s" s="0">
        <v>82</v>
      </c>
      <c r="I45" t="s" s="0">
        <v>83</v>
      </c>
      <c r="J45" t="s" s="0">
        <v>1349</v>
      </c>
      <c r="K45" t="s" s="0">
        <v>1350</v>
      </c>
      <c r="L45" t="s" s="0">
        <v>1351</v>
      </c>
      <c r="M45" t="s" s="0">
        <v>1352</v>
      </c>
      <c r="N45" t="s" s="0">
        <v>1353</v>
      </c>
      <c r="O45" t="s" s="0">
        <v>1354</v>
      </c>
      <c r="P45" t="s" s="0">
        <v>1355</v>
      </c>
      <c r="Q45" t="s" s="0">
        <v>91</v>
      </c>
      <c r="R45" t="s" s="0">
        <v>82</v>
      </c>
      <c r="S45" t="s" s="0">
        <v>82</v>
      </c>
      <c r="T45" t="s" s="0">
        <v>82</v>
      </c>
      <c r="U45" t="s" s="0">
        <v>82</v>
      </c>
      <c r="V45" t="s" s="0">
        <v>1356</v>
      </c>
      <c r="W45" t="s" s="0">
        <v>1357</v>
      </c>
      <c r="X45" t="s" s="0">
        <v>82</v>
      </c>
      <c r="Y45" t="s" s="0">
        <v>82</v>
      </c>
      <c r="Z45" t="s" s="0">
        <v>94</v>
      </c>
      <c r="AA45" t="s" s="0">
        <v>95</v>
      </c>
      <c r="AB45" t="s" s="0">
        <v>82</v>
      </c>
      <c r="AC45" t="s" s="0">
        <v>82</v>
      </c>
      <c r="AD45" t="s" s="0">
        <v>82</v>
      </c>
      <c r="AE45" t="s" s="0">
        <v>82</v>
      </c>
      <c r="AF45" t="s" s="0">
        <v>82</v>
      </c>
      <c r="AG45" t="s" s="0">
        <v>1358</v>
      </c>
      <c r="AH45" t="s" s="0">
        <v>82</v>
      </c>
      <c r="AI45" t="s" s="0">
        <v>1359</v>
      </c>
      <c r="AJ45" t="s" s="0">
        <v>1360</v>
      </c>
      <c r="AK45" t="s" s="0">
        <v>82</v>
      </c>
      <c r="AL45" t="s" s="0">
        <v>1161</v>
      </c>
      <c r="AM45" t="s" s="0">
        <v>78</v>
      </c>
      <c r="AN45" t="s" s="0">
        <v>78</v>
      </c>
      <c r="AO45" t="s" s="0">
        <v>77</v>
      </c>
      <c r="AP45" t="s" s="0">
        <v>77</v>
      </c>
      <c r="AQ45" t="s" s="0">
        <v>174</v>
      </c>
      <c r="AR45" t="s" s="0">
        <v>175</v>
      </c>
      <c r="AS45" t="s" s="0">
        <v>176</v>
      </c>
      <c r="AT45" t="s" s="0">
        <v>1361</v>
      </c>
      <c r="AU45" t="s" s="0">
        <v>1362</v>
      </c>
      <c r="AV45" t="s" s="0">
        <v>82</v>
      </c>
      <c r="AW45" t="s" s="0">
        <v>1363</v>
      </c>
      <c r="AX45" t="s" s="0">
        <v>1364</v>
      </c>
      <c r="AY45" t="s" s="0">
        <v>1365</v>
      </c>
      <c r="AZ45" t="s" s="0">
        <v>181</v>
      </c>
      <c r="BA45" t="s" s="0">
        <v>1366</v>
      </c>
      <c r="BB45" t="s" s="0">
        <v>102</v>
      </c>
      <c r="BC45" t="s" s="0">
        <v>82</v>
      </c>
      <c r="BD45" t="s" s="0">
        <v>82</v>
      </c>
      <c r="BE45" t="s" s="0">
        <v>82</v>
      </c>
      <c r="BF45" t="s" s="0">
        <v>82</v>
      </c>
      <c r="BG45" t="s" s="0">
        <v>1367</v>
      </c>
      <c r="BH45" t="s" s="0">
        <v>1368</v>
      </c>
      <c r="BI45" t="s" s="0">
        <v>82</v>
      </c>
      <c r="BJ45" t="s" s="0">
        <v>1369</v>
      </c>
      <c r="BK45" t="s" s="87">
        <f>HYPERLINK("http://dx.doi.org/10.1002/ohn.70153","http://dx.doi.org/10.1002/ohn.70153")</f>
        <v>1370</v>
      </c>
      <c r="BL45" t="s" s="0">
        <v>82</v>
      </c>
      <c r="BM45" t="s" s="0">
        <v>1371</v>
      </c>
      <c r="BN45" t="s" s="0">
        <v>245</v>
      </c>
      <c r="BO45" t="s" s="0">
        <v>1372</v>
      </c>
      <c r="BP45" t="s" s="0">
        <v>1372</v>
      </c>
      <c r="BQ45" t="s" s="0">
        <v>1373</v>
      </c>
      <c r="BR45" t="s" s="0">
        <v>1374</v>
      </c>
      <c r="BS45" t="s" s="0">
        <v>1375</v>
      </c>
      <c r="BT45" t="s" s="88">
        <f>HYPERLINK("https://www.webofscience.com/wos/woscc/full-record/WOS:001690794600001","View Record in Web of Science")</f>
        <v>120</v>
      </c>
      <c r="BU45" t="s" s="0">
        <v>256</v>
      </c>
      <c r="BV45" t="s" s="0">
        <v>82</v>
      </c>
      <c r="BW45" t="s" s="0">
        <v>82</v>
      </c>
      <c r="BX45" t="s" s="0">
        <v>122</v>
      </c>
    </row>
    <row r="46">
      <c r="A46" t="s" s="0">
        <v>78</v>
      </c>
      <c r="B46" t="s" s="0">
        <v>78</v>
      </c>
      <c r="C46" t="s" s="0">
        <v>78</v>
      </c>
      <c r="D46" t="s" s="0">
        <v>78</v>
      </c>
      <c r="E46" t="s" s="0">
        <v>1376</v>
      </c>
      <c r="F46" t="s" s="0">
        <v>1377</v>
      </c>
      <c r="G46" t="s" s="0">
        <v>1378</v>
      </c>
      <c r="H46" t="s" s="0">
        <v>82</v>
      </c>
      <c r="I46" t="s" s="0">
        <v>297</v>
      </c>
      <c r="J46" t="s" s="0">
        <v>1379</v>
      </c>
      <c r="K46" t="s" s="0">
        <v>1380</v>
      </c>
      <c r="L46" t="s" s="0">
        <v>1381</v>
      </c>
      <c r="M46" t="s" s="0">
        <v>1382</v>
      </c>
      <c r="N46" t="s" s="0">
        <v>1383</v>
      </c>
      <c r="O46" t="s" s="0">
        <v>1384</v>
      </c>
      <c r="P46" t="s" s="0">
        <v>1385</v>
      </c>
      <c r="Q46" t="s" s="0">
        <v>91</v>
      </c>
      <c r="R46" t="s" s="0">
        <v>82</v>
      </c>
      <c r="S46" t="s" s="0">
        <v>82</v>
      </c>
      <c r="T46" t="s" s="0">
        <v>82</v>
      </c>
      <c r="U46" t="s" s="0">
        <v>82</v>
      </c>
      <c r="V46" t="s" s="0">
        <v>1386</v>
      </c>
      <c r="W46" t="s" s="0">
        <v>1387</v>
      </c>
      <c r="X46" t="s" s="0">
        <v>82</v>
      </c>
      <c r="Y46" t="s" s="0">
        <v>82</v>
      </c>
      <c r="Z46" t="s" s="0">
        <v>94</v>
      </c>
      <c r="AA46" t="s" s="0">
        <v>95</v>
      </c>
      <c r="AB46" t="s" s="0">
        <v>82</v>
      </c>
      <c r="AC46" t="s" s="0">
        <v>82</v>
      </c>
      <c r="AD46" t="s" s="0">
        <v>82</v>
      </c>
      <c r="AE46" t="s" s="0">
        <v>82</v>
      </c>
      <c r="AF46" t="s" s="0">
        <v>82</v>
      </c>
      <c r="AG46" t="s" s="0">
        <v>82</v>
      </c>
      <c r="AH46" t="s" s="0">
        <v>1388</v>
      </c>
      <c r="AI46" t="s" s="0">
        <v>1389</v>
      </c>
      <c r="AJ46" t="s" s="0">
        <v>1390</v>
      </c>
      <c r="AK46" t="s" s="0">
        <v>82</v>
      </c>
      <c r="AL46" t="s" s="0">
        <v>548</v>
      </c>
      <c r="AM46" t="s" s="0">
        <v>138</v>
      </c>
      <c r="AN46" t="s" s="0">
        <v>138</v>
      </c>
      <c r="AO46" t="s" s="0">
        <v>78</v>
      </c>
      <c r="AP46" t="s" s="0">
        <v>101</v>
      </c>
      <c r="AQ46" t="s" s="0">
        <v>277</v>
      </c>
      <c r="AR46" t="s" s="0">
        <v>278</v>
      </c>
      <c r="AS46" t="s" s="0">
        <v>279</v>
      </c>
      <c r="AT46" t="s" s="0">
        <v>82</v>
      </c>
      <c r="AU46" t="s" s="0">
        <v>1391</v>
      </c>
      <c r="AV46" t="s" s="0">
        <v>82</v>
      </c>
      <c r="AW46" t="s" s="0">
        <v>1392</v>
      </c>
      <c r="AX46" t="s" s="0">
        <v>1393</v>
      </c>
      <c r="AY46" t="s" s="0">
        <v>1394</v>
      </c>
      <c r="AZ46" t="s" s="0">
        <v>147</v>
      </c>
      <c r="BA46" t="s" s="0">
        <v>101</v>
      </c>
      <c r="BB46" t="s" s="0">
        <v>447</v>
      </c>
      <c r="BC46" t="s" s="0">
        <v>82</v>
      </c>
      <c r="BD46" t="s" s="0">
        <v>82</v>
      </c>
      <c r="BE46" t="s" s="0">
        <v>82</v>
      </c>
      <c r="BF46" t="s" s="0">
        <v>82</v>
      </c>
      <c r="BG46" t="s" s="0">
        <v>82</v>
      </c>
      <c r="BH46" t="s" s="0">
        <v>82</v>
      </c>
      <c r="BI46" t="s" s="0">
        <v>1395</v>
      </c>
      <c r="BJ46" t="s" s="0">
        <v>1396</v>
      </c>
      <c r="BK46" t="s" s="89">
        <f>HYPERLINK("http://dx.doi.org/10.1016/j.mcpdig.2025.100200","http://dx.doi.org/10.1016/j.mcpdig.2025.100200")</f>
        <v>1397</v>
      </c>
      <c r="BL46" t="s" s="0">
        <v>82</v>
      </c>
      <c r="BM46" t="s" s="0">
        <v>1398</v>
      </c>
      <c r="BN46" t="s" s="0">
        <v>245</v>
      </c>
      <c r="BO46" t="s" s="0">
        <v>785</v>
      </c>
      <c r="BP46" t="s" s="0">
        <v>785</v>
      </c>
      <c r="BQ46" t="s" s="0">
        <v>1399</v>
      </c>
      <c r="BR46" t="s" s="0">
        <v>1400</v>
      </c>
      <c r="BS46" t="s" s="0">
        <v>1401</v>
      </c>
      <c r="BT46" t="s" s="90">
        <f>HYPERLINK("https://www.webofscience.com/wos/woscc/full-record/WOS:001546393800008","View Record in Web of Science")</f>
        <v>120</v>
      </c>
      <c r="BU46" t="s" s="0">
        <v>121</v>
      </c>
      <c r="BV46" t="s" s="0">
        <v>82</v>
      </c>
      <c r="BW46" t="s" s="0">
        <v>82</v>
      </c>
      <c r="BX46" t="s" s="0">
        <v>122</v>
      </c>
    </row>
    <row r="47">
      <c r="A47" t="s" s="0">
        <v>78</v>
      </c>
      <c r="B47" t="s" s="0">
        <v>78</v>
      </c>
      <c r="C47" t="s" s="0">
        <v>78</v>
      </c>
      <c r="D47" t="s" s="0">
        <v>78</v>
      </c>
      <c r="E47" t="s" s="0">
        <v>1402</v>
      </c>
      <c r="F47" t="s" s="0">
        <v>1403</v>
      </c>
      <c r="G47" t="s" s="0">
        <v>1404</v>
      </c>
      <c r="H47" t="s" s="0">
        <v>82</v>
      </c>
      <c r="I47" t="s" s="0">
        <v>297</v>
      </c>
      <c r="J47" t="s" s="0">
        <v>1405</v>
      </c>
      <c r="K47" t="s" s="0">
        <v>1406</v>
      </c>
      <c r="L47" t="s" s="0">
        <v>82</v>
      </c>
      <c r="M47" t="s" s="0">
        <v>82</v>
      </c>
      <c r="N47" t="s" s="0">
        <v>82</v>
      </c>
      <c r="O47" t="s" s="0">
        <v>1407</v>
      </c>
      <c r="P47" t="s" s="0">
        <v>1408</v>
      </c>
      <c r="Q47" t="s" s="0">
        <v>91</v>
      </c>
      <c r="R47" t="s" s="0">
        <v>82</v>
      </c>
      <c r="S47" t="s" s="0">
        <v>82</v>
      </c>
      <c r="T47" t="s" s="0">
        <v>82</v>
      </c>
      <c r="U47" t="s" s="0">
        <v>82</v>
      </c>
      <c r="V47" t="s" s="0">
        <v>1409</v>
      </c>
      <c r="W47" t="s" s="0">
        <v>1410</v>
      </c>
      <c r="X47" t="s" s="0">
        <v>82</v>
      </c>
      <c r="Y47" t="s" s="0">
        <v>82</v>
      </c>
      <c r="Z47" t="s" s="0">
        <v>94</v>
      </c>
      <c r="AA47" t="s" s="0">
        <v>169</v>
      </c>
      <c r="AB47" t="s" s="0">
        <v>82</v>
      </c>
      <c r="AC47" t="s" s="0">
        <v>82</v>
      </c>
      <c r="AD47" t="s" s="0">
        <v>82</v>
      </c>
      <c r="AE47" t="s" s="0">
        <v>82</v>
      </c>
      <c r="AF47" t="s" s="0">
        <v>82</v>
      </c>
      <c r="AG47" t="s" s="0">
        <v>1411</v>
      </c>
      <c r="AH47" t="s" s="0">
        <v>1412</v>
      </c>
      <c r="AI47" t="s" s="0">
        <v>1413</v>
      </c>
      <c r="AJ47" t="s" s="0">
        <v>1414</v>
      </c>
      <c r="AK47" t="s" s="0">
        <v>82</v>
      </c>
      <c r="AL47" t="s" s="0">
        <v>1415</v>
      </c>
      <c r="AM47" t="s" s="0">
        <v>78</v>
      </c>
      <c r="AN47" t="s" s="0">
        <v>78</v>
      </c>
      <c r="AO47" t="s" s="0">
        <v>78</v>
      </c>
      <c r="AP47" t="s" s="0">
        <v>78</v>
      </c>
      <c r="AQ47" t="s" s="0">
        <v>1416</v>
      </c>
      <c r="AR47" t="s" s="0">
        <v>1417</v>
      </c>
      <c r="AS47" t="s" s="0">
        <v>1418</v>
      </c>
      <c r="AT47" t="s" s="0">
        <v>1419</v>
      </c>
      <c r="AU47" t="s" s="0">
        <v>1420</v>
      </c>
      <c r="AV47" t="s" s="0">
        <v>82</v>
      </c>
      <c r="AW47" t="s" s="0">
        <v>1421</v>
      </c>
      <c r="AX47" t="s" s="0">
        <v>1422</v>
      </c>
      <c r="AY47" t="s" s="0">
        <v>82</v>
      </c>
      <c r="AZ47" t="s" s="0">
        <v>147</v>
      </c>
      <c r="BA47" t="s" s="0">
        <v>82</v>
      </c>
      <c r="BB47" t="s" s="0">
        <v>82</v>
      </c>
      <c r="BC47" t="s" s="0">
        <v>82</v>
      </c>
      <c r="BD47" t="s" s="0">
        <v>82</v>
      </c>
      <c r="BE47" t="s" s="0">
        <v>82</v>
      </c>
      <c r="BF47" t="s" s="0">
        <v>82</v>
      </c>
      <c r="BG47" t="s" s="0">
        <v>82</v>
      </c>
      <c r="BH47" t="s" s="0">
        <v>82</v>
      </c>
      <c r="BI47" t="s" s="0">
        <v>82</v>
      </c>
      <c r="BJ47" t="s" s="0">
        <v>1423</v>
      </c>
      <c r="BK47" t="s" s="91">
        <f>HYPERLINK("http://dx.doi.org/10.1037/cns0000447","http://dx.doi.org/10.1037/cns0000447")</f>
        <v>1424</v>
      </c>
      <c r="BL47" t="s" s="0">
        <v>82</v>
      </c>
      <c r="BM47" t="s" s="0">
        <v>1425</v>
      </c>
      <c r="BN47" t="s" s="0">
        <v>111</v>
      </c>
      <c r="BO47" t="s" s="0">
        <v>1426</v>
      </c>
      <c r="BP47" t="s" s="0">
        <v>1427</v>
      </c>
      <c r="BQ47" t="s" s="0">
        <v>1428</v>
      </c>
      <c r="BR47" t="s" s="0">
        <v>82</v>
      </c>
      <c r="BS47" t="s" s="0">
        <v>1429</v>
      </c>
      <c r="BT47" t="s" s="92">
        <f>HYPERLINK("https://www.webofscience.com/wos/woscc/full-record/WOS:001606610300001","View Record in Web of Science")</f>
        <v>120</v>
      </c>
      <c r="BU47" t="s" s="0">
        <v>82</v>
      </c>
      <c r="BV47" t="s" s="0">
        <v>82</v>
      </c>
      <c r="BW47" t="s" s="0">
        <v>82</v>
      </c>
      <c r="BX47" t="s" s="0">
        <v>122</v>
      </c>
    </row>
    <row r="48">
      <c r="A48" t="s" s="0">
        <v>78</v>
      </c>
      <c r="B48" t="s" s="0">
        <v>78</v>
      </c>
      <c r="C48" t="s" s="0">
        <v>447</v>
      </c>
      <c r="D48" t="s" s="0">
        <v>78</v>
      </c>
      <c r="E48" t="s" s="0">
        <v>1430</v>
      </c>
      <c r="F48" t="s" s="0">
        <v>1431</v>
      </c>
      <c r="G48" t="s" s="0">
        <v>1432</v>
      </c>
      <c r="H48" t="s" s="0">
        <v>82</v>
      </c>
      <c r="I48" t="s" s="0">
        <v>83</v>
      </c>
      <c r="J48" t="s" s="0">
        <v>1433</v>
      </c>
      <c r="K48" t="s" s="0">
        <v>1434</v>
      </c>
      <c r="L48" t="s" s="0">
        <v>1435</v>
      </c>
      <c r="M48" t="s" s="0">
        <v>1435</v>
      </c>
      <c r="N48" t="s" s="0">
        <v>1436</v>
      </c>
      <c r="O48" t="s" s="0">
        <v>1437</v>
      </c>
      <c r="P48" t="s" s="0">
        <v>1438</v>
      </c>
      <c r="Q48" t="s" s="0">
        <v>91</v>
      </c>
      <c r="R48" t="s" s="0">
        <v>82</v>
      </c>
      <c r="S48" t="s" s="0">
        <v>82</v>
      </c>
      <c r="T48" t="s" s="0">
        <v>82</v>
      </c>
      <c r="U48" t="s" s="0">
        <v>82</v>
      </c>
      <c r="V48" t="s" s="0">
        <v>1439</v>
      </c>
      <c r="W48" t="s" s="0">
        <v>1440</v>
      </c>
      <c r="X48" t="s" s="0">
        <v>82</v>
      </c>
      <c r="Y48" t="s" s="0">
        <v>82</v>
      </c>
      <c r="Z48" t="s" s="0">
        <v>94</v>
      </c>
      <c r="AA48" t="s" s="0">
        <v>95</v>
      </c>
      <c r="AB48" t="s" s="0">
        <v>82</v>
      </c>
      <c r="AC48" t="s" s="0">
        <v>82</v>
      </c>
      <c r="AD48" t="s" s="0">
        <v>82</v>
      </c>
      <c r="AE48" t="s" s="0">
        <v>82</v>
      </c>
      <c r="AF48" t="s" s="0">
        <v>82</v>
      </c>
      <c r="AG48" t="s" s="0">
        <v>1441</v>
      </c>
      <c r="AH48" t="s" s="0">
        <v>1442</v>
      </c>
      <c r="AI48" t="s" s="0">
        <v>1443</v>
      </c>
      <c r="AJ48" t="s" s="0">
        <v>1444</v>
      </c>
      <c r="AK48" t="s" s="0">
        <v>82</v>
      </c>
      <c r="AL48" t="s" s="0">
        <v>609</v>
      </c>
      <c r="AM48" t="s" s="0">
        <v>221</v>
      </c>
      <c r="AN48" t="s" s="0">
        <v>375</v>
      </c>
      <c r="AO48" t="s" s="0">
        <v>101</v>
      </c>
      <c r="AP48" t="s" s="0">
        <v>323</v>
      </c>
      <c r="AQ48" t="s" s="0">
        <v>1445</v>
      </c>
      <c r="AR48" t="s" s="0">
        <v>492</v>
      </c>
      <c r="AS48" t="s" s="0">
        <v>1446</v>
      </c>
      <c r="AT48" t="s" s="0">
        <v>1447</v>
      </c>
      <c r="AU48" t="s" s="0">
        <v>1448</v>
      </c>
      <c r="AV48" t="s" s="0">
        <v>82</v>
      </c>
      <c r="AW48" t="s" s="0">
        <v>1449</v>
      </c>
      <c r="AX48" t="s" s="0">
        <v>1450</v>
      </c>
      <c r="AY48" t="s" s="0">
        <v>1451</v>
      </c>
      <c r="AZ48" t="s" s="0">
        <v>110</v>
      </c>
      <c r="BA48" t="s" s="0">
        <v>1452</v>
      </c>
      <c r="BB48" t="s" s="0">
        <v>82</v>
      </c>
      <c r="BC48" t="s" s="0">
        <v>82</v>
      </c>
      <c r="BD48" t="s" s="0">
        <v>82</v>
      </c>
      <c r="BE48" t="s" s="0">
        <v>82</v>
      </c>
      <c r="BF48" t="s" s="0">
        <v>82</v>
      </c>
      <c r="BG48" t="s" s="0">
        <v>1453</v>
      </c>
      <c r="BH48" t="s" s="0">
        <v>1454</v>
      </c>
      <c r="BI48" t="s" s="0">
        <v>82</v>
      </c>
      <c r="BJ48" t="s" s="0">
        <v>1455</v>
      </c>
      <c r="BK48" t="s" s="93">
        <f>HYPERLINK("http://dx.doi.org/10.1016/j.ijhydene.2024.10.339","http://dx.doi.org/10.1016/j.ijhydene.2024.10.339")</f>
        <v>1456</v>
      </c>
      <c r="BL48" t="s" s="0">
        <v>82</v>
      </c>
      <c r="BM48" t="s" s="0">
        <v>1457</v>
      </c>
      <c r="BN48" t="s" s="0">
        <v>831</v>
      </c>
      <c r="BO48" t="s" s="0">
        <v>1458</v>
      </c>
      <c r="BP48" t="s" s="0">
        <v>1459</v>
      </c>
      <c r="BQ48" t="s" s="0">
        <v>1460</v>
      </c>
      <c r="BR48" t="s" s="0">
        <v>82</v>
      </c>
      <c r="BS48" t="s" s="0">
        <v>1461</v>
      </c>
      <c r="BT48" t="s" s="94">
        <f>HYPERLINK("https://www.webofscience.com/wos/woscc/full-record/WOS:001350291400001","View Record in Web of Science")</f>
        <v>120</v>
      </c>
      <c r="BU48" t="s" s="0">
        <v>82</v>
      </c>
      <c r="BV48" t="s" s="0">
        <v>82</v>
      </c>
      <c r="BW48" t="s" s="0">
        <v>82</v>
      </c>
      <c r="BX48" t="s" s="0">
        <v>122</v>
      </c>
    </row>
    <row r="49">
      <c r="A49" t="s" s="0">
        <v>78</v>
      </c>
      <c r="B49" t="s" s="0">
        <v>78</v>
      </c>
      <c r="C49" t="s" s="0">
        <v>1161</v>
      </c>
      <c r="D49" t="s" s="0">
        <v>78</v>
      </c>
      <c r="E49" t="s" s="0">
        <v>1462</v>
      </c>
      <c r="F49" t="s" s="0">
        <v>1463</v>
      </c>
      <c r="G49" t="s" s="0">
        <v>1464</v>
      </c>
      <c r="H49" t="s" s="0">
        <v>82</v>
      </c>
      <c r="I49" t="s" s="0">
        <v>83</v>
      </c>
      <c r="J49" t="s" s="0">
        <v>1465</v>
      </c>
      <c r="K49" t="s" s="0">
        <v>1466</v>
      </c>
      <c r="L49" t="s" s="0">
        <v>1467</v>
      </c>
      <c r="M49" t="s" s="0">
        <v>1468</v>
      </c>
      <c r="N49" t="s" s="0">
        <v>1469</v>
      </c>
      <c r="O49" t="s" s="0">
        <v>1470</v>
      </c>
      <c r="P49" t="s" s="0">
        <v>1471</v>
      </c>
      <c r="Q49" t="s" s="0">
        <v>91</v>
      </c>
      <c r="R49" t="s" s="0">
        <v>82</v>
      </c>
      <c r="S49" t="s" s="0">
        <v>82</v>
      </c>
      <c r="T49" t="s" s="0">
        <v>82</v>
      </c>
      <c r="U49" t="s" s="0">
        <v>82</v>
      </c>
      <c r="V49" t="s" s="0">
        <v>1472</v>
      </c>
      <c r="W49" t="s" s="0">
        <v>1473</v>
      </c>
      <c r="X49" t="s" s="0">
        <v>82</v>
      </c>
      <c r="Y49" t="s" s="0">
        <v>82</v>
      </c>
      <c r="Z49" t="s" s="0">
        <v>94</v>
      </c>
      <c r="AA49" t="s" s="0">
        <v>95</v>
      </c>
      <c r="AB49" t="s" s="0">
        <v>82</v>
      </c>
      <c r="AC49" t="s" s="0">
        <v>82</v>
      </c>
      <c r="AD49" t="s" s="0">
        <v>82</v>
      </c>
      <c r="AE49" t="s" s="0">
        <v>82</v>
      </c>
      <c r="AF49" t="s" s="0">
        <v>82</v>
      </c>
      <c r="AG49" t="s" s="0">
        <v>1474</v>
      </c>
      <c r="AH49" t="s" s="0">
        <v>1475</v>
      </c>
      <c r="AI49" t="s" s="0">
        <v>1476</v>
      </c>
      <c r="AJ49" t="s" s="0">
        <v>1477</v>
      </c>
      <c r="AK49" t="s" s="0">
        <v>82</v>
      </c>
      <c r="AL49" t="s" s="0">
        <v>685</v>
      </c>
      <c r="AM49" t="s" s="0">
        <v>1478</v>
      </c>
      <c r="AN49" t="s" s="0">
        <v>244</v>
      </c>
      <c r="AO49" t="s" s="0">
        <v>77</v>
      </c>
      <c r="AP49" t="s" s="0">
        <v>349</v>
      </c>
      <c r="AQ49" t="s" s="0">
        <v>202</v>
      </c>
      <c r="AR49" t="s" s="0">
        <v>203</v>
      </c>
      <c r="AS49" t="s" s="0">
        <v>204</v>
      </c>
      <c r="AT49" t="s" s="0">
        <v>1479</v>
      </c>
      <c r="AU49" t="s" s="0">
        <v>82</v>
      </c>
      <c r="AV49" t="s" s="0">
        <v>82</v>
      </c>
      <c r="AW49" t="s" s="0">
        <v>1480</v>
      </c>
      <c r="AX49" t="s" s="0">
        <v>1481</v>
      </c>
      <c r="AY49" t="s" s="0">
        <v>1482</v>
      </c>
      <c r="AZ49" t="s" s="0">
        <v>408</v>
      </c>
      <c r="BA49" t="s" s="0">
        <v>138</v>
      </c>
      <c r="BB49" t="s" s="0">
        <v>136</v>
      </c>
      <c r="BC49" t="s" s="0">
        <v>82</v>
      </c>
      <c r="BD49" t="s" s="0">
        <v>82</v>
      </c>
      <c r="BE49" t="s" s="0">
        <v>82</v>
      </c>
      <c r="BF49" t="s" s="0">
        <v>82</v>
      </c>
      <c r="BG49" t="s" s="0">
        <v>1483</v>
      </c>
      <c r="BH49" t="s" s="0">
        <v>1484</v>
      </c>
      <c r="BI49" t="s" s="0">
        <v>82</v>
      </c>
      <c r="BJ49" t="s" s="0">
        <v>1485</v>
      </c>
      <c r="BK49" t="s" s="95">
        <f>HYPERLINK("http://dx.doi.org/10.1016/j.ekir.2022.05.004","http://dx.doi.org/10.1016/j.ekir.2022.05.004")</f>
        <v>1486</v>
      </c>
      <c r="BL49" t="s" s="0">
        <v>82</v>
      </c>
      <c r="BM49" t="s" s="0">
        <v>1482</v>
      </c>
      <c r="BN49" t="s" s="0">
        <v>245</v>
      </c>
      <c r="BO49" t="s" s="0">
        <v>1197</v>
      </c>
      <c r="BP49" t="s" s="0">
        <v>1197</v>
      </c>
      <c r="BQ49" t="s" s="0">
        <v>1487</v>
      </c>
      <c r="BR49" t="s" s="0">
        <v>1488</v>
      </c>
      <c r="BS49" t="s" s="0">
        <v>1489</v>
      </c>
      <c r="BT49" t="s" s="96">
        <f>HYPERLINK("https://www.webofscience.com/wos/woscc/full-record/WOS:000850447200006","View Record in Web of Science")</f>
        <v>120</v>
      </c>
      <c r="BU49" t="s" s="0">
        <v>121</v>
      </c>
      <c r="BV49" t="s" s="0">
        <v>82</v>
      </c>
      <c r="BW49" t="s" s="0">
        <v>82</v>
      </c>
      <c r="BX49" t="s" s="0">
        <v>122</v>
      </c>
    </row>
    <row r="50">
      <c r="A50" t="s" s="0">
        <v>78</v>
      </c>
      <c r="B50" t="s" s="0">
        <v>78</v>
      </c>
      <c r="C50" t="s" s="0">
        <v>78</v>
      </c>
      <c r="D50" t="s" s="0">
        <v>78</v>
      </c>
      <c r="E50" t="s" s="0">
        <v>1490</v>
      </c>
      <c r="F50" t="s" s="0">
        <v>1491</v>
      </c>
      <c r="G50" t="s" s="0">
        <v>1492</v>
      </c>
      <c r="H50" t="s" s="0">
        <v>82</v>
      </c>
      <c r="I50" t="s" s="0">
        <v>83</v>
      </c>
      <c r="J50" t="s" s="0">
        <v>1493</v>
      </c>
      <c r="K50" t="s" s="0">
        <v>1494</v>
      </c>
      <c r="L50" t="s" s="0">
        <v>1495</v>
      </c>
      <c r="M50" t="s" s="0">
        <v>1495</v>
      </c>
      <c r="N50" t="s" s="0">
        <v>1496</v>
      </c>
      <c r="O50" t="s" s="0">
        <v>1497</v>
      </c>
      <c r="P50" t="s" s="0">
        <v>1498</v>
      </c>
      <c r="Q50" t="s" s="0">
        <v>91</v>
      </c>
      <c r="R50" t="s" s="0">
        <v>82</v>
      </c>
      <c r="S50" t="s" s="0">
        <v>82</v>
      </c>
      <c r="T50" t="s" s="0">
        <v>82</v>
      </c>
      <c r="U50" t="s" s="0">
        <v>82</v>
      </c>
      <c r="V50" t="s" s="0">
        <v>1499</v>
      </c>
      <c r="W50" t="s" s="0">
        <v>771</v>
      </c>
      <c r="X50" t="s" s="0">
        <v>82</v>
      </c>
      <c r="Y50" t="s" s="0">
        <v>82</v>
      </c>
      <c r="Z50" t="s" s="0">
        <v>94</v>
      </c>
      <c r="AA50" t="s" s="0">
        <v>95</v>
      </c>
      <c r="AB50" t="s" s="0">
        <v>82</v>
      </c>
      <c r="AC50" t="s" s="0">
        <v>82</v>
      </c>
      <c r="AD50" t="s" s="0">
        <v>82</v>
      </c>
      <c r="AE50" t="s" s="0">
        <v>82</v>
      </c>
      <c r="AF50" t="s" s="0">
        <v>82</v>
      </c>
      <c r="AG50" t="s" s="0">
        <v>82</v>
      </c>
      <c r="AH50" t="s" s="0">
        <v>1500</v>
      </c>
      <c r="AI50" t="s" s="0">
        <v>1501</v>
      </c>
      <c r="AJ50" t="s" s="0">
        <v>82</v>
      </c>
      <c r="AK50" t="s" s="0">
        <v>82</v>
      </c>
      <c r="AL50" t="s" s="0">
        <v>1502</v>
      </c>
      <c r="AM50" t="s" s="0">
        <v>78</v>
      </c>
      <c r="AN50" t="s" s="0">
        <v>78</v>
      </c>
      <c r="AO50" t="s" s="0">
        <v>77</v>
      </c>
      <c r="AP50" t="s" s="0">
        <v>77</v>
      </c>
      <c r="AQ50" t="s" s="0">
        <v>633</v>
      </c>
      <c r="AR50" t="s" s="0">
        <v>634</v>
      </c>
      <c r="AS50" t="s" s="0">
        <v>635</v>
      </c>
      <c r="AT50" t="s" s="0">
        <v>778</v>
      </c>
      <c r="AU50" t="s" s="0">
        <v>82</v>
      </c>
      <c r="AV50" t="s" s="0">
        <v>82</v>
      </c>
      <c r="AW50" t="s" s="0">
        <v>779</v>
      </c>
      <c r="AX50" t="s" s="0">
        <v>780</v>
      </c>
      <c r="AY50" t="s" s="0">
        <v>1503</v>
      </c>
      <c r="AZ50" t="s" s="0">
        <v>181</v>
      </c>
      <c r="BA50" t="s" s="0">
        <v>319</v>
      </c>
      <c r="BB50" t="s" s="0">
        <v>77</v>
      </c>
      <c r="BC50" t="s" s="0">
        <v>82</v>
      </c>
      <c r="BD50" t="s" s="0">
        <v>82</v>
      </c>
      <c r="BE50" t="s" s="0">
        <v>82</v>
      </c>
      <c r="BF50" t="s" s="0">
        <v>82</v>
      </c>
      <c r="BG50" t="s" s="0">
        <v>82</v>
      </c>
      <c r="BH50" t="s" s="0">
        <v>82</v>
      </c>
      <c r="BI50" t="s" s="0">
        <v>1504</v>
      </c>
      <c r="BJ50" t="s" s="0">
        <v>1505</v>
      </c>
      <c r="BK50" t="s" s="97">
        <f>HYPERLINK("http://dx.doi.org/10.1038/s41746-026-02384-0","http://dx.doi.org/10.1038/s41746-026-02384-0")</f>
        <v>1506</v>
      </c>
      <c r="BL50" t="s" s="0">
        <v>82</v>
      </c>
      <c r="BM50" t="s" s="0">
        <v>1365</v>
      </c>
      <c r="BN50" t="s" s="0">
        <v>136</v>
      </c>
      <c r="BO50" t="s" s="0">
        <v>785</v>
      </c>
      <c r="BP50" t="s" s="0">
        <v>785</v>
      </c>
      <c r="BQ50" t="s" s="0">
        <v>1507</v>
      </c>
      <c r="BR50" t="s" s="0">
        <v>1508</v>
      </c>
      <c r="BS50" t="s" s="0">
        <v>1509</v>
      </c>
      <c r="BT50" t="s" s="98">
        <f>HYPERLINK("https://www.webofscience.com/wos/woscc/full-record/WOS:001812075400001","View Record in Web of Science")</f>
        <v>120</v>
      </c>
      <c r="BU50" t="s" s="0">
        <v>121</v>
      </c>
      <c r="BV50" t="s" s="0">
        <v>82</v>
      </c>
      <c r="BW50" t="s" s="0">
        <v>82</v>
      </c>
      <c r="BX50" t="s" s="0">
        <v>122</v>
      </c>
    </row>
    <row r="51">
      <c r="A51" t="s" s="0">
        <v>78</v>
      </c>
      <c r="B51" t="s" s="0">
        <v>78</v>
      </c>
      <c r="C51" t="s" s="0">
        <v>375</v>
      </c>
      <c r="D51" t="s" s="0">
        <v>78</v>
      </c>
      <c r="E51" t="s" s="0">
        <v>1510</v>
      </c>
      <c r="F51" t="s" s="0">
        <v>1511</v>
      </c>
      <c r="G51" t="s" s="0">
        <v>1512</v>
      </c>
      <c r="H51" t="s" s="0">
        <v>82</v>
      </c>
      <c r="I51" t="s" s="0">
        <v>589</v>
      </c>
      <c r="J51" t="s" s="0">
        <v>1513</v>
      </c>
      <c r="K51" t="s" s="0">
        <v>1514</v>
      </c>
      <c r="L51" t="s" s="0">
        <v>1515</v>
      </c>
      <c r="M51" t="s" s="0">
        <v>1516</v>
      </c>
      <c r="N51" t="s" s="0">
        <v>1517</v>
      </c>
      <c r="O51" t="s" s="0">
        <v>1518</v>
      </c>
      <c r="P51" t="s" s="0">
        <v>1519</v>
      </c>
      <c r="Q51" t="s" s="0">
        <v>91</v>
      </c>
      <c r="R51" t="s" s="0">
        <v>82</v>
      </c>
      <c r="S51" t="s" s="0">
        <v>82</v>
      </c>
      <c r="T51" t="s" s="0">
        <v>82</v>
      </c>
      <c r="U51" t="s" s="0">
        <v>82</v>
      </c>
      <c r="V51" t="s" s="0">
        <v>1520</v>
      </c>
      <c r="W51" t="s" s="0">
        <v>1521</v>
      </c>
      <c r="X51" t="s" s="0">
        <v>82</v>
      </c>
      <c r="Y51" t="s" s="0">
        <v>82</v>
      </c>
      <c r="Z51" t="s" s="0">
        <v>94</v>
      </c>
      <c r="AA51" t="s" s="0">
        <v>95</v>
      </c>
      <c r="AB51" t="s" s="0">
        <v>82</v>
      </c>
      <c r="AC51" t="s" s="0">
        <v>82</v>
      </c>
      <c r="AD51" t="s" s="0">
        <v>82</v>
      </c>
      <c r="AE51" t="s" s="0">
        <v>82</v>
      </c>
      <c r="AF51" t="s" s="0">
        <v>82</v>
      </c>
      <c r="AG51" t="s" s="0">
        <v>1522</v>
      </c>
      <c r="AH51" t="s" s="0">
        <v>1523</v>
      </c>
      <c r="AI51" t="s" s="0">
        <v>1524</v>
      </c>
      <c r="AJ51" t="s" s="0">
        <v>1525</v>
      </c>
      <c r="AK51" t="s" s="0">
        <v>82</v>
      </c>
      <c r="AL51" t="s" s="0">
        <v>1526</v>
      </c>
      <c r="AM51" t="s" s="0">
        <v>353</v>
      </c>
      <c r="AN51" t="s" s="0">
        <v>399</v>
      </c>
      <c r="AO51" t="s" s="0">
        <v>78</v>
      </c>
      <c r="AP51" t="s" s="0">
        <v>102</v>
      </c>
      <c r="AQ51" t="s" s="0">
        <v>103</v>
      </c>
      <c r="AR51" t="s" s="0">
        <v>104</v>
      </c>
      <c r="AS51" t="s" s="0">
        <v>105</v>
      </c>
      <c r="AT51" t="s" s="0">
        <v>82</v>
      </c>
      <c r="AU51" t="s" s="0">
        <v>1527</v>
      </c>
      <c r="AV51" t="s" s="0">
        <v>82</v>
      </c>
      <c r="AW51" t="s" s="0">
        <v>1528</v>
      </c>
      <c r="AX51" t="s" s="0">
        <v>1529</v>
      </c>
      <c r="AY51" t="s" s="0">
        <v>1530</v>
      </c>
      <c r="AZ51" t="s" s="0">
        <v>525</v>
      </c>
      <c r="BA51" t="s" s="0">
        <v>640</v>
      </c>
      <c r="BB51" t="s" s="0">
        <v>77</v>
      </c>
      <c r="BC51" t="s" s="0">
        <v>82</v>
      </c>
      <c r="BD51" t="s" s="0">
        <v>82</v>
      </c>
      <c r="BE51" t="s" s="0">
        <v>82</v>
      </c>
      <c r="BF51" t="s" s="0">
        <v>82</v>
      </c>
      <c r="BG51" t="s" s="0">
        <v>82</v>
      </c>
      <c r="BH51" t="s" s="0">
        <v>82</v>
      </c>
      <c r="BI51" t="s" s="0">
        <v>1320</v>
      </c>
      <c r="BJ51" t="s" s="0">
        <v>1531</v>
      </c>
      <c r="BK51" t="s" s="99">
        <f>HYPERLINK("http://dx.doi.org/10.1186/s13722-021-00229-7","http://dx.doi.org/10.1186/s13722-021-00229-7")</f>
        <v>1532</v>
      </c>
      <c r="BL51" t="s" s="0">
        <v>82</v>
      </c>
      <c r="BM51" t="s" s="0">
        <v>82</v>
      </c>
      <c r="BN51" t="s" s="0">
        <v>137</v>
      </c>
      <c r="BO51" t="s" s="0">
        <v>1533</v>
      </c>
      <c r="BP51" t="s" s="0">
        <v>1533</v>
      </c>
      <c r="BQ51" t="s" s="0">
        <v>1534</v>
      </c>
      <c r="BR51" t="s" s="0">
        <v>1535</v>
      </c>
      <c r="BS51" t="s" s="0">
        <v>1536</v>
      </c>
      <c r="BT51" t="s" s="100">
        <f>HYPERLINK("https://www.webofscience.com/wos/woscc/full-record/WOS:000630004200001","View Record in Web of Science")</f>
        <v>120</v>
      </c>
      <c r="BU51" t="s" s="0">
        <v>1537</v>
      </c>
      <c r="BV51" t="s" s="0">
        <v>82</v>
      </c>
      <c r="BW51" t="s" s="0">
        <v>82</v>
      </c>
      <c r="BX51" t="s" s="0">
        <v>122</v>
      </c>
    </row>
    <row r="52">
      <c r="A52" t="s" s="0">
        <v>78</v>
      </c>
      <c r="B52" t="s" s="0">
        <v>78</v>
      </c>
      <c r="C52" t="s" s="0">
        <v>78</v>
      </c>
      <c r="D52" t="s" s="0">
        <v>78</v>
      </c>
      <c r="E52" t="s" s="0">
        <v>1538</v>
      </c>
      <c r="F52" t="s" s="0">
        <v>1539</v>
      </c>
      <c r="G52" t="s" s="0">
        <v>1540</v>
      </c>
      <c r="H52" t="s" s="0">
        <v>82</v>
      </c>
      <c r="I52" t="s" s="0">
        <v>297</v>
      </c>
      <c r="J52" t="s" s="0">
        <v>1541</v>
      </c>
      <c r="K52" t="s" s="0">
        <v>1542</v>
      </c>
      <c r="L52" t="s" s="0">
        <v>1543</v>
      </c>
      <c r="M52" t="s" s="0">
        <v>1544</v>
      </c>
      <c r="N52" t="s" s="0">
        <v>1545</v>
      </c>
      <c r="O52" t="s" s="0">
        <v>1546</v>
      </c>
      <c r="P52" t="s" s="0">
        <v>1547</v>
      </c>
      <c r="Q52" t="s" s="0">
        <v>91</v>
      </c>
      <c r="R52" t="s" s="0">
        <v>82</v>
      </c>
      <c r="S52" t="s" s="0">
        <v>82</v>
      </c>
      <c r="T52" t="s" s="0">
        <v>82</v>
      </c>
      <c r="U52" t="s" s="0">
        <v>82</v>
      </c>
      <c r="V52" t="s" s="0">
        <v>1548</v>
      </c>
      <c r="W52" t="s" s="0">
        <v>1549</v>
      </c>
      <c r="X52" t="s" s="0">
        <v>82</v>
      </c>
      <c r="Y52" t="s" s="0">
        <v>82</v>
      </c>
      <c r="Z52" t="s" s="0">
        <v>94</v>
      </c>
      <c r="AA52" t="s" s="0">
        <v>95</v>
      </c>
      <c r="AB52" t="s" s="0">
        <v>82</v>
      </c>
      <c r="AC52" t="s" s="0">
        <v>82</v>
      </c>
      <c r="AD52" t="s" s="0">
        <v>82</v>
      </c>
      <c r="AE52" t="s" s="0">
        <v>82</v>
      </c>
      <c r="AF52" t="s" s="0">
        <v>82</v>
      </c>
      <c r="AG52" t="s" s="0">
        <v>1550</v>
      </c>
      <c r="AH52" t="s" s="0">
        <v>82</v>
      </c>
      <c r="AI52" t="s" s="0">
        <v>1551</v>
      </c>
      <c r="AJ52" t="s" s="0">
        <v>1552</v>
      </c>
      <c r="AK52" t="s" s="0">
        <v>82</v>
      </c>
      <c r="AL52" t="s" s="0">
        <v>685</v>
      </c>
      <c r="AM52" t="s" s="0">
        <v>447</v>
      </c>
      <c r="AN52" t="s" s="0">
        <v>447</v>
      </c>
      <c r="AO52" t="s" s="0">
        <v>78</v>
      </c>
      <c r="AP52" t="s" s="0">
        <v>447</v>
      </c>
      <c r="AQ52" t="s" s="0">
        <v>491</v>
      </c>
      <c r="AR52" t="s" s="0">
        <v>492</v>
      </c>
      <c r="AS52" t="s" s="0">
        <v>493</v>
      </c>
      <c r="AT52" t="s" s="0">
        <v>82</v>
      </c>
      <c r="AU52" t="s" s="0">
        <v>1553</v>
      </c>
      <c r="AV52" t="s" s="0">
        <v>82</v>
      </c>
      <c r="AW52" t="s" s="0">
        <v>1554</v>
      </c>
      <c r="AX52" t="s" s="0">
        <v>1555</v>
      </c>
      <c r="AY52" t="s" s="0">
        <v>1556</v>
      </c>
      <c r="AZ52" t="s" s="0">
        <v>147</v>
      </c>
      <c r="BA52" t="s" s="0">
        <v>447</v>
      </c>
      <c r="BB52" t="s" s="0">
        <v>101</v>
      </c>
      <c r="BC52" t="s" s="0">
        <v>82</v>
      </c>
      <c r="BD52" t="s" s="0">
        <v>82</v>
      </c>
      <c r="BE52" t="s" s="0">
        <v>82</v>
      </c>
      <c r="BF52" t="s" s="0">
        <v>82</v>
      </c>
      <c r="BG52" t="s" s="0">
        <v>82</v>
      </c>
      <c r="BH52" t="s" s="0">
        <v>82</v>
      </c>
      <c r="BI52" t="s" s="0">
        <v>1557</v>
      </c>
      <c r="BJ52" t="s" s="0">
        <v>1558</v>
      </c>
      <c r="BK52" t="s" s="101">
        <f>HYPERLINK("http://dx.doi.org/10.1093/radadv/umaf020","http://dx.doi.org/10.1093/radadv/umaf020")</f>
        <v>1559</v>
      </c>
      <c r="BL52" t="s" s="0">
        <v>82</v>
      </c>
      <c r="BM52" t="s" s="0">
        <v>82</v>
      </c>
      <c r="BN52" t="s" s="0">
        <v>245</v>
      </c>
      <c r="BO52" t="s" s="0">
        <v>414</v>
      </c>
      <c r="BP52" t="s" s="0">
        <v>414</v>
      </c>
      <c r="BQ52" t="s" s="0">
        <v>1560</v>
      </c>
      <c r="BR52" t="s" s="0">
        <v>1561</v>
      </c>
      <c r="BS52" t="s" s="0">
        <v>1562</v>
      </c>
      <c r="BT52" t="s" s="102">
        <f>HYPERLINK("https://www.webofscience.com/wos/woscc/full-record/WOS:001585297000001","View Record in Web of Science")</f>
        <v>120</v>
      </c>
      <c r="BU52" t="s" s="0">
        <v>121</v>
      </c>
      <c r="BV52" t="s" s="0">
        <v>82</v>
      </c>
      <c r="BW52" t="s" s="0">
        <v>82</v>
      </c>
      <c r="BX52" t="s" s="0">
        <v>122</v>
      </c>
    </row>
    <row r="53">
      <c r="A53" t="s" s="0">
        <v>78</v>
      </c>
      <c r="B53" t="s" s="0">
        <v>78</v>
      </c>
      <c r="C53" t="s" s="0">
        <v>78</v>
      </c>
      <c r="D53" t="s" s="0">
        <v>78</v>
      </c>
      <c r="E53" t="s" s="0">
        <v>1563</v>
      </c>
      <c r="F53" t="s" s="0">
        <v>1564</v>
      </c>
      <c r="G53" t="s" s="0">
        <v>1565</v>
      </c>
      <c r="H53" t="s" s="0">
        <v>82</v>
      </c>
      <c r="I53" t="s" s="0">
        <v>83</v>
      </c>
      <c r="J53" t="s" s="0">
        <v>1566</v>
      </c>
      <c r="K53" t="s" s="0">
        <v>1567</v>
      </c>
      <c r="L53" t="s" s="0">
        <v>1568</v>
      </c>
      <c r="M53" t="s" s="0">
        <v>1569</v>
      </c>
      <c r="N53" t="s" s="0">
        <v>1570</v>
      </c>
      <c r="O53" t="s" s="0">
        <v>1571</v>
      </c>
      <c r="P53" t="s" s="0">
        <v>1572</v>
      </c>
      <c r="Q53" t="s" s="0">
        <v>91</v>
      </c>
      <c r="R53" t="s" s="0">
        <v>82</v>
      </c>
      <c r="S53" t="s" s="0">
        <v>82</v>
      </c>
      <c r="T53" t="s" s="0">
        <v>82</v>
      </c>
      <c r="U53" t="s" s="0">
        <v>82</v>
      </c>
      <c r="V53" t="s" s="0">
        <v>1573</v>
      </c>
      <c r="W53" t="s" s="0">
        <v>1574</v>
      </c>
      <c r="X53" t="s" s="0">
        <v>82</v>
      </c>
      <c r="Y53" t="s" s="0">
        <v>82</v>
      </c>
      <c r="Z53" t="s" s="0">
        <v>94</v>
      </c>
      <c r="AA53" t="s" s="0">
        <v>95</v>
      </c>
      <c r="AB53" t="s" s="0">
        <v>82</v>
      </c>
      <c r="AC53" t="s" s="0">
        <v>82</v>
      </c>
      <c r="AD53" t="s" s="0">
        <v>82</v>
      </c>
      <c r="AE53" t="s" s="0">
        <v>82</v>
      </c>
      <c r="AF53" t="s" s="0">
        <v>82</v>
      </c>
      <c r="AG53" t="s" s="0">
        <v>1575</v>
      </c>
      <c r="AH53" t="s" s="0">
        <v>1576</v>
      </c>
      <c r="AI53" t="s" s="0">
        <v>1577</v>
      </c>
      <c r="AJ53" t="s" s="0">
        <v>82</v>
      </c>
      <c r="AK53" t="s" s="0">
        <v>82</v>
      </c>
      <c r="AL53" t="s" s="0">
        <v>1162</v>
      </c>
      <c r="AM53" t="s" s="0">
        <v>447</v>
      </c>
      <c r="AN53" t="s" s="0">
        <v>447</v>
      </c>
      <c r="AO53" t="s" s="0">
        <v>77</v>
      </c>
      <c r="AP53" t="s" s="0">
        <v>138</v>
      </c>
      <c r="AQ53" t="s" s="0">
        <v>1578</v>
      </c>
      <c r="AR53" t="s" s="0">
        <v>1579</v>
      </c>
      <c r="AS53" t="s" s="0">
        <v>1580</v>
      </c>
      <c r="AT53" t="s" s="0">
        <v>1581</v>
      </c>
      <c r="AU53" t="s" s="0">
        <v>82</v>
      </c>
      <c r="AV53" t="s" s="0">
        <v>82</v>
      </c>
      <c r="AW53" t="s" s="0">
        <v>1582</v>
      </c>
      <c r="AX53" t="s" s="0">
        <v>1583</v>
      </c>
      <c r="AY53" t="s" s="0">
        <v>147</v>
      </c>
      <c r="AZ53" t="s" s="0">
        <v>147</v>
      </c>
      <c r="BA53" t="s" s="0">
        <v>154</v>
      </c>
      <c r="BB53" t="s" s="0">
        <v>82</v>
      </c>
      <c r="BC53" t="s" s="0">
        <v>82</v>
      </c>
      <c r="BD53" t="s" s="0">
        <v>82</v>
      </c>
      <c r="BE53" t="s" s="0">
        <v>82</v>
      </c>
      <c r="BF53" t="s" s="0">
        <v>82</v>
      </c>
      <c r="BG53" t="s" s="0">
        <v>1584</v>
      </c>
      <c r="BH53" t="s" s="0">
        <v>1585</v>
      </c>
      <c r="BI53" t="s" s="0">
        <v>82</v>
      </c>
      <c r="BJ53" t="s" s="0">
        <v>1586</v>
      </c>
      <c r="BK53" t="s" s="103">
        <f>HYPERLINK("http://dx.doi.org/10.2147/IDR.S520062","http://dx.doi.org/10.2147/IDR.S520062")</f>
        <v>1587</v>
      </c>
      <c r="BL53" t="s" s="0">
        <v>82</v>
      </c>
      <c r="BM53" t="s" s="0">
        <v>82</v>
      </c>
      <c r="BN53" t="s" s="0">
        <v>111</v>
      </c>
      <c r="BO53" t="s" s="0">
        <v>1588</v>
      </c>
      <c r="BP53" t="s" s="0">
        <v>1588</v>
      </c>
      <c r="BQ53" t="s" s="0">
        <v>1589</v>
      </c>
      <c r="BR53" t="s" s="0">
        <v>1590</v>
      </c>
      <c r="BS53" t="s" s="0">
        <v>1591</v>
      </c>
      <c r="BT53" t="s" s="104">
        <f>HYPERLINK("https://www.webofscience.com/wos/woscc/full-record/WOS:001500698700001","View Record in Web of Science")</f>
        <v>120</v>
      </c>
      <c r="BU53" t="s" s="0">
        <v>121</v>
      </c>
      <c r="BV53" t="s" s="0">
        <v>82</v>
      </c>
      <c r="BW53" t="s" s="0">
        <v>82</v>
      </c>
      <c r="BX53" t="s" s="0">
        <v>122</v>
      </c>
    </row>
    <row r="54">
      <c r="A54" t="s" s="0">
        <v>78</v>
      </c>
      <c r="B54" t="s" s="0">
        <v>78</v>
      </c>
      <c r="C54" t="s" s="0">
        <v>78</v>
      </c>
      <c r="D54" t="s" s="0">
        <v>78</v>
      </c>
      <c r="E54" t="s" s="0">
        <v>1592</v>
      </c>
      <c r="F54" t="s" s="0">
        <v>1593</v>
      </c>
      <c r="G54" t="s" s="0">
        <v>1594</v>
      </c>
      <c r="H54" t="s" s="0">
        <v>82</v>
      </c>
      <c r="I54" t="s" s="0">
        <v>83</v>
      </c>
      <c r="J54" t="s" s="0">
        <v>1595</v>
      </c>
      <c r="K54" t="s" s="0">
        <v>1596</v>
      </c>
      <c r="L54" t="s" s="0">
        <v>1597</v>
      </c>
      <c r="M54" t="s" s="0">
        <v>1597</v>
      </c>
      <c r="N54" t="s" s="0">
        <v>1598</v>
      </c>
      <c r="O54" t="s" s="0">
        <v>1599</v>
      </c>
      <c r="P54" t="s" s="0">
        <v>1600</v>
      </c>
      <c r="Q54" t="s" s="0">
        <v>91</v>
      </c>
      <c r="R54" t="s" s="0">
        <v>82</v>
      </c>
      <c r="S54" t="s" s="0">
        <v>82</v>
      </c>
      <c r="T54" t="s" s="0">
        <v>82</v>
      </c>
      <c r="U54" t="s" s="0">
        <v>82</v>
      </c>
      <c r="V54" t="s" s="0">
        <v>1601</v>
      </c>
      <c r="W54" t="s" s="0">
        <v>543</v>
      </c>
      <c r="X54" t="s" s="0">
        <v>82</v>
      </c>
      <c r="Y54" t="s" s="0">
        <v>82</v>
      </c>
      <c r="Z54" t="s" s="0">
        <v>94</v>
      </c>
      <c r="AA54" t="s" s="0">
        <v>95</v>
      </c>
      <c r="AB54" t="s" s="0">
        <v>82</v>
      </c>
      <c r="AC54" t="s" s="0">
        <v>82</v>
      </c>
      <c r="AD54" t="s" s="0">
        <v>82</v>
      </c>
      <c r="AE54" t="s" s="0">
        <v>82</v>
      </c>
      <c r="AF54" t="s" s="0">
        <v>82</v>
      </c>
      <c r="AG54" t="s" s="0">
        <v>1602</v>
      </c>
      <c r="AH54" t="s" s="0">
        <v>82</v>
      </c>
      <c r="AI54" t="s" s="0">
        <v>1603</v>
      </c>
      <c r="AJ54" t="s" s="0">
        <v>1604</v>
      </c>
      <c r="AK54" t="s" s="0">
        <v>82</v>
      </c>
      <c r="AL54" t="s" s="0">
        <v>399</v>
      </c>
      <c r="AM54" t="s" s="0">
        <v>447</v>
      </c>
      <c r="AN54" t="s" s="0">
        <v>447</v>
      </c>
      <c r="AO54" t="s" s="0">
        <v>102</v>
      </c>
      <c r="AP54" t="s" s="0">
        <v>221</v>
      </c>
      <c r="AQ54" t="s" s="0">
        <v>312</v>
      </c>
      <c r="AR54" t="s" s="0">
        <v>313</v>
      </c>
      <c r="AS54" t="s" s="0">
        <v>314</v>
      </c>
      <c r="AT54" t="s" s="0">
        <v>82</v>
      </c>
      <c r="AU54" t="s" s="0">
        <v>550</v>
      </c>
      <c r="AV54" t="s" s="0">
        <v>82</v>
      </c>
      <c r="AW54" t="s" s="0">
        <v>543</v>
      </c>
      <c r="AX54" t="s" s="0">
        <v>551</v>
      </c>
      <c r="AY54" t="s" s="0">
        <v>1605</v>
      </c>
      <c r="AZ54" t="s" s="0">
        <v>147</v>
      </c>
      <c r="BA54" t="s" s="0">
        <v>349</v>
      </c>
      <c r="BB54" t="s" s="0">
        <v>148</v>
      </c>
      <c r="BC54" t="s" s="0">
        <v>82</v>
      </c>
      <c r="BD54" t="s" s="0">
        <v>82</v>
      </c>
      <c r="BE54" t="s" s="0">
        <v>82</v>
      </c>
      <c r="BF54" t="s" s="0">
        <v>82</v>
      </c>
      <c r="BG54" t="s" s="0">
        <v>82</v>
      </c>
      <c r="BH54" t="s" s="0">
        <v>82</v>
      </c>
      <c r="BI54" t="s" s="0">
        <v>1606</v>
      </c>
      <c r="BJ54" t="s" s="0">
        <v>1607</v>
      </c>
      <c r="BK54" t="s" s="105">
        <f>HYPERLINK("http://dx.doi.org/10.3390/diagnostics15222899","http://dx.doi.org/10.3390/diagnostics15222899")</f>
        <v>1608</v>
      </c>
      <c r="BL54" t="s" s="0">
        <v>82</v>
      </c>
      <c r="BM54" t="s" s="0">
        <v>82</v>
      </c>
      <c r="BN54" t="s" s="0">
        <v>1320</v>
      </c>
      <c r="BO54" t="s" s="0">
        <v>354</v>
      </c>
      <c r="BP54" t="s" s="0">
        <v>355</v>
      </c>
      <c r="BQ54" t="s" s="0">
        <v>1609</v>
      </c>
      <c r="BR54" t="s" s="0">
        <v>1610</v>
      </c>
      <c r="BS54" t="s" s="0">
        <v>1611</v>
      </c>
      <c r="BT54" t="s" s="106">
        <f>HYPERLINK("https://www.webofscience.com/wos/woscc/full-record/WOS:001625925700001","View Record in Web of Science")</f>
        <v>120</v>
      </c>
      <c r="BU54" t="s" s="0">
        <v>121</v>
      </c>
      <c r="BV54" t="s" s="0">
        <v>82</v>
      </c>
      <c r="BW54" t="s" s="0">
        <v>82</v>
      </c>
      <c r="BX54" t="s" s="0">
        <v>122</v>
      </c>
    </row>
    <row r="55">
      <c r="A55" t="s" s="0">
        <v>78</v>
      </c>
      <c r="B55" t="s" s="0">
        <v>78</v>
      </c>
      <c r="C55" t="s" s="0">
        <v>77</v>
      </c>
      <c r="D55" t="s" s="0">
        <v>78</v>
      </c>
      <c r="E55" t="s" s="0">
        <v>1612</v>
      </c>
      <c r="F55" t="s" s="0">
        <v>1613</v>
      </c>
      <c r="G55" t="s" s="0">
        <v>1614</v>
      </c>
      <c r="H55" t="s" s="0">
        <v>82</v>
      </c>
      <c r="I55" t="s" s="0">
        <v>83</v>
      </c>
      <c r="J55" t="s" s="0">
        <v>1615</v>
      </c>
      <c r="K55" t="s" s="0">
        <v>1616</v>
      </c>
      <c r="L55" t="s" s="0">
        <v>1617</v>
      </c>
      <c r="M55" t="s" s="0">
        <v>1618</v>
      </c>
      <c r="N55" t="s" s="0">
        <v>1619</v>
      </c>
      <c r="O55" t="s" s="0">
        <v>1620</v>
      </c>
      <c r="P55" t="s" s="0">
        <v>1621</v>
      </c>
      <c r="Q55" t="s" s="0">
        <v>91</v>
      </c>
      <c r="R55" t="s" s="0">
        <v>82</v>
      </c>
      <c r="S55" t="s" s="0">
        <v>82</v>
      </c>
      <c r="T55" t="s" s="0">
        <v>82</v>
      </c>
      <c r="U55" t="s" s="0">
        <v>82</v>
      </c>
      <c r="V55" t="s" s="0">
        <v>1622</v>
      </c>
      <c r="W55" t="s" s="0">
        <v>1623</v>
      </c>
      <c r="X55" t="s" s="0">
        <v>82</v>
      </c>
      <c r="Y55" t="s" s="0">
        <v>82</v>
      </c>
      <c r="Z55" t="s" s="0">
        <v>94</v>
      </c>
      <c r="AA55" t="s" s="0">
        <v>95</v>
      </c>
      <c r="AB55" t="s" s="0">
        <v>82</v>
      </c>
      <c r="AC55" t="s" s="0">
        <v>82</v>
      </c>
      <c r="AD55" t="s" s="0">
        <v>82</v>
      </c>
      <c r="AE55" t="s" s="0">
        <v>82</v>
      </c>
      <c r="AF55" t="s" s="0">
        <v>82</v>
      </c>
      <c r="AG55" t="s" s="0">
        <v>1624</v>
      </c>
      <c r="AH55" t="s" s="0">
        <v>1625</v>
      </c>
      <c r="AI55" t="s" s="0">
        <v>1626</v>
      </c>
      <c r="AJ55" t="s" s="0">
        <v>1627</v>
      </c>
      <c r="AK55" t="s" s="0">
        <v>82</v>
      </c>
      <c r="AL55" t="s" s="0">
        <v>1628</v>
      </c>
      <c r="AM55" t="s" s="0">
        <v>375</v>
      </c>
      <c r="AN55" t="s" s="0">
        <v>138</v>
      </c>
      <c r="AO55" t="s" s="0">
        <v>77</v>
      </c>
      <c r="AP55" t="s" s="0">
        <v>221</v>
      </c>
      <c r="AQ55" t="s" s="0">
        <v>312</v>
      </c>
      <c r="AR55" t="s" s="0">
        <v>313</v>
      </c>
      <c r="AS55" t="s" s="0">
        <v>314</v>
      </c>
      <c r="AT55" t="s" s="0">
        <v>82</v>
      </c>
      <c r="AU55" t="s" s="0">
        <v>1629</v>
      </c>
      <c r="AV55" t="s" s="0">
        <v>82</v>
      </c>
      <c r="AW55" t="s" s="0">
        <v>1623</v>
      </c>
      <c r="AX55" t="s" s="0">
        <v>1630</v>
      </c>
      <c r="AY55" t="s" s="0">
        <v>1631</v>
      </c>
      <c r="AZ55" t="s" s="0">
        <v>110</v>
      </c>
      <c r="BA55" t="s" s="0">
        <v>323</v>
      </c>
      <c r="BB55" t="s" s="0">
        <v>375</v>
      </c>
      <c r="BC55" t="s" s="0">
        <v>82</v>
      </c>
      <c r="BD55" t="s" s="0">
        <v>82</v>
      </c>
      <c r="BE55" t="s" s="0">
        <v>82</v>
      </c>
      <c r="BF55" t="s" s="0">
        <v>82</v>
      </c>
      <c r="BG55" t="s" s="0">
        <v>82</v>
      </c>
      <c r="BH55" t="s" s="0">
        <v>82</v>
      </c>
      <c r="BI55" t="s" s="0">
        <v>1632</v>
      </c>
      <c r="BJ55" t="s" s="0">
        <v>1633</v>
      </c>
      <c r="BK55" t="s" s="107">
        <f>HYPERLINK("http://dx.doi.org/10.3390/life14060744","http://dx.doi.org/10.3390/life14060744")</f>
        <v>1634</v>
      </c>
      <c r="BL55" t="s" s="0">
        <v>82</v>
      </c>
      <c r="BM55" t="s" s="0">
        <v>82</v>
      </c>
      <c r="BN55" t="s" s="0">
        <v>115</v>
      </c>
      <c r="BO55" t="s" s="0">
        <v>1635</v>
      </c>
      <c r="BP55" t="s" s="0">
        <v>1636</v>
      </c>
      <c r="BQ55" t="s" s="0">
        <v>1637</v>
      </c>
      <c r="BR55" t="s" s="0">
        <v>1638</v>
      </c>
      <c r="BS55" t="s" s="0">
        <v>1639</v>
      </c>
      <c r="BT55" t="s" s="108">
        <f>HYPERLINK("https://www.webofscience.com/wos/woscc/full-record/WOS:001256586900001","View Record in Web of Science")</f>
        <v>120</v>
      </c>
      <c r="BU55" t="s" s="0">
        <v>121</v>
      </c>
      <c r="BV55" t="s" s="0">
        <v>82</v>
      </c>
      <c r="BW55" t="s" s="0">
        <v>82</v>
      </c>
      <c r="BX55" t="s" s="0">
        <v>122</v>
      </c>
    </row>
    <row r="56">
      <c r="A56" t="s" s="0">
        <v>78</v>
      </c>
      <c r="B56" t="s" s="0">
        <v>78</v>
      </c>
      <c r="C56" t="s" s="0">
        <v>221</v>
      </c>
      <c r="D56" t="s" s="0">
        <v>78</v>
      </c>
      <c r="E56" t="s" s="0">
        <v>1640</v>
      </c>
      <c r="F56" t="s" s="0">
        <v>1641</v>
      </c>
      <c r="G56" t="s" s="0">
        <v>1642</v>
      </c>
      <c r="H56" t="s" s="0">
        <v>82</v>
      </c>
      <c r="I56" t="s" s="0">
        <v>83</v>
      </c>
      <c r="J56" t="s" s="0">
        <v>1643</v>
      </c>
      <c r="K56" t="s" s="0">
        <v>1644</v>
      </c>
      <c r="L56" t="s" s="0">
        <v>82</v>
      </c>
      <c r="M56" t="s" s="0">
        <v>82</v>
      </c>
      <c r="N56" t="s" s="0">
        <v>82</v>
      </c>
      <c r="O56" t="s" s="0">
        <v>1645</v>
      </c>
      <c r="P56" t="s" s="0">
        <v>1646</v>
      </c>
      <c r="Q56" t="s" s="0">
        <v>91</v>
      </c>
      <c r="R56" t="s" s="0">
        <v>82</v>
      </c>
      <c r="S56" t="s" s="0">
        <v>82</v>
      </c>
      <c r="T56" t="s" s="0">
        <v>82</v>
      </c>
      <c r="U56" t="s" s="0">
        <v>82</v>
      </c>
      <c r="V56" t="s" s="0">
        <v>1647</v>
      </c>
      <c r="W56" t="s" s="0">
        <v>1648</v>
      </c>
      <c r="X56" t="s" s="0">
        <v>82</v>
      </c>
      <c r="Y56" t="s" s="0">
        <v>82</v>
      </c>
      <c r="Z56" t="s" s="0">
        <v>94</v>
      </c>
      <c r="AA56" t="s" s="0">
        <v>95</v>
      </c>
      <c r="AB56" t="s" s="0">
        <v>82</v>
      </c>
      <c r="AC56" t="s" s="0">
        <v>82</v>
      </c>
      <c r="AD56" t="s" s="0">
        <v>82</v>
      </c>
      <c r="AE56" t="s" s="0">
        <v>82</v>
      </c>
      <c r="AF56" t="s" s="0">
        <v>82</v>
      </c>
      <c r="AG56" t="s" s="0">
        <v>1649</v>
      </c>
      <c r="AH56" t="s" s="0">
        <v>1650</v>
      </c>
      <c r="AI56" t="s" s="0">
        <v>1651</v>
      </c>
      <c r="AJ56" t="s" s="0">
        <v>1652</v>
      </c>
      <c r="AK56" t="s" s="0">
        <v>82</v>
      </c>
      <c r="AL56" t="s" s="0">
        <v>344</v>
      </c>
      <c r="AM56" t="s" s="0">
        <v>319</v>
      </c>
      <c r="AN56" t="s" s="0">
        <v>137</v>
      </c>
      <c r="AO56" t="s" s="0">
        <v>78</v>
      </c>
      <c r="AP56" t="s" s="0">
        <v>138</v>
      </c>
      <c r="AQ56" t="s" s="0">
        <v>277</v>
      </c>
      <c r="AR56" t="s" s="0">
        <v>278</v>
      </c>
      <c r="AS56" t="s" s="0">
        <v>279</v>
      </c>
      <c r="AT56" t="s" s="0">
        <v>1653</v>
      </c>
      <c r="AU56" t="s" s="0">
        <v>1654</v>
      </c>
      <c r="AV56" t="s" s="0">
        <v>82</v>
      </c>
      <c r="AW56" t="s" s="0">
        <v>1655</v>
      </c>
      <c r="AX56" t="s" s="0">
        <v>1656</v>
      </c>
      <c r="AY56" t="s" s="0">
        <v>1657</v>
      </c>
      <c r="AZ56" t="s" s="0">
        <v>525</v>
      </c>
      <c r="BA56" t="s" s="0">
        <v>776</v>
      </c>
      <c r="BB56" t="s" s="0">
        <v>82</v>
      </c>
      <c r="BC56" t="s" s="0">
        <v>82</v>
      </c>
      <c r="BD56" t="s" s="0">
        <v>82</v>
      </c>
      <c r="BE56" t="s" s="0">
        <v>82</v>
      </c>
      <c r="BF56" t="s" s="0">
        <v>82</v>
      </c>
      <c r="BG56" t="s" s="0">
        <v>1658</v>
      </c>
      <c r="BH56" t="s" s="0">
        <v>463</v>
      </c>
      <c r="BI56" t="s" s="0">
        <v>82</v>
      </c>
      <c r="BJ56" t="s" s="0">
        <v>1659</v>
      </c>
      <c r="BK56" t="s" s="109">
        <f>HYPERLINK("http://dx.doi.org/10.1016/j.patrec.2021.09.012","http://dx.doi.org/10.1016/j.patrec.2021.09.012")</f>
        <v>1660</v>
      </c>
      <c r="BL56" t="s" s="0">
        <v>82</v>
      </c>
      <c r="BM56" t="s" s="0">
        <v>1661</v>
      </c>
      <c r="BN56" t="s" s="0">
        <v>136</v>
      </c>
      <c r="BO56" t="s" s="0">
        <v>1662</v>
      </c>
      <c r="BP56" t="s" s="0">
        <v>1663</v>
      </c>
      <c r="BQ56" t="s" s="0">
        <v>1664</v>
      </c>
      <c r="BR56" t="s" s="0">
        <v>1665</v>
      </c>
      <c r="BS56" t="s" s="0">
        <v>1666</v>
      </c>
      <c r="BT56" t="s" s="110">
        <f>HYPERLINK("https://www.webofscience.com/wos/woscc/full-record/WOS:000704980300006","View Record in Web of Science")</f>
        <v>120</v>
      </c>
      <c r="BU56" t="s" s="0">
        <v>1265</v>
      </c>
      <c r="BV56" t="s" s="0">
        <v>82</v>
      </c>
      <c r="BW56" t="s" s="0">
        <v>82</v>
      </c>
      <c r="BX56" t="s" s="0">
        <v>122</v>
      </c>
    </row>
    <row r="57">
      <c r="A57" t="s" s="0">
        <v>78</v>
      </c>
      <c r="B57" t="s" s="0">
        <v>78</v>
      </c>
      <c r="C57" t="s" s="0">
        <v>101</v>
      </c>
      <c r="D57" t="s" s="0">
        <v>78</v>
      </c>
      <c r="E57" t="s" s="0">
        <v>1667</v>
      </c>
      <c r="F57" t="s" s="0">
        <v>1668</v>
      </c>
      <c r="G57" t="s" s="0">
        <v>1669</v>
      </c>
      <c r="H57" t="s" s="0">
        <v>82</v>
      </c>
      <c r="I57" t="s" s="0">
        <v>83</v>
      </c>
      <c r="J57" t="s" s="0">
        <v>1670</v>
      </c>
      <c r="K57" t="s" s="0">
        <v>1671</v>
      </c>
      <c r="L57" t="s" s="0">
        <v>1672</v>
      </c>
      <c r="M57" t="s" s="0">
        <v>1672</v>
      </c>
      <c r="N57" t="s" s="0">
        <v>1673</v>
      </c>
      <c r="O57" t="s" s="0">
        <v>1674</v>
      </c>
      <c r="P57" t="s" s="0">
        <v>1675</v>
      </c>
      <c r="Q57" t="s" s="0">
        <v>91</v>
      </c>
      <c r="R57" t="s" s="0">
        <v>82</v>
      </c>
      <c r="S57" t="s" s="0">
        <v>82</v>
      </c>
      <c r="T57" t="s" s="0">
        <v>82</v>
      </c>
      <c r="U57" t="s" s="0">
        <v>82</v>
      </c>
      <c r="V57" t="s" s="0">
        <v>1676</v>
      </c>
      <c r="W57" t="s" s="0">
        <v>1677</v>
      </c>
      <c r="X57" t="s" s="0">
        <v>82</v>
      </c>
      <c r="Y57" t="s" s="0">
        <v>82</v>
      </c>
      <c r="Z57" t="s" s="0">
        <v>94</v>
      </c>
      <c r="AA57" t="s" s="0">
        <v>95</v>
      </c>
      <c r="AB57" t="s" s="0">
        <v>82</v>
      </c>
      <c r="AC57" t="s" s="0">
        <v>82</v>
      </c>
      <c r="AD57" t="s" s="0">
        <v>82</v>
      </c>
      <c r="AE57" t="s" s="0">
        <v>82</v>
      </c>
      <c r="AF57" t="s" s="0">
        <v>82</v>
      </c>
      <c r="AG57" t="s" s="0">
        <v>82</v>
      </c>
      <c r="AH57" t="s" s="0">
        <v>1678</v>
      </c>
      <c r="AI57" t="s" s="0">
        <v>1679</v>
      </c>
      <c r="AJ57" t="s" s="0">
        <v>1680</v>
      </c>
      <c r="AK57" t="s" s="0">
        <v>82</v>
      </c>
      <c r="AL57" t="s" s="0">
        <v>353</v>
      </c>
      <c r="AM57" t="s" s="0">
        <v>136</v>
      </c>
      <c r="AN57" t="s" s="0">
        <v>136</v>
      </c>
      <c r="AO57" t="s" s="0">
        <v>447</v>
      </c>
      <c r="AP57" t="s" s="0">
        <v>101</v>
      </c>
      <c r="AQ57" t="s" s="0">
        <v>1681</v>
      </c>
      <c r="AR57" t="s" s="0">
        <v>1682</v>
      </c>
      <c r="AS57" t="s" s="0">
        <v>1683</v>
      </c>
      <c r="AT57" t="s" s="0">
        <v>1684</v>
      </c>
      <c r="AU57" t="s" s="0">
        <v>1685</v>
      </c>
      <c r="AV57" t="s" s="0">
        <v>82</v>
      </c>
      <c r="AW57" t="s" s="0">
        <v>1686</v>
      </c>
      <c r="AX57" t="s" s="0">
        <v>1687</v>
      </c>
      <c r="AY57" t="s" s="0">
        <v>497</v>
      </c>
      <c r="AZ57" t="s" s="0">
        <v>147</v>
      </c>
      <c r="BA57" t="s" s="0">
        <v>1026</v>
      </c>
      <c r="BB57" t="s" s="0">
        <v>319</v>
      </c>
      <c r="BC57" t="s" s="0">
        <v>82</v>
      </c>
      <c r="BD57" t="s" s="0">
        <v>82</v>
      </c>
      <c r="BE57" t="s" s="0">
        <v>82</v>
      </c>
      <c r="BF57" t="s" s="0">
        <v>82</v>
      </c>
      <c r="BG57" t="s" s="0">
        <v>1688</v>
      </c>
      <c r="BH57" t="s" s="0">
        <v>1689</v>
      </c>
      <c r="BI57" t="s" s="0">
        <v>82</v>
      </c>
      <c r="BJ57" t="s" s="0">
        <v>1690</v>
      </c>
      <c r="BK57" t="s" s="111">
        <f>HYPERLINK("http://dx.doi.org/10.3174/ajnr.A8715","http://dx.doi.org/10.3174/ajnr.A8715")</f>
        <v>1691</v>
      </c>
      <c r="BL57" t="s" s="0">
        <v>82</v>
      </c>
      <c r="BM57" t="s" s="0">
        <v>949</v>
      </c>
      <c r="BN57" t="s" s="0">
        <v>138</v>
      </c>
      <c r="BO57" t="s" s="0">
        <v>1692</v>
      </c>
      <c r="BP57" t="s" s="0">
        <v>1693</v>
      </c>
      <c r="BQ57" t="s" s="0">
        <v>1694</v>
      </c>
      <c r="BR57" t="s" s="0">
        <v>1695</v>
      </c>
      <c r="BS57" t="s" s="0">
        <v>1696</v>
      </c>
      <c r="BT57" t="s" s="112">
        <f>HYPERLINK("https://www.webofscience.com/wos/woscc/full-record/WOS:001542322200001","View Record in Web of Science")</f>
        <v>120</v>
      </c>
      <c r="BU57" t="s" s="0">
        <v>256</v>
      </c>
      <c r="BV57" t="s" s="0">
        <v>82</v>
      </c>
      <c r="BW57" t="s" s="0">
        <v>82</v>
      </c>
      <c r="BX57" t="s" s="0">
        <v>122</v>
      </c>
    </row>
    <row r="58">
      <c r="A58" t="s" s="0">
        <v>78</v>
      </c>
      <c r="B58" t="s" s="0">
        <v>78</v>
      </c>
      <c r="C58" t="s" s="0">
        <v>447</v>
      </c>
      <c r="D58" t="s" s="0">
        <v>78</v>
      </c>
      <c r="E58" t="s" s="0">
        <v>1697</v>
      </c>
      <c r="F58" t="s" s="0">
        <v>1698</v>
      </c>
      <c r="G58" t="s" s="0">
        <v>1699</v>
      </c>
      <c r="H58" t="s" s="0">
        <v>82</v>
      </c>
      <c r="I58" t="s" s="0">
        <v>297</v>
      </c>
      <c r="J58" t="s" s="0">
        <v>1700</v>
      </c>
      <c r="K58" t="s" s="0">
        <v>1701</v>
      </c>
      <c r="L58" t="s" s="0">
        <v>82</v>
      </c>
      <c r="M58" t="s" s="0">
        <v>82</v>
      </c>
      <c r="N58" t="s" s="0">
        <v>82</v>
      </c>
      <c r="O58" t="s" s="0">
        <v>1702</v>
      </c>
      <c r="P58" t="s" s="0">
        <v>1703</v>
      </c>
      <c r="Q58" t="s" s="0">
        <v>91</v>
      </c>
      <c r="R58" t="s" s="0">
        <v>82</v>
      </c>
      <c r="S58" t="s" s="0">
        <v>82</v>
      </c>
      <c r="T58" t="s" s="0">
        <v>82</v>
      </c>
      <c r="U58" t="s" s="0">
        <v>82</v>
      </c>
      <c r="V58" t="s" s="0">
        <v>1704</v>
      </c>
      <c r="W58" t="s" s="0">
        <v>1705</v>
      </c>
      <c r="X58" t="s" s="0">
        <v>82</v>
      </c>
      <c r="Y58" t="s" s="0">
        <v>82</v>
      </c>
      <c r="Z58" t="s" s="0">
        <v>94</v>
      </c>
      <c r="AA58" t="s" s="0">
        <v>95</v>
      </c>
      <c r="AB58" t="s" s="0">
        <v>82</v>
      </c>
      <c r="AC58" t="s" s="0">
        <v>82</v>
      </c>
      <c r="AD58" t="s" s="0">
        <v>82</v>
      </c>
      <c r="AE58" t="s" s="0">
        <v>82</v>
      </c>
      <c r="AF58" t="s" s="0">
        <v>82</v>
      </c>
      <c r="AG58" t="s" s="0">
        <v>1706</v>
      </c>
      <c r="AH58" t="s" s="0">
        <v>1707</v>
      </c>
      <c r="AI58" t="s" s="0">
        <v>1708</v>
      </c>
      <c r="AJ58" t="s" s="0">
        <v>1709</v>
      </c>
      <c r="AK58" t="s" s="0">
        <v>82</v>
      </c>
      <c r="AL58" t="s" s="0">
        <v>111</v>
      </c>
      <c r="AM58" t="s" s="0">
        <v>221</v>
      </c>
      <c r="AN58" t="s" s="0">
        <v>375</v>
      </c>
      <c r="AO58" t="s" s="0">
        <v>78</v>
      </c>
      <c r="AP58" t="s" s="0">
        <v>101</v>
      </c>
      <c r="AQ58" t="s" s="0">
        <v>1710</v>
      </c>
      <c r="AR58" t="s" s="0">
        <v>1711</v>
      </c>
      <c r="AS58" t="s" s="0">
        <v>1712</v>
      </c>
      <c r="AT58" t="s" s="0">
        <v>1713</v>
      </c>
      <c r="AU58" t="s" s="0">
        <v>82</v>
      </c>
      <c r="AV58" t="s" s="0">
        <v>82</v>
      </c>
      <c r="AW58" t="s" s="0">
        <v>1714</v>
      </c>
      <c r="AX58" t="s" s="0">
        <v>1715</v>
      </c>
      <c r="AY58" t="s" s="0">
        <v>1716</v>
      </c>
      <c r="AZ58" t="s" s="0">
        <v>408</v>
      </c>
      <c r="BA58" t="s" s="0">
        <v>137</v>
      </c>
      <c r="BB58" t="s" s="0">
        <v>137</v>
      </c>
      <c r="BC58" t="s" s="0">
        <v>82</v>
      </c>
      <c r="BD58" t="s" s="0">
        <v>82</v>
      </c>
      <c r="BE58" t="s" s="0">
        <v>82</v>
      </c>
      <c r="BF58" t="s" s="0">
        <v>82</v>
      </c>
      <c r="BG58" t="s" s="0">
        <v>82</v>
      </c>
      <c r="BH58" t="s" s="0">
        <v>82</v>
      </c>
      <c r="BI58" t="s" s="0">
        <v>1717</v>
      </c>
      <c r="BJ58" t="s" s="0">
        <v>1718</v>
      </c>
      <c r="BK58" t="s" s="113">
        <f>HYPERLINK("http://dx.doi.org/10.2196/39536","http://dx.doi.org/10.2196/39536")</f>
        <v>1719</v>
      </c>
      <c r="BL58" t="s" s="0">
        <v>82</v>
      </c>
      <c r="BM58" t="s" s="0">
        <v>82</v>
      </c>
      <c r="BN58" t="s" s="0">
        <v>375</v>
      </c>
      <c r="BO58" t="s" s="0">
        <v>1720</v>
      </c>
      <c r="BP58" t="s" s="0">
        <v>1720</v>
      </c>
      <c r="BQ58" t="s" s="0">
        <v>1721</v>
      </c>
      <c r="BR58" t="s" s="0">
        <v>1722</v>
      </c>
      <c r="BS58" t="s" s="0">
        <v>1723</v>
      </c>
      <c r="BT58" t="s" s="114">
        <f>HYPERLINK("https://www.webofscience.com/wos/woscc/full-record/WOS:000917774000006","View Record in Web of Science")</f>
        <v>120</v>
      </c>
      <c r="BU58" t="s" s="0">
        <v>121</v>
      </c>
      <c r="BV58" t="s" s="0">
        <v>82</v>
      </c>
      <c r="BW58" t="s" s="0">
        <v>82</v>
      </c>
      <c r="BX58" t="s" s="0">
        <v>122</v>
      </c>
    </row>
    <row r="59">
      <c r="A59" t="s" s="0">
        <v>78</v>
      </c>
      <c r="B59" t="s" s="0">
        <v>78</v>
      </c>
      <c r="C59" t="s" s="0">
        <v>78</v>
      </c>
      <c r="D59" t="s" s="0">
        <v>78</v>
      </c>
      <c r="E59" t="s" s="0">
        <v>1724</v>
      </c>
      <c r="F59" t="s" s="0">
        <v>1725</v>
      </c>
      <c r="G59" t="s" s="0">
        <v>1726</v>
      </c>
      <c r="H59" t="s" s="0">
        <v>82</v>
      </c>
      <c r="I59" t="s" s="0">
        <v>83</v>
      </c>
      <c r="J59" t="s" s="0">
        <v>1727</v>
      </c>
      <c r="K59" t="s" s="0">
        <v>1728</v>
      </c>
      <c r="L59" t="s" s="0">
        <v>82</v>
      </c>
      <c r="M59" t="s" s="0">
        <v>82</v>
      </c>
      <c r="N59" t="s" s="0">
        <v>82</v>
      </c>
      <c r="O59" t="s" s="0">
        <v>1729</v>
      </c>
      <c r="P59" t="s" s="0">
        <v>1730</v>
      </c>
      <c r="Q59" t="s" s="0">
        <v>91</v>
      </c>
      <c r="R59" t="s" s="0">
        <v>82</v>
      </c>
      <c r="S59" t="s" s="0">
        <v>82</v>
      </c>
      <c r="T59" t="s" s="0">
        <v>82</v>
      </c>
      <c r="U59" t="s" s="0">
        <v>82</v>
      </c>
      <c r="V59" t="s" s="0">
        <v>1731</v>
      </c>
      <c r="W59" t="s" s="0">
        <v>1732</v>
      </c>
      <c r="X59" t="s" s="0">
        <v>82</v>
      </c>
      <c r="Y59" t="s" s="0">
        <v>82</v>
      </c>
      <c r="Z59" t="s" s="0">
        <v>94</v>
      </c>
      <c r="AA59" t="s" s="0">
        <v>169</v>
      </c>
      <c r="AB59" t="s" s="0">
        <v>82</v>
      </c>
      <c r="AC59" t="s" s="0">
        <v>82</v>
      </c>
      <c r="AD59" t="s" s="0">
        <v>82</v>
      </c>
      <c r="AE59" t="s" s="0">
        <v>82</v>
      </c>
      <c r="AF59" t="s" s="0">
        <v>82</v>
      </c>
      <c r="AG59" t="s" s="0">
        <v>1733</v>
      </c>
      <c r="AH59" t="s" s="0">
        <v>1334</v>
      </c>
      <c r="AI59" t="s" s="0">
        <v>82</v>
      </c>
      <c r="AJ59" t="s" s="0">
        <v>82</v>
      </c>
      <c r="AK59" t="s" s="0">
        <v>82</v>
      </c>
      <c r="AL59" t="s" s="0">
        <v>685</v>
      </c>
      <c r="AM59" t="s" s="0">
        <v>78</v>
      </c>
      <c r="AN59" t="s" s="0">
        <v>78</v>
      </c>
      <c r="AO59" t="s" s="0">
        <v>78</v>
      </c>
      <c r="AP59" t="s" s="0">
        <v>78</v>
      </c>
      <c r="AQ59" t="s" s="0">
        <v>491</v>
      </c>
      <c r="AR59" t="s" s="0">
        <v>492</v>
      </c>
      <c r="AS59" t="s" s="0">
        <v>493</v>
      </c>
      <c r="AT59" t="s" s="0">
        <v>1734</v>
      </c>
      <c r="AU59" t="s" s="0">
        <v>1735</v>
      </c>
      <c r="AV59" t="s" s="0">
        <v>82</v>
      </c>
      <c r="AW59" t="s" s="0">
        <v>1736</v>
      </c>
      <c r="AX59" t="s" s="0">
        <v>1737</v>
      </c>
      <c r="AY59" t="s" s="0">
        <v>82</v>
      </c>
      <c r="AZ59" t="s" s="0">
        <v>181</v>
      </c>
      <c r="BA59" t="s" s="0">
        <v>82</v>
      </c>
      <c r="BB59" t="s" s="0">
        <v>82</v>
      </c>
      <c r="BC59" t="s" s="0">
        <v>82</v>
      </c>
      <c r="BD59" t="s" s="0">
        <v>82</v>
      </c>
      <c r="BE59" t="s" s="0">
        <v>82</v>
      </c>
      <c r="BF59" t="s" s="0">
        <v>82</v>
      </c>
      <c r="BG59" t="s" s="0">
        <v>82</v>
      </c>
      <c r="BH59" t="s" s="0">
        <v>82</v>
      </c>
      <c r="BI59" t="s" s="0">
        <v>82</v>
      </c>
      <c r="BJ59" t="s" s="0">
        <v>1738</v>
      </c>
      <c r="BK59" t="s" s="115">
        <f>HYPERLINK("http://dx.doi.org/10.1093/dmfr/twag054","http://dx.doi.org/10.1093/dmfr/twag054")</f>
        <v>1739</v>
      </c>
      <c r="BL59" t="s" s="0">
        <v>82</v>
      </c>
      <c r="BM59" t="s" s="0">
        <v>1342</v>
      </c>
      <c r="BN59" t="s" s="0">
        <v>138</v>
      </c>
      <c r="BO59" t="s" s="0">
        <v>1740</v>
      </c>
      <c r="BP59" t="s" s="0">
        <v>1740</v>
      </c>
      <c r="BQ59" t="s" s="0">
        <v>1741</v>
      </c>
      <c r="BR59" t="s" s="0">
        <v>1742</v>
      </c>
      <c r="BS59" t="s" s="0">
        <v>1743</v>
      </c>
      <c r="BT59" t="s" s="116">
        <f>HYPERLINK("https://www.webofscience.com/wos/woscc/full-record/WOS:001849723000001","View Record in Web of Science")</f>
        <v>120</v>
      </c>
      <c r="BU59" t="s" s="0">
        <v>82</v>
      </c>
      <c r="BV59" t="s" s="0">
        <v>82</v>
      </c>
      <c r="BW59" t="s" s="0">
        <v>82</v>
      </c>
      <c r="BX59" t="s" s="0">
        <v>122</v>
      </c>
    </row>
    <row r="60">
      <c r="A60" t="s" s="0">
        <v>78</v>
      </c>
      <c r="B60" t="s" s="0">
        <v>78</v>
      </c>
      <c r="C60" t="s" s="0">
        <v>78</v>
      </c>
      <c r="D60" t="s" s="0">
        <v>78</v>
      </c>
      <c r="E60" t="s" s="0">
        <v>1744</v>
      </c>
      <c r="F60" t="s" s="0">
        <v>1745</v>
      </c>
      <c r="G60" t="s" s="0">
        <v>1746</v>
      </c>
      <c r="H60" t="s" s="0">
        <v>82</v>
      </c>
      <c r="I60" t="s" s="0">
        <v>83</v>
      </c>
      <c r="J60" t="s" s="0">
        <v>1747</v>
      </c>
      <c r="K60" t="s" s="0">
        <v>1748</v>
      </c>
      <c r="L60" t="s" s="0">
        <v>1749</v>
      </c>
      <c r="M60" t="s" s="0">
        <v>1750</v>
      </c>
      <c r="N60" t="s" s="0">
        <v>1751</v>
      </c>
      <c r="O60" t="s" s="0">
        <v>1752</v>
      </c>
      <c r="P60" t="s" s="0">
        <v>1753</v>
      </c>
      <c r="Q60" t="s" s="0">
        <v>91</v>
      </c>
      <c r="R60" t="s" s="0">
        <v>82</v>
      </c>
      <c r="S60" t="s" s="0">
        <v>82</v>
      </c>
      <c r="T60" t="s" s="0">
        <v>82</v>
      </c>
      <c r="U60" t="s" s="0">
        <v>82</v>
      </c>
      <c r="V60" t="s" s="0">
        <v>1754</v>
      </c>
      <c r="W60" t="s" s="0">
        <v>1623</v>
      </c>
      <c r="X60" t="s" s="0">
        <v>82</v>
      </c>
      <c r="Y60" t="s" s="0">
        <v>82</v>
      </c>
      <c r="Z60" t="s" s="0">
        <v>94</v>
      </c>
      <c r="AA60" t="s" s="0">
        <v>95</v>
      </c>
      <c r="AB60" t="s" s="0">
        <v>82</v>
      </c>
      <c r="AC60" t="s" s="0">
        <v>82</v>
      </c>
      <c r="AD60" t="s" s="0">
        <v>82</v>
      </c>
      <c r="AE60" t="s" s="0">
        <v>82</v>
      </c>
      <c r="AF60" t="s" s="0">
        <v>82</v>
      </c>
      <c r="AG60" t="s" s="0">
        <v>1755</v>
      </c>
      <c r="AH60" t="s" s="0">
        <v>1756</v>
      </c>
      <c r="AI60" t="s" s="0">
        <v>82</v>
      </c>
      <c r="AJ60" t="s" s="0">
        <v>1757</v>
      </c>
      <c r="AK60" t="s" s="0">
        <v>82</v>
      </c>
      <c r="AL60" t="s" s="0">
        <v>890</v>
      </c>
      <c r="AM60" t="s" s="0">
        <v>78</v>
      </c>
      <c r="AN60" t="s" s="0">
        <v>78</v>
      </c>
      <c r="AO60" t="s" s="0">
        <v>447</v>
      </c>
      <c r="AP60" t="s" s="0">
        <v>447</v>
      </c>
      <c r="AQ60" t="s" s="0">
        <v>312</v>
      </c>
      <c r="AR60" t="s" s="0">
        <v>313</v>
      </c>
      <c r="AS60" t="s" s="0">
        <v>314</v>
      </c>
      <c r="AT60" t="s" s="0">
        <v>82</v>
      </c>
      <c r="AU60" t="s" s="0">
        <v>1629</v>
      </c>
      <c r="AV60" t="s" s="0">
        <v>82</v>
      </c>
      <c r="AW60" t="s" s="0">
        <v>1623</v>
      </c>
      <c r="AX60" t="s" s="0">
        <v>1630</v>
      </c>
      <c r="AY60" t="s" s="0">
        <v>1758</v>
      </c>
      <c r="AZ60" t="s" s="0">
        <v>181</v>
      </c>
      <c r="BA60" t="s" s="0">
        <v>640</v>
      </c>
      <c r="BB60" t="s" s="0">
        <v>447</v>
      </c>
      <c r="BC60" t="s" s="0">
        <v>82</v>
      </c>
      <c r="BD60" t="s" s="0">
        <v>82</v>
      </c>
      <c r="BE60" t="s" s="0">
        <v>82</v>
      </c>
      <c r="BF60" t="s" s="0">
        <v>82</v>
      </c>
      <c r="BG60" t="s" s="0">
        <v>82</v>
      </c>
      <c r="BH60" t="s" s="0">
        <v>82</v>
      </c>
      <c r="BI60" t="s" s="0">
        <v>1759</v>
      </c>
      <c r="BJ60" t="s" s="0">
        <v>1760</v>
      </c>
      <c r="BK60" t="s" s="117">
        <f>HYPERLINK("http://dx.doi.org/10.3390/life16020357","http://dx.doi.org/10.3390/life16020357")</f>
        <v>1761</v>
      </c>
      <c r="BL60" t="s" s="0">
        <v>82</v>
      </c>
      <c r="BM60" t="s" s="0">
        <v>82</v>
      </c>
      <c r="BN60" t="s" s="0">
        <v>115</v>
      </c>
      <c r="BO60" t="s" s="0">
        <v>1635</v>
      </c>
      <c r="BP60" t="s" s="0">
        <v>1636</v>
      </c>
      <c r="BQ60" t="s" s="0">
        <v>1762</v>
      </c>
      <c r="BR60" t="s" s="0">
        <v>1763</v>
      </c>
      <c r="BS60" t="s" s="0">
        <v>1764</v>
      </c>
      <c r="BT60" t="s" s="118">
        <f>HYPERLINK("https://www.webofscience.com/wos/woscc/full-record/WOS:001702379300001","View Record in Web of Science")</f>
        <v>120</v>
      </c>
      <c r="BU60" t="s" s="0">
        <v>1765</v>
      </c>
      <c r="BV60" t="s" s="0">
        <v>82</v>
      </c>
      <c r="BW60" t="s" s="0">
        <v>82</v>
      </c>
      <c r="BX60" t="s" s="0">
        <v>122</v>
      </c>
    </row>
    <row r="61">
      <c r="A61" t="s" s="0">
        <v>78</v>
      </c>
      <c r="B61" t="s" s="0">
        <v>78</v>
      </c>
      <c r="C61" t="s" s="0">
        <v>319</v>
      </c>
      <c r="D61" t="s" s="0">
        <v>78</v>
      </c>
      <c r="E61" t="s" s="0">
        <v>1766</v>
      </c>
      <c r="F61" t="s" s="0">
        <v>1767</v>
      </c>
      <c r="G61" t="s" s="0">
        <v>1768</v>
      </c>
      <c r="H61" t="s" s="0">
        <v>82</v>
      </c>
      <c r="I61" t="s" s="0">
        <v>83</v>
      </c>
      <c r="J61" t="s" s="0">
        <v>1769</v>
      </c>
      <c r="K61" t="s" s="0">
        <v>1770</v>
      </c>
      <c r="L61" t="s" s="0">
        <v>1771</v>
      </c>
      <c r="M61" t="s" s="0">
        <v>1772</v>
      </c>
      <c r="N61" t="s" s="0">
        <v>1773</v>
      </c>
      <c r="O61" t="s" s="0">
        <v>1774</v>
      </c>
      <c r="P61" t="s" s="0">
        <v>1775</v>
      </c>
      <c r="Q61" t="s" s="0">
        <v>91</v>
      </c>
      <c r="R61" t="s" s="0">
        <v>82</v>
      </c>
      <c r="S61" t="s" s="0">
        <v>82</v>
      </c>
      <c r="T61" t="s" s="0">
        <v>82</v>
      </c>
      <c r="U61" t="s" s="0">
        <v>82</v>
      </c>
      <c r="V61" t="s" s="0">
        <v>1776</v>
      </c>
      <c r="W61" t="s" s="0">
        <v>1777</v>
      </c>
      <c r="X61" t="s" s="0">
        <v>82</v>
      </c>
      <c r="Y61" t="s" s="0">
        <v>82</v>
      </c>
      <c r="Z61" t="s" s="0">
        <v>94</v>
      </c>
      <c r="AA61" t="s" s="0">
        <v>95</v>
      </c>
      <c r="AB61" t="s" s="0">
        <v>82</v>
      </c>
      <c r="AC61" t="s" s="0">
        <v>82</v>
      </c>
      <c r="AD61" t="s" s="0">
        <v>82</v>
      </c>
      <c r="AE61" t="s" s="0">
        <v>82</v>
      </c>
      <c r="AF61" t="s" s="0">
        <v>82</v>
      </c>
      <c r="AG61" t="s" s="0">
        <v>82</v>
      </c>
      <c r="AH61" t="s" s="0">
        <v>1778</v>
      </c>
      <c r="AI61" t="s" s="0">
        <v>82</v>
      </c>
      <c r="AJ61" t="s" s="0">
        <v>1779</v>
      </c>
      <c r="AK61" t="s" s="0">
        <v>82</v>
      </c>
      <c r="AL61" t="s" s="0">
        <v>831</v>
      </c>
      <c r="AM61" t="s" s="0">
        <v>111</v>
      </c>
      <c r="AN61" t="s" s="0">
        <v>1780</v>
      </c>
      <c r="AO61" t="s" s="0">
        <v>78</v>
      </c>
      <c r="AP61" t="s" s="0">
        <v>136</v>
      </c>
      <c r="AQ61" t="s" s="0">
        <v>832</v>
      </c>
      <c r="AR61" t="s" s="0">
        <v>833</v>
      </c>
      <c r="AS61" t="s" s="0">
        <v>834</v>
      </c>
      <c r="AT61" t="s" s="0">
        <v>1781</v>
      </c>
      <c r="AU61" t="s" s="0">
        <v>1782</v>
      </c>
      <c r="AV61" t="s" s="0">
        <v>82</v>
      </c>
      <c r="AW61" t="s" s="0">
        <v>1783</v>
      </c>
      <c r="AX61" t="s" s="0">
        <v>1784</v>
      </c>
      <c r="AY61" t="s" s="0">
        <v>728</v>
      </c>
      <c r="AZ61" t="s" s="0">
        <v>210</v>
      </c>
      <c r="BA61" t="s" s="0">
        <v>1785</v>
      </c>
      <c r="BB61" t="s" s="0">
        <v>77</v>
      </c>
      <c r="BC61" t="s" s="0">
        <v>82</v>
      </c>
      <c r="BD61" t="s" s="0">
        <v>82</v>
      </c>
      <c r="BE61" t="s" s="0">
        <v>82</v>
      </c>
      <c r="BF61" t="s" s="0">
        <v>82</v>
      </c>
      <c r="BG61" t="s" s="0">
        <v>1786</v>
      </c>
      <c r="BH61" t="s" s="0">
        <v>1787</v>
      </c>
      <c r="BI61" t="s" s="0">
        <v>82</v>
      </c>
      <c r="BJ61" t="s" s="0">
        <v>1788</v>
      </c>
      <c r="BK61" t="s" s="119">
        <f>HYPERLINK("http://dx.doi.org/10.14309/ajg.0000000000002050","http://dx.doi.org/10.14309/ajg.0000000000002050")</f>
        <v>1789</v>
      </c>
      <c r="BL61" t="s" s="0">
        <v>82</v>
      </c>
      <c r="BM61" t="s" s="0">
        <v>82</v>
      </c>
      <c r="BN61" t="s" s="0">
        <v>137</v>
      </c>
      <c r="BO61" t="s" s="0">
        <v>924</v>
      </c>
      <c r="BP61" t="s" s="0">
        <v>924</v>
      </c>
      <c r="BQ61" t="s" s="0">
        <v>1790</v>
      </c>
      <c r="BR61" t="s" s="0">
        <v>1791</v>
      </c>
      <c r="BS61" t="s" s="0">
        <v>1792</v>
      </c>
      <c r="BT61" t="s" s="120">
        <f>HYPERLINK("https://www.webofscience.com/wos/woscc/full-record/WOS:000917940200027","View Record in Web of Science")</f>
        <v>120</v>
      </c>
      <c r="BU61" t="s" s="0">
        <v>1265</v>
      </c>
      <c r="BV61" t="s" s="0">
        <v>82</v>
      </c>
      <c r="BW61" t="s" s="0">
        <v>82</v>
      </c>
      <c r="BX61" t="s" s="0">
        <v>122</v>
      </c>
    </row>
    <row r="62">
      <c r="A62" t="s" s="0">
        <v>78</v>
      </c>
      <c r="B62" t="s" s="0">
        <v>78</v>
      </c>
      <c r="C62" t="s" s="0">
        <v>78</v>
      </c>
      <c r="D62" t="s" s="0">
        <v>78</v>
      </c>
      <c r="E62" t="s" s="0">
        <v>1793</v>
      </c>
      <c r="F62" t="s" s="0">
        <v>1794</v>
      </c>
      <c r="G62" t="s" s="0">
        <v>1795</v>
      </c>
      <c r="H62" t="s" s="0">
        <v>82</v>
      </c>
      <c r="I62" t="s" s="0">
        <v>83</v>
      </c>
      <c r="J62" t="s" s="0">
        <v>1796</v>
      </c>
      <c r="K62" t="s" s="0">
        <v>1797</v>
      </c>
      <c r="L62" t="s" s="0">
        <v>1798</v>
      </c>
      <c r="M62" t="s" s="0">
        <v>1799</v>
      </c>
      <c r="N62" t="s" s="0">
        <v>1800</v>
      </c>
      <c r="O62" t="s" s="0">
        <v>1801</v>
      </c>
      <c r="P62" t="s" s="0">
        <v>1802</v>
      </c>
      <c r="Q62" t="s" s="0">
        <v>91</v>
      </c>
      <c r="R62" t="s" s="0">
        <v>82</v>
      </c>
      <c r="S62" t="s" s="0">
        <v>82</v>
      </c>
      <c r="T62" t="s" s="0">
        <v>82</v>
      </c>
      <c r="U62" t="s" s="0">
        <v>82</v>
      </c>
      <c r="V62" t="s" s="0">
        <v>1803</v>
      </c>
      <c r="W62" t="s" s="0">
        <v>1804</v>
      </c>
      <c r="X62" t="s" s="0">
        <v>82</v>
      </c>
      <c r="Y62" t="s" s="0">
        <v>82</v>
      </c>
      <c r="Z62" t="s" s="0">
        <v>94</v>
      </c>
      <c r="AA62" t="s" s="0">
        <v>95</v>
      </c>
      <c r="AB62" t="s" s="0">
        <v>82</v>
      </c>
      <c r="AC62" t="s" s="0">
        <v>82</v>
      </c>
      <c r="AD62" t="s" s="0">
        <v>82</v>
      </c>
      <c r="AE62" t="s" s="0">
        <v>82</v>
      </c>
      <c r="AF62" t="s" s="0">
        <v>82</v>
      </c>
      <c r="AG62" t="s" s="0">
        <v>1805</v>
      </c>
      <c r="AH62" t="s" s="0">
        <v>1806</v>
      </c>
      <c r="AI62" t="s" s="0">
        <v>1807</v>
      </c>
      <c r="AJ62" t="s" s="0">
        <v>1808</v>
      </c>
      <c r="AK62" t="s" s="0">
        <v>82</v>
      </c>
      <c r="AL62" t="s" s="0">
        <v>775</v>
      </c>
      <c r="AM62" t="s" s="0">
        <v>78</v>
      </c>
      <c r="AN62" t="s" s="0">
        <v>78</v>
      </c>
      <c r="AO62" t="s" s="0">
        <v>77</v>
      </c>
      <c r="AP62" t="s" s="0">
        <v>77</v>
      </c>
      <c r="AQ62" t="s" s="0">
        <v>1710</v>
      </c>
      <c r="AR62" t="s" s="0">
        <v>1711</v>
      </c>
      <c r="AS62" t="s" s="0">
        <v>1712</v>
      </c>
      <c r="AT62" t="s" s="0">
        <v>82</v>
      </c>
      <c r="AU62" t="s" s="0">
        <v>1809</v>
      </c>
      <c r="AV62" t="s" s="0">
        <v>82</v>
      </c>
      <c r="AW62" t="s" s="0">
        <v>1810</v>
      </c>
      <c r="AX62" t="s" s="0">
        <v>1811</v>
      </c>
      <c r="AY62" t="s" s="0">
        <v>181</v>
      </c>
      <c r="AZ62" t="s" s="0">
        <v>181</v>
      </c>
      <c r="BA62" t="s" s="0">
        <v>323</v>
      </c>
      <c r="BB62" t="s" s="0">
        <v>82</v>
      </c>
      <c r="BC62" t="s" s="0">
        <v>82</v>
      </c>
      <c r="BD62" t="s" s="0">
        <v>82</v>
      </c>
      <c r="BE62" t="s" s="0">
        <v>82</v>
      </c>
      <c r="BF62" t="s" s="0">
        <v>82</v>
      </c>
      <c r="BG62" t="s" s="0">
        <v>82</v>
      </c>
      <c r="BH62" t="s" s="0">
        <v>82</v>
      </c>
      <c r="BI62" t="s" s="0">
        <v>1812</v>
      </c>
      <c r="BJ62" t="s" s="0">
        <v>1813</v>
      </c>
      <c r="BK62" t="s" s="121">
        <f>HYPERLINK("http://dx.doi.org/10.2196/80384","http://dx.doi.org/10.2196/80384")</f>
        <v>1814</v>
      </c>
      <c r="BL62" t="s" s="0">
        <v>82</v>
      </c>
      <c r="BM62" t="s" s="0">
        <v>82</v>
      </c>
      <c r="BN62" t="s" s="0">
        <v>1161</v>
      </c>
      <c r="BO62" t="s" s="0">
        <v>1815</v>
      </c>
      <c r="BP62" t="s" s="0">
        <v>1815</v>
      </c>
      <c r="BQ62" t="s" s="0">
        <v>1816</v>
      </c>
      <c r="BR62" t="s" s="0">
        <v>1817</v>
      </c>
      <c r="BS62" t="s" s="0">
        <v>1818</v>
      </c>
      <c r="BT62" t="s" s="122">
        <f>HYPERLINK("https://www.webofscience.com/wos/woscc/full-record/WOS:001765561800001","View Record in Web of Science")</f>
        <v>120</v>
      </c>
      <c r="BU62" t="s" s="0">
        <v>121</v>
      </c>
      <c r="BV62" t="s" s="0">
        <v>82</v>
      </c>
      <c r="BW62" t="s" s="0">
        <v>82</v>
      </c>
      <c r="BX62" t="s" s="0">
        <v>122</v>
      </c>
    </row>
    <row r="63">
      <c r="A63" t="s" s="0">
        <v>78</v>
      </c>
      <c r="B63" t="s" s="0">
        <v>78</v>
      </c>
      <c r="C63" t="s" s="0">
        <v>138</v>
      </c>
      <c r="D63" t="s" s="0">
        <v>78</v>
      </c>
      <c r="E63" t="s" s="0">
        <v>1819</v>
      </c>
      <c r="F63" t="s" s="0">
        <v>1820</v>
      </c>
      <c r="G63" t="s" s="0">
        <v>1821</v>
      </c>
      <c r="H63" t="s" s="0">
        <v>82</v>
      </c>
      <c r="I63" t="s" s="0">
        <v>83</v>
      </c>
      <c r="J63" t="s" s="0">
        <v>1822</v>
      </c>
      <c r="K63" t="s" s="0">
        <v>1823</v>
      </c>
      <c r="L63" t="s" s="0">
        <v>1824</v>
      </c>
      <c r="M63" t="s" s="0">
        <v>1825</v>
      </c>
      <c r="N63" t="s" s="0">
        <v>1826</v>
      </c>
      <c r="O63" t="s" s="0">
        <v>1827</v>
      </c>
      <c r="P63" t="s" s="0">
        <v>1828</v>
      </c>
      <c r="Q63" t="s" s="0">
        <v>91</v>
      </c>
      <c r="R63" t="s" s="0">
        <v>82</v>
      </c>
      <c r="S63" t="s" s="0">
        <v>82</v>
      </c>
      <c r="T63" t="s" s="0">
        <v>82</v>
      </c>
      <c r="U63" t="s" s="0">
        <v>82</v>
      </c>
      <c r="V63" t="s" s="0">
        <v>1829</v>
      </c>
      <c r="W63" t="s" s="0">
        <v>1830</v>
      </c>
      <c r="X63" t="s" s="0">
        <v>82</v>
      </c>
      <c r="Y63" t="s" s="0">
        <v>82</v>
      </c>
      <c r="Z63" t="s" s="0">
        <v>94</v>
      </c>
      <c r="AA63" t="s" s="0">
        <v>95</v>
      </c>
      <c r="AB63" t="s" s="0">
        <v>82</v>
      </c>
      <c r="AC63" t="s" s="0">
        <v>82</v>
      </c>
      <c r="AD63" t="s" s="0">
        <v>82</v>
      </c>
      <c r="AE63" t="s" s="0">
        <v>82</v>
      </c>
      <c r="AF63" t="s" s="0">
        <v>82</v>
      </c>
      <c r="AG63" t="s" s="0">
        <v>82</v>
      </c>
      <c r="AH63" t="s" s="0">
        <v>1831</v>
      </c>
      <c r="AI63" t="s" s="0">
        <v>1832</v>
      </c>
      <c r="AJ63" t="s" s="0">
        <v>1833</v>
      </c>
      <c r="AK63" t="s" s="0">
        <v>82</v>
      </c>
      <c r="AL63" t="s" s="0">
        <v>640</v>
      </c>
      <c r="AM63" t="s" s="0">
        <v>111</v>
      </c>
      <c r="AN63" t="s" s="0">
        <v>399</v>
      </c>
      <c r="AO63" t="s" s="0">
        <v>78</v>
      </c>
      <c r="AP63" t="s" s="0">
        <v>138</v>
      </c>
      <c r="AQ63" t="s" s="0">
        <v>832</v>
      </c>
      <c r="AR63" t="s" s="0">
        <v>833</v>
      </c>
      <c r="AS63" t="s" s="0">
        <v>834</v>
      </c>
      <c r="AT63" t="s" s="0">
        <v>1834</v>
      </c>
      <c r="AU63" t="s" s="0">
        <v>1835</v>
      </c>
      <c r="AV63" t="s" s="0">
        <v>82</v>
      </c>
      <c r="AW63" t="s" s="0">
        <v>1836</v>
      </c>
      <c r="AX63" t="s" s="0">
        <v>1837</v>
      </c>
      <c r="AY63" t="s" s="0">
        <v>1838</v>
      </c>
      <c r="AZ63" t="s" s="0">
        <v>525</v>
      </c>
      <c r="BA63" t="s" s="0">
        <v>1839</v>
      </c>
      <c r="BB63" t="s" s="0">
        <v>375</v>
      </c>
      <c r="BC63" t="s" s="0">
        <v>82</v>
      </c>
      <c r="BD63" t="s" s="0">
        <v>82</v>
      </c>
      <c r="BE63" t="s" s="0">
        <v>82</v>
      </c>
      <c r="BF63" t="s" s="0">
        <v>82</v>
      </c>
      <c r="BG63" t="s" s="0">
        <v>1840</v>
      </c>
      <c r="BH63" t="s" s="0">
        <v>1841</v>
      </c>
      <c r="BI63" t="s" s="0">
        <v>82</v>
      </c>
      <c r="BJ63" t="s" s="0">
        <v>1842</v>
      </c>
      <c r="BK63" t="s" s="123">
        <f>HYPERLINK("http://dx.doi.org/10.1016/j.jamcollsurg.2021.03.026","http://dx.doi.org/10.1016/j.jamcollsurg.2021.03.026")</f>
        <v>1843</v>
      </c>
      <c r="BL63" t="s" s="0">
        <v>82</v>
      </c>
      <c r="BM63" t="s" s="0">
        <v>1844</v>
      </c>
      <c r="BN63" t="s" s="0">
        <v>319</v>
      </c>
      <c r="BO63" t="s" s="0">
        <v>950</v>
      </c>
      <c r="BP63" t="s" s="0">
        <v>950</v>
      </c>
      <c r="BQ63" t="s" s="0">
        <v>1845</v>
      </c>
      <c r="BR63" t="s" s="0">
        <v>1846</v>
      </c>
      <c r="BS63" t="s" s="0">
        <v>1847</v>
      </c>
      <c r="BT63" t="s" s="124">
        <f>HYPERLINK("https://www.webofscience.com/wos/woscc/full-record/WOS:000654326000030","View Record in Web of Science")</f>
        <v>120</v>
      </c>
      <c r="BU63" t="s" s="0">
        <v>1265</v>
      </c>
      <c r="BV63" t="s" s="0">
        <v>82</v>
      </c>
      <c r="BW63" t="s" s="0">
        <v>82</v>
      </c>
      <c r="BX63" t="s" s="0">
        <v>122</v>
      </c>
    </row>
    <row r="64">
      <c r="A64" t="s" s="0">
        <v>78</v>
      </c>
      <c r="B64" t="s" s="0">
        <v>78</v>
      </c>
      <c r="C64" t="s" s="0">
        <v>78</v>
      </c>
      <c r="D64" t="s" s="0">
        <v>78</v>
      </c>
      <c r="E64" t="s" s="0">
        <v>1848</v>
      </c>
      <c r="F64" t="s" s="0">
        <v>1849</v>
      </c>
      <c r="G64" t="s" s="0">
        <v>1850</v>
      </c>
      <c r="H64" t="s" s="0">
        <v>82</v>
      </c>
      <c r="I64" t="s" s="0">
        <v>297</v>
      </c>
      <c r="J64" t="s" s="0">
        <v>1851</v>
      </c>
      <c r="K64" t="s" s="0">
        <v>1852</v>
      </c>
      <c r="L64" t="s" s="0">
        <v>82</v>
      </c>
      <c r="M64" t="s" s="0">
        <v>82</v>
      </c>
      <c r="N64" t="s" s="0">
        <v>82</v>
      </c>
      <c r="O64" t="s" s="0">
        <v>1853</v>
      </c>
      <c r="P64" t="s" s="0">
        <v>1854</v>
      </c>
      <c r="Q64" t="s" s="0">
        <v>91</v>
      </c>
      <c r="R64" t="s" s="0">
        <v>82</v>
      </c>
      <c r="S64" t="s" s="0">
        <v>82</v>
      </c>
      <c r="T64" t="s" s="0">
        <v>82</v>
      </c>
      <c r="U64" t="s" s="0">
        <v>82</v>
      </c>
      <c r="V64" t="s" s="0">
        <v>1855</v>
      </c>
      <c r="W64" t="s" s="0">
        <v>1856</v>
      </c>
      <c r="X64" t="s" s="0">
        <v>82</v>
      </c>
      <c r="Y64" t="s" s="0">
        <v>82</v>
      </c>
      <c r="Z64" t="s" s="0">
        <v>1857</v>
      </c>
      <c r="AA64" t="s" s="0">
        <v>95</v>
      </c>
      <c r="AB64" t="s" s="0">
        <v>82</v>
      </c>
      <c r="AC64" t="s" s="0">
        <v>82</v>
      </c>
      <c r="AD64" t="s" s="0">
        <v>82</v>
      </c>
      <c r="AE64" t="s" s="0">
        <v>82</v>
      </c>
      <c r="AF64" t="s" s="0">
        <v>82</v>
      </c>
      <c r="AG64" t="s" s="0">
        <v>1858</v>
      </c>
      <c r="AH64" t="s" s="0">
        <v>1859</v>
      </c>
      <c r="AI64" t="s" s="0">
        <v>1860</v>
      </c>
      <c r="AJ64" t="s" s="0">
        <v>1861</v>
      </c>
      <c r="AK64" t="s" s="0">
        <v>82</v>
      </c>
      <c r="AL64" t="s" s="0">
        <v>463</v>
      </c>
      <c r="AM64" t="s" s="0">
        <v>101</v>
      </c>
      <c r="AN64" t="s" s="0">
        <v>101</v>
      </c>
      <c r="AO64" t="s" s="0">
        <v>78</v>
      </c>
      <c r="AP64" t="s" s="0">
        <v>149</v>
      </c>
      <c r="AQ64" t="s" s="0">
        <v>1862</v>
      </c>
      <c r="AR64" t="s" s="0">
        <v>1134</v>
      </c>
      <c r="AS64" t="s" s="0">
        <v>1863</v>
      </c>
      <c r="AT64" t="s" s="0">
        <v>1864</v>
      </c>
      <c r="AU64" t="s" s="0">
        <v>1865</v>
      </c>
      <c r="AV64" t="s" s="0">
        <v>82</v>
      </c>
      <c r="AW64" t="s" s="0">
        <v>1866</v>
      </c>
      <c r="AX64" t="s" s="0">
        <v>1867</v>
      </c>
      <c r="AY64" t="s" s="0">
        <v>1868</v>
      </c>
      <c r="AZ64" t="s" s="0">
        <v>1035</v>
      </c>
      <c r="BA64" t="s" s="0">
        <v>1869</v>
      </c>
      <c r="BB64" t="s" s="0">
        <v>137</v>
      </c>
      <c r="BC64" t="s" s="0">
        <v>82</v>
      </c>
      <c r="BD64" t="s" s="0">
        <v>82</v>
      </c>
      <c r="BE64" t="s" s="0">
        <v>82</v>
      </c>
      <c r="BF64" t="s" s="0">
        <v>82</v>
      </c>
      <c r="BG64" t="s" s="0">
        <v>1870</v>
      </c>
      <c r="BH64" t="s" s="0">
        <v>1871</v>
      </c>
      <c r="BI64" t="s" s="0">
        <v>82</v>
      </c>
      <c r="BJ64" t="s" s="0">
        <v>1872</v>
      </c>
      <c r="BK64" t="s" s="125">
        <f>HYPERLINK("http://dx.doi.org/10.5124/jkma.2020.63.11.696","http://dx.doi.org/10.5124/jkma.2020.63.11.696")</f>
        <v>1873</v>
      </c>
      <c r="BL64" t="s" s="0">
        <v>82</v>
      </c>
      <c r="BM64" t="s" s="0">
        <v>82</v>
      </c>
      <c r="BN64" t="s" s="0">
        <v>115</v>
      </c>
      <c r="BO64" t="s" s="0">
        <v>354</v>
      </c>
      <c r="BP64" t="s" s="0">
        <v>355</v>
      </c>
      <c r="BQ64" t="s" s="0">
        <v>1874</v>
      </c>
      <c r="BR64" t="s" s="0">
        <v>82</v>
      </c>
      <c r="BS64" t="s" s="0">
        <v>1875</v>
      </c>
      <c r="BT64" t="s" s="126">
        <f>HYPERLINK("https://www.webofscience.com/wos/woscc/full-record/WOS:000591648700006","View Record in Web of Science")</f>
        <v>120</v>
      </c>
      <c r="BU64" t="s" s="0">
        <v>1008</v>
      </c>
      <c r="BV64" t="s" s="0">
        <v>82</v>
      </c>
      <c r="BW64" t="s" s="0">
        <v>82</v>
      </c>
      <c r="BX64" t="s" s="0">
        <v>122</v>
      </c>
    </row>
    <row r="65">
      <c r="A65" t="s" s="0">
        <v>77</v>
      </c>
      <c r="B65" t="s" s="0">
        <v>78</v>
      </c>
      <c r="C65" t="s" s="0">
        <v>101</v>
      </c>
      <c r="D65" t="s" s="0">
        <v>78</v>
      </c>
      <c r="E65" t="s" s="0">
        <v>1876</v>
      </c>
      <c r="F65" t="s" s="0">
        <v>1877</v>
      </c>
      <c r="G65" t="s" s="0">
        <v>1878</v>
      </c>
      <c r="H65" t="s" s="0">
        <v>82</v>
      </c>
      <c r="I65" t="s" s="0">
        <v>297</v>
      </c>
      <c r="J65" t="s" s="0">
        <v>1879</v>
      </c>
      <c r="K65" t="s" s="0">
        <v>1880</v>
      </c>
      <c r="L65" t="s" s="0">
        <v>1881</v>
      </c>
      <c r="M65" t="s" s="0">
        <v>1882</v>
      </c>
      <c r="N65" t="s" s="0">
        <v>1883</v>
      </c>
      <c r="O65" t="s" s="0">
        <v>1884</v>
      </c>
      <c r="P65" t="s" s="0">
        <v>1885</v>
      </c>
      <c r="Q65" t="s" s="0">
        <v>91</v>
      </c>
      <c r="R65" t="s" s="0">
        <v>82</v>
      </c>
      <c r="S65" t="s" s="0">
        <v>82</v>
      </c>
      <c r="T65" t="s" s="0">
        <v>82</v>
      </c>
      <c r="U65" t="s" s="0">
        <v>82</v>
      </c>
      <c r="V65" t="s" s="0">
        <v>1886</v>
      </c>
      <c r="W65" t="s" s="0">
        <v>1887</v>
      </c>
      <c r="X65" t="s" s="0">
        <v>82</v>
      </c>
      <c r="Y65" t="s" s="0">
        <v>82</v>
      </c>
      <c r="Z65" t="s" s="0">
        <v>94</v>
      </c>
      <c r="AA65" t="s" s="0">
        <v>95</v>
      </c>
      <c r="AB65" t="s" s="0">
        <v>82</v>
      </c>
      <c r="AC65" t="s" s="0">
        <v>82</v>
      </c>
      <c r="AD65" t="s" s="0">
        <v>82</v>
      </c>
      <c r="AE65" t="s" s="0">
        <v>82</v>
      </c>
      <c r="AF65" t="s" s="0">
        <v>82</v>
      </c>
      <c r="AG65" t="s" s="0">
        <v>1888</v>
      </c>
      <c r="AH65" t="s" s="0">
        <v>1889</v>
      </c>
      <c r="AI65" t="s" s="0">
        <v>1890</v>
      </c>
      <c r="AJ65" t="s" s="0">
        <v>1891</v>
      </c>
      <c r="AK65" t="s" s="0">
        <v>82</v>
      </c>
      <c r="AL65" t="s" s="0">
        <v>464</v>
      </c>
      <c r="AM65" t="s" s="0">
        <v>136</v>
      </c>
      <c r="AN65" t="s" s="0">
        <v>137</v>
      </c>
      <c r="AO65" t="s" s="0">
        <v>78</v>
      </c>
      <c r="AP65" t="s" s="0">
        <v>136</v>
      </c>
      <c r="AQ65" t="s" s="0">
        <v>491</v>
      </c>
      <c r="AR65" t="s" s="0">
        <v>492</v>
      </c>
      <c r="AS65" t="s" s="0">
        <v>493</v>
      </c>
      <c r="AT65" t="s" s="0">
        <v>82</v>
      </c>
      <c r="AU65" t="s" s="0">
        <v>1892</v>
      </c>
      <c r="AV65" t="s" s="0">
        <v>82</v>
      </c>
      <c r="AW65" t="s" s="0">
        <v>1887</v>
      </c>
      <c r="AX65" t="s" s="0">
        <v>1893</v>
      </c>
      <c r="AY65" t="s" s="0">
        <v>1894</v>
      </c>
      <c r="AZ65" t="s" s="0">
        <v>210</v>
      </c>
      <c r="BA65" t="s" s="0">
        <v>375</v>
      </c>
      <c r="BB65" t="s" s="0">
        <v>102</v>
      </c>
      <c r="BC65" t="s" s="0">
        <v>82</v>
      </c>
      <c r="BD65" t="s" s="0">
        <v>82</v>
      </c>
      <c r="BE65" t="s" s="0">
        <v>82</v>
      </c>
      <c r="BF65" t="s" s="0">
        <v>82</v>
      </c>
      <c r="BG65" t="s" s="0">
        <v>82</v>
      </c>
      <c r="BH65" t="s" s="0">
        <v>82</v>
      </c>
      <c r="BI65" t="s" s="0">
        <v>1895</v>
      </c>
      <c r="BJ65" t="s" s="0">
        <v>1896</v>
      </c>
      <c r="BK65" t="s" s="127">
        <f>HYPERLINK("http://dx.doi.org/10.1093/jamiaopen/ooad109","http://dx.doi.org/10.1093/jamiaopen/ooad109")</f>
        <v>1897</v>
      </c>
      <c r="BL65" t="s" s="0">
        <v>82</v>
      </c>
      <c r="BM65" t="s" s="0">
        <v>82</v>
      </c>
      <c r="BN65" t="s" s="0">
        <v>319</v>
      </c>
      <c r="BO65" t="s" s="0">
        <v>785</v>
      </c>
      <c r="BP65" t="s" s="0">
        <v>785</v>
      </c>
      <c r="BQ65" t="s" s="0">
        <v>1898</v>
      </c>
      <c r="BR65" t="s" s="0">
        <v>1899</v>
      </c>
      <c r="BS65" t="s" s="0">
        <v>1900</v>
      </c>
      <c r="BT65" t="s" s="128">
        <f>HYPERLINK("https://www.webofscience.com/wos/woscc/full-record/WOS:001129074600001","View Record in Web of Science")</f>
        <v>120</v>
      </c>
      <c r="BU65" t="s" s="0">
        <v>121</v>
      </c>
      <c r="BV65" t="s" s="0">
        <v>82</v>
      </c>
      <c r="BW65" t="s" s="0">
        <v>82</v>
      </c>
      <c r="BX65" t="s" s="0">
        <v>122</v>
      </c>
    </row>
    <row r="66">
      <c r="A66" t="s" s="0">
        <v>78</v>
      </c>
      <c r="B66" t="s" s="0">
        <v>78</v>
      </c>
      <c r="C66" t="s" s="0">
        <v>447</v>
      </c>
      <c r="D66" t="s" s="0">
        <v>78</v>
      </c>
      <c r="E66" t="s" s="0">
        <v>1901</v>
      </c>
      <c r="F66" t="s" s="0">
        <v>1902</v>
      </c>
      <c r="G66" t="s" s="0">
        <v>1903</v>
      </c>
      <c r="H66" t="s" s="0">
        <v>82</v>
      </c>
      <c r="I66" t="s" s="0">
        <v>83</v>
      </c>
      <c r="J66" t="s" s="0">
        <v>1904</v>
      </c>
      <c r="K66" t="s" s="0">
        <v>1905</v>
      </c>
      <c r="L66" t="s" s="0">
        <v>1906</v>
      </c>
      <c r="M66" t="s" s="0">
        <v>1907</v>
      </c>
      <c r="N66" t="s" s="0">
        <v>1908</v>
      </c>
      <c r="O66" t="s" s="0">
        <v>1909</v>
      </c>
      <c r="P66" t="s" s="0">
        <v>1910</v>
      </c>
      <c r="Q66" t="s" s="0">
        <v>91</v>
      </c>
      <c r="R66" t="s" s="0">
        <v>82</v>
      </c>
      <c r="S66" t="s" s="0">
        <v>82</v>
      </c>
      <c r="T66" t="s" s="0">
        <v>82</v>
      </c>
      <c r="U66" t="s" s="0">
        <v>82</v>
      </c>
      <c r="V66" t="s" s="0">
        <v>1911</v>
      </c>
      <c r="W66" t="s" s="0">
        <v>771</v>
      </c>
      <c r="X66" t="s" s="0">
        <v>82</v>
      </c>
      <c r="Y66" t="s" s="0">
        <v>82</v>
      </c>
      <c r="Z66" t="s" s="0">
        <v>94</v>
      </c>
      <c r="AA66" t="s" s="0">
        <v>95</v>
      </c>
      <c r="AB66" t="s" s="0">
        <v>82</v>
      </c>
      <c r="AC66" t="s" s="0">
        <v>82</v>
      </c>
      <c r="AD66" t="s" s="0">
        <v>82</v>
      </c>
      <c r="AE66" t="s" s="0">
        <v>82</v>
      </c>
      <c r="AF66" t="s" s="0">
        <v>82</v>
      </c>
      <c r="AG66" t="s" s="0">
        <v>82</v>
      </c>
      <c r="AH66" t="s" s="0">
        <v>1912</v>
      </c>
      <c r="AI66" t="s" s="0">
        <v>82</v>
      </c>
      <c r="AJ66" t="s" s="0">
        <v>1913</v>
      </c>
      <c r="AK66" t="s" s="0">
        <v>82</v>
      </c>
      <c r="AL66" t="s" s="0">
        <v>745</v>
      </c>
      <c r="AM66" t="s" s="0">
        <v>149</v>
      </c>
      <c r="AN66" t="s" s="0">
        <v>149</v>
      </c>
      <c r="AO66" t="s" s="0">
        <v>447</v>
      </c>
      <c r="AP66" t="s" s="0">
        <v>101</v>
      </c>
      <c r="AQ66" t="s" s="0">
        <v>633</v>
      </c>
      <c r="AR66" t="s" s="0">
        <v>634</v>
      </c>
      <c r="AS66" t="s" s="0">
        <v>635</v>
      </c>
      <c r="AT66" t="s" s="0">
        <v>778</v>
      </c>
      <c r="AU66" t="s" s="0">
        <v>82</v>
      </c>
      <c r="AV66" t="s" s="0">
        <v>82</v>
      </c>
      <c r="AW66" t="s" s="0">
        <v>779</v>
      </c>
      <c r="AX66" t="s" s="0">
        <v>780</v>
      </c>
      <c r="AY66" t="s" s="0">
        <v>1914</v>
      </c>
      <c r="AZ66" t="s" s="0">
        <v>147</v>
      </c>
      <c r="BA66" t="s" s="0">
        <v>136</v>
      </c>
      <c r="BB66" t="s" s="0">
        <v>77</v>
      </c>
      <c r="BC66" t="s" s="0">
        <v>82</v>
      </c>
      <c r="BD66" t="s" s="0">
        <v>82</v>
      </c>
      <c r="BE66" t="s" s="0">
        <v>82</v>
      </c>
      <c r="BF66" t="s" s="0">
        <v>82</v>
      </c>
      <c r="BG66" t="s" s="0">
        <v>82</v>
      </c>
      <c r="BH66" t="s" s="0">
        <v>82</v>
      </c>
      <c r="BI66" t="s" s="0">
        <v>1915</v>
      </c>
      <c r="BJ66" t="s" s="0">
        <v>1916</v>
      </c>
      <c r="BK66" t="s" s="129">
        <f>HYPERLINK("http://dx.doi.org/10.1038/s41746-025-01664-5","http://dx.doi.org/10.1038/s41746-025-01664-5")</f>
        <v>1917</v>
      </c>
      <c r="BL66" t="s" s="0">
        <v>82</v>
      </c>
      <c r="BM66" t="s" s="0">
        <v>82</v>
      </c>
      <c r="BN66" t="s" s="0">
        <v>245</v>
      </c>
      <c r="BO66" t="s" s="0">
        <v>785</v>
      </c>
      <c r="BP66" t="s" s="0">
        <v>785</v>
      </c>
      <c r="BQ66" t="s" s="0">
        <v>1918</v>
      </c>
      <c r="BR66" t="s" s="0">
        <v>1919</v>
      </c>
      <c r="BS66" t="s" s="0">
        <v>1920</v>
      </c>
      <c r="BT66" t="s" s="130">
        <f>HYPERLINK("https://www.webofscience.com/wos/woscc/full-record/WOS:001507899200004","View Record in Web of Science")</f>
        <v>120</v>
      </c>
      <c r="BU66" t="s" s="0">
        <v>121</v>
      </c>
      <c r="BV66" t="s" s="0">
        <v>82</v>
      </c>
      <c r="BW66" t="s" s="0">
        <v>82</v>
      </c>
      <c r="BX66" t="s" s="0">
        <v>122</v>
      </c>
    </row>
    <row r="67">
      <c r="A67" t="s" s="0">
        <v>78</v>
      </c>
      <c r="B67" t="s" s="0">
        <v>78</v>
      </c>
      <c r="C67" t="s" s="0">
        <v>77</v>
      </c>
      <c r="D67" t="s" s="0">
        <v>78</v>
      </c>
      <c r="E67" t="s" s="0">
        <v>1921</v>
      </c>
      <c r="F67" t="s" s="0">
        <v>1922</v>
      </c>
      <c r="G67" t="s" s="0">
        <v>1923</v>
      </c>
      <c r="H67" t="s" s="0">
        <v>82</v>
      </c>
      <c r="I67" t="s" s="0">
        <v>83</v>
      </c>
      <c r="J67" t="s" s="0">
        <v>1924</v>
      </c>
      <c r="K67" t="s" s="0">
        <v>1925</v>
      </c>
      <c r="L67" t="s" s="0">
        <v>82</v>
      </c>
      <c r="M67" t="s" s="0">
        <v>82</v>
      </c>
      <c r="N67" t="s" s="0">
        <v>82</v>
      </c>
      <c r="O67" t="s" s="0">
        <v>1926</v>
      </c>
      <c r="P67" t="s" s="0">
        <v>1927</v>
      </c>
      <c r="Q67" t="s" s="0">
        <v>91</v>
      </c>
      <c r="R67" t="s" s="0">
        <v>82</v>
      </c>
      <c r="S67" t="s" s="0">
        <v>82</v>
      </c>
      <c r="T67" t="s" s="0">
        <v>82</v>
      </c>
      <c r="U67" t="s" s="0">
        <v>82</v>
      </c>
      <c r="V67" t="s" s="0">
        <v>1928</v>
      </c>
      <c r="W67" t="s" s="0">
        <v>1929</v>
      </c>
      <c r="X67" t="s" s="0">
        <v>82</v>
      </c>
      <c r="Y67" t="s" s="0">
        <v>82</v>
      </c>
      <c r="Z67" t="s" s="0">
        <v>94</v>
      </c>
      <c r="AA67" t="s" s="0">
        <v>95</v>
      </c>
      <c r="AB67" t="s" s="0">
        <v>82</v>
      </c>
      <c r="AC67" t="s" s="0">
        <v>82</v>
      </c>
      <c r="AD67" t="s" s="0">
        <v>82</v>
      </c>
      <c r="AE67" t="s" s="0">
        <v>82</v>
      </c>
      <c r="AF67" t="s" s="0">
        <v>82</v>
      </c>
      <c r="AG67" t="s" s="0">
        <v>1930</v>
      </c>
      <c r="AH67" t="s" s="0">
        <v>1931</v>
      </c>
      <c r="AI67" t="s" s="0">
        <v>1932</v>
      </c>
      <c r="AJ67" t="s" s="0">
        <v>1933</v>
      </c>
      <c r="AK67" t="s" s="0">
        <v>82</v>
      </c>
      <c r="AL67" t="s" s="0">
        <v>632</v>
      </c>
      <c r="AM67" t="s" s="0">
        <v>319</v>
      </c>
      <c r="AN67" t="s" s="0">
        <v>319</v>
      </c>
      <c r="AO67" t="s" s="0">
        <v>78</v>
      </c>
      <c r="AP67" t="s" s="0">
        <v>77</v>
      </c>
      <c r="AQ67" t="s" s="0">
        <v>174</v>
      </c>
      <c r="AR67" t="s" s="0">
        <v>175</v>
      </c>
      <c r="AS67" t="s" s="0">
        <v>176</v>
      </c>
      <c r="AT67" t="s" s="0">
        <v>1934</v>
      </c>
      <c r="AU67" t="s" s="0">
        <v>1935</v>
      </c>
      <c r="AV67" t="s" s="0">
        <v>82</v>
      </c>
      <c r="AW67" t="s" s="0">
        <v>1936</v>
      </c>
      <c r="AX67" t="s" s="0">
        <v>1937</v>
      </c>
      <c r="AY67" t="s" s="0">
        <v>1398</v>
      </c>
      <c r="AZ67" t="s" s="0">
        <v>147</v>
      </c>
      <c r="BA67" t="s" s="0">
        <v>1780</v>
      </c>
      <c r="BB67" t="s" s="0">
        <v>102</v>
      </c>
      <c r="BC67" t="s" s="0">
        <v>82</v>
      </c>
      <c r="BD67" t="s" s="0">
        <v>82</v>
      </c>
      <c r="BE67" t="s" s="0">
        <v>82</v>
      </c>
      <c r="BF67" t="s" s="0">
        <v>82</v>
      </c>
      <c r="BG67" t="s" s="0">
        <v>82</v>
      </c>
      <c r="BH67" t="s" s="0">
        <v>82</v>
      </c>
      <c r="BI67" t="s" s="0">
        <v>1938</v>
      </c>
      <c r="BJ67" t="s" s="0">
        <v>1939</v>
      </c>
      <c r="BK67" t="s" s="131">
        <f>HYPERLINK("http://dx.doi.org/10.1111/codi.70097","http://dx.doi.org/10.1111/codi.70097")</f>
        <v>1940</v>
      </c>
      <c r="BL67" t="s" s="0">
        <v>82</v>
      </c>
      <c r="BM67" t="s" s="0">
        <v>82</v>
      </c>
      <c r="BN67" t="s" s="0">
        <v>319</v>
      </c>
      <c r="BO67" t="s" s="0">
        <v>978</v>
      </c>
      <c r="BP67" t="s" s="0">
        <v>978</v>
      </c>
      <c r="BQ67" t="s" s="0">
        <v>1941</v>
      </c>
      <c r="BR67" t="s" s="0">
        <v>1942</v>
      </c>
      <c r="BS67" t="s" s="0">
        <v>1943</v>
      </c>
      <c r="BT67" t="s" s="132">
        <f>HYPERLINK("https://www.webofscience.com/wos/woscc/full-record/WOS:001473363400001","View Record in Web of Science")</f>
        <v>120</v>
      </c>
      <c r="BU67" t="s" s="0">
        <v>256</v>
      </c>
      <c r="BV67" t="s" s="0">
        <v>82</v>
      </c>
      <c r="BW67" t="s" s="0">
        <v>82</v>
      </c>
      <c r="BX67" t="s" s="0">
        <v>122</v>
      </c>
    </row>
    <row r="68">
      <c r="A68" t="s" s="0">
        <v>78</v>
      </c>
      <c r="B68" t="s" s="0">
        <v>78</v>
      </c>
      <c r="C68" t="s" s="0">
        <v>77</v>
      </c>
      <c r="D68" t="s" s="0">
        <v>78</v>
      </c>
      <c r="E68" t="s" s="0">
        <v>1944</v>
      </c>
      <c r="F68" t="s" s="0">
        <v>1945</v>
      </c>
      <c r="G68" t="s" s="0">
        <v>1946</v>
      </c>
      <c r="H68" t="s" s="0">
        <v>82</v>
      </c>
      <c r="I68" t="s" s="0">
        <v>297</v>
      </c>
      <c r="J68" t="s" s="0">
        <v>1947</v>
      </c>
      <c r="K68" t="s" s="0">
        <v>1948</v>
      </c>
      <c r="L68" t="s" s="0">
        <v>82</v>
      </c>
      <c r="M68" t="s" s="0">
        <v>82</v>
      </c>
      <c r="N68" t="s" s="0">
        <v>82</v>
      </c>
      <c r="O68" t="s" s="0">
        <v>1949</v>
      </c>
      <c r="P68" t="s" s="0">
        <v>1950</v>
      </c>
      <c r="Q68" t="s" s="0">
        <v>91</v>
      </c>
      <c r="R68" t="s" s="0">
        <v>82</v>
      </c>
      <c r="S68" t="s" s="0">
        <v>82</v>
      </c>
      <c r="T68" t="s" s="0">
        <v>82</v>
      </c>
      <c r="U68" t="s" s="0">
        <v>82</v>
      </c>
      <c r="V68" t="s" s="0">
        <v>1951</v>
      </c>
      <c r="W68" t="s" s="0">
        <v>1887</v>
      </c>
      <c r="X68" t="s" s="0">
        <v>82</v>
      </c>
      <c r="Y68" t="s" s="0">
        <v>82</v>
      </c>
      <c r="Z68" t="s" s="0">
        <v>94</v>
      </c>
      <c r="AA68" t="s" s="0">
        <v>95</v>
      </c>
      <c r="AB68" t="s" s="0">
        <v>82</v>
      </c>
      <c r="AC68" t="s" s="0">
        <v>82</v>
      </c>
      <c r="AD68" t="s" s="0">
        <v>82</v>
      </c>
      <c r="AE68" t="s" s="0">
        <v>82</v>
      </c>
      <c r="AF68" t="s" s="0">
        <v>82</v>
      </c>
      <c r="AG68" t="s" s="0">
        <v>1952</v>
      </c>
      <c r="AH68" t="s" s="0">
        <v>1953</v>
      </c>
      <c r="AI68" t="s" s="0">
        <v>82</v>
      </c>
      <c r="AJ68" t="s" s="0">
        <v>1954</v>
      </c>
      <c r="AK68" t="s" s="0">
        <v>82</v>
      </c>
      <c r="AL68" t="s" s="0">
        <v>829</v>
      </c>
      <c r="AM68" t="s" s="0">
        <v>138</v>
      </c>
      <c r="AN68" t="s" s="0">
        <v>319</v>
      </c>
      <c r="AO68" t="s" s="0">
        <v>78</v>
      </c>
      <c r="AP68" t="s" s="0">
        <v>447</v>
      </c>
      <c r="AQ68" t="s" s="0">
        <v>491</v>
      </c>
      <c r="AR68" t="s" s="0">
        <v>492</v>
      </c>
      <c r="AS68" t="s" s="0">
        <v>493</v>
      </c>
      <c r="AT68" t="s" s="0">
        <v>82</v>
      </c>
      <c r="AU68" t="s" s="0">
        <v>1892</v>
      </c>
      <c r="AV68" t="s" s="0">
        <v>82</v>
      </c>
      <c r="AW68" t="s" s="0">
        <v>1887</v>
      </c>
      <c r="AX68" t="s" s="0">
        <v>1893</v>
      </c>
      <c r="AY68" t="s" s="0">
        <v>1955</v>
      </c>
      <c r="AZ68" t="s" s="0">
        <v>110</v>
      </c>
      <c r="BA68" t="s" s="0">
        <v>138</v>
      </c>
      <c r="BB68" t="s" s="0">
        <v>101</v>
      </c>
      <c r="BC68" t="s" s="0">
        <v>82</v>
      </c>
      <c r="BD68" t="s" s="0">
        <v>82</v>
      </c>
      <c r="BE68" t="s" s="0">
        <v>82</v>
      </c>
      <c r="BF68" t="s" s="0">
        <v>82</v>
      </c>
      <c r="BG68" t="s" s="0">
        <v>82</v>
      </c>
      <c r="BH68" t="s" s="0">
        <v>82</v>
      </c>
      <c r="BI68" t="s" s="0">
        <v>1956</v>
      </c>
      <c r="BJ68" t="s" s="0">
        <v>1957</v>
      </c>
      <c r="BK68" t="s" s="133">
        <f>HYPERLINK("http://dx.doi.org/10.1093/jamiaopen/ooae091","http://dx.doi.org/10.1093/jamiaopen/ooae091")</f>
        <v>1958</v>
      </c>
      <c r="BL68" t="s" s="0">
        <v>82</v>
      </c>
      <c r="BM68" t="s" s="0">
        <v>82</v>
      </c>
      <c r="BN68" t="s" s="0">
        <v>136</v>
      </c>
      <c r="BO68" t="s" s="0">
        <v>785</v>
      </c>
      <c r="BP68" t="s" s="0">
        <v>785</v>
      </c>
      <c r="BQ68" t="s" s="0">
        <v>1959</v>
      </c>
      <c r="BR68" t="s" s="0">
        <v>1960</v>
      </c>
      <c r="BS68" t="s" s="0">
        <v>1961</v>
      </c>
      <c r="BT68" t="s" s="134">
        <f>HYPERLINK("https://www.webofscience.com/wos/woscc/full-record/WOS:001314847000001","View Record in Web of Science")</f>
        <v>120</v>
      </c>
      <c r="BU68" t="s" s="0">
        <v>121</v>
      </c>
      <c r="BV68" t="s" s="0">
        <v>82</v>
      </c>
      <c r="BW68" t="s" s="0">
        <v>82</v>
      </c>
      <c r="BX68" t="s" s="0">
        <v>122</v>
      </c>
    </row>
    <row r="69">
      <c r="A69" t="s" s="0">
        <v>319</v>
      </c>
      <c r="B69" t="s" s="0">
        <v>78</v>
      </c>
      <c r="C69" t="s" s="0">
        <v>685</v>
      </c>
      <c r="D69" t="s" s="0">
        <v>78</v>
      </c>
      <c r="E69" t="s" s="0">
        <v>1962</v>
      </c>
      <c r="F69" t="s" s="0">
        <v>1963</v>
      </c>
      <c r="G69" t="s" s="0">
        <v>1964</v>
      </c>
      <c r="H69" t="s" s="0">
        <v>82</v>
      </c>
      <c r="I69" t="s" s="0">
        <v>83</v>
      </c>
      <c r="J69" t="s" s="0">
        <v>1965</v>
      </c>
      <c r="K69" t="s" s="0">
        <v>1966</v>
      </c>
      <c r="L69" t="s" s="0">
        <v>1967</v>
      </c>
      <c r="M69" t="s" s="0">
        <v>1968</v>
      </c>
      <c r="N69" t="s" s="0">
        <v>1969</v>
      </c>
      <c r="O69" t="s" s="0">
        <v>1970</v>
      </c>
      <c r="P69" t="s" s="0">
        <v>1971</v>
      </c>
      <c r="Q69" t="s" s="0">
        <v>91</v>
      </c>
      <c r="R69" t="s" s="0">
        <v>82</v>
      </c>
      <c r="S69" t="s" s="0">
        <v>82</v>
      </c>
      <c r="T69" t="s" s="0">
        <v>82</v>
      </c>
      <c r="U69" t="s" s="0">
        <v>82</v>
      </c>
      <c r="V69" t="s" s="0">
        <v>1972</v>
      </c>
      <c r="W69" t="s" s="0">
        <v>459</v>
      </c>
      <c r="X69" t="s" s="0">
        <v>82</v>
      </c>
      <c r="Y69" t="s" s="0">
        <v>82</v>
      </c>
      <c r="Z69" t="s" s="0">
        <v>94</v>
      </c>
      <c r="AA69" t="s" s="0">
        <v>95</v>
      </c>
      <c r="AB69" t="s" s="0">
        <v>82</v>
      </c>
      <c r="AC69" t="s" s="0">
        <v>82</v>
      </c>
      <c r="AD69" t="s" s="0">
        <v>82</v>
      </c>
      <c r="AE69" t="s" s="0">
        <v>82</v>
      </c>
      <c r="AF69" t="s" s="0">
        <v>82</v>
      </c>
      <c r="AG69" t="s" s="0">
        <v>82</v>
      </c>
      <c r="AH69" t="s" s="0">
        <v>1973</v>
      </c>
      <c r="AI69" t="s" s="0">
        <v>1974</v>
      </c>
      <c r="AJ69" t="s" s="0">
        <v>1975</v>
      </c>
      <c r="AK69" t="s" s="0">
        <v>82</v>
      </c>
      <c r="AL69" t="s" s="0">
        <v>1161</v>
      </c>
      <c r="AM69" t="s" s="0">
        <v>1140</v>
      </c>
      <c r="AN69" t="s" s="0">
        <v>1976</v>
      </c>
      <c r="AO69" t="s" s="0">
        <v>77</v>
      </c>
      <c r="AP69" t="s" s="0">
        <v>137</v>
      </c>
      <c r="AQ69" t="s" s="0">
        <v>465</v>
      </c>
      <c r="AR69" t="s" s="0">
        <v>466</v>
      </c>
      <c r="AS69" t="s" s="0">
        <v>467</v>
      </c>
      <c r="AT69" t="s" s="0">
        <v>468</v>
      </c>
      <c r="AU69" t="s" s="0">
        <v>82</v>
      </c>
      <c r="AV69" t="s" s="0">
        <v>82</v>
      </c>
      <c r="AW69" t="s" s="0">
        <v>469</v>
      </c>
      <c r="AX69" t="s" s="0">
        <v>470</v>
      </c>
      <c r="AY69" t="s" s="0">
        <v>1977</v>
      </c>
      <c r="AZ69" t="s" s="0">
        <v>1035</v>
      </c>
      <c r="BA69" t="s" s="0">
        <v>101</v>
      </c>
      <c r="BB69" t="s" s="0">
        <v>136</v>
      </c>
      <c r="BC69" t="s" s="0">
        <v>82</v>
      </c>
      <c r="BD69" t="s" s="0">
        <v>82</v>
      </c>
      <c r="BE69" t="s" s="0">
        <v>82</v>
      </c>
      <c r="BF69" t="s" s="0">
        <v>82</v>
      </c>
      <c r="BG69" t="s" s="0">
        <v>82</v>
      </c>
      <c r="BH69" t="s" s="0">
        <v>82</v>
      </c>
      <c r="BI69" t="s" s="0">
        <v>1978</v>
      </c>
      <c r="BJ69" t="s" s="0">
        <v>1979</v>
      </c>
      <c r="BK69" t="s" s="135">
        <f>HYPERLINK("http://dx.doi.org/10.1001/jamanetworkopen.2020.12892","http://dx.doi.org/10.1001/jamanetworkopen.2020.12892")</f>
        <v>1980</v>
      </c>
      <c r="BL69" t="s" s="0">
        <v>82</v>
      </c>
      <c r="BM69" t="s" s="0">
        <v>82</v>
      </c>
      <c r="BN69" t="s" s="0">
        <v>137</v>
      </c>
      <c r="BO69" t="s" s="0">
        <v>354</v>
      </c>
      <c r="BP69" t="s" s="0">
        <v>355</v>
      </c>
      <c r="BQ69" t="s" s="0">
        <v>1981</v>
      </c>
      <c r="BR69" t="s" s="0">
        <v>1982</v>
      </c>
      <c r="BS69" t="s" s="0">
        <v>1983</v>
      </c>
      <c r="BT69" t="s" s="136">
        <f>HYPERLINK("https://www.webofscience.com/wos/woscc/full-record/WOS:000562842500003","View Record in Web of Science")</f>
        <v>120</v>
      </c>
      <c r="BU69" t="s" s="0">
        <v>1537</v>
      </c>
      <c r="BV69" t="s" s="0">
        <v>82</v>
      </c>
      <c r="BW69" t="s" s="0">
        <v>82</v>
      </c>
      <c r="BX69" t="s" s="0">
        <v>122</v>
      </c>
    </row>
    <row r="70">
      <c r="A70" t="s" s="0">
        <v>78</v>
      </c>
      <c r="B70" t="s" s="0">
        <v>78</v>
      </c>
      <c r="C70" t="s" s="0">
        <v>319</v>
      </c>
      <c r="D70" t="s" s="0">
        <v>78</v>
      </c>
      <c r="E70" t="s" s="0">
        <v>1984</v>
      </c>
      <c r="F70" t="s" s="0">
        <v>1985</v>
      </c>
      <c r="G70" t="s" s="0">
        <v>1986</v>
      </c>
      <c r="H70" t="s" s="0">
        <v>82</v>
      </c>
      <c r="I70" t="s" s="0">
        <v>83</v>
      </c>
      <c r="J70" t="s" s="0">
        <v>1987</v>
      </c>
      <c r="K70" t="s" s="0">
        <v>1988</v>
      </c>
      <c r="L70" t="s" s="0">
        <v>82</v>
      </c>
      <c r="M70" t="s" s="0">
        <v>82</v>
      </c>
      <c r="N70" t="s" s="0">
        <v>82</v>
      </c>
      <c r="O70" t="s" s="0">
        <v>1989</v>
      </c>
      <c r="P70" t="s" s="0">
        <v>1990</v>
      </c>
      <c r="Q70" t="s" s="0">
        <v>91</v>
      </c>
      <c r="R70" t="s" s="0">
        <v>82</v>
      </c>
      <c r="S70" t="s" s="0">
        <v>82</v>
      </c>
      <c r="T70" t="s" s="0">
        <v>82</v>
      </c>
      <c r="U70" t="s" s="0">
        <v>82</v>
      </c>
      <c r="V70" t="s" s="0">
        <v>1991</v>
      </c>
      <c r="W70" t="s" s="0">
        <v>1992</v>
      </c>
      <c r="X70" t="s" s="0">
        <v>82</v>
      </c>
      <c r="Y70" t="s" s="0">
        <v>82</v>
      </c>
      <c r="Z70" t="s" s="0">
        <v>94</v>
      </c>
      <c r="AA70" t="s" s="0">
        <v>95</v>
      </c>
      <c r="AB70" t="s" s="0">
        <v>82</v>
      </c>
      <c r="AC70" t="s" s="0">
        <v>82</v>
      </c>
      <c r="AD70" t="s" s="0">
        <v>82</v>
      </c>
      <c r="AE70" t="s" s="0">
        <v>82</v>
      </c>
      <c r="AF70" t="s" s="0">
        <v>82</v>
      </c>
      <c r="AG70" t="s" s="0">
        <v>1993</v>
      </c>
      <c r="AH70" t="s" s="0">
        <v>82</v>
      </c>
      <c r="AI70" t="s" s="0">
        <v>1994</v>
      </c>
      <c r="AJ70" t="s" s="0">
        <v>1995</v>
      </c>
      <c r="AK70" t="s" s="0">
        <v>82</v>
      </c>
      <c r="AL70" t="s" s="0">
        <v>101</v>
      </c>
      <c r="AM70" t="s" s="0">
        <v>974</v>
      </c>
      <c r="AN70" t="s" s="0">
        <v>464</v>
      </c>
      <c r="AO70" t="s" s="0">
        <v>78</v>
      </c>
      <c r="AP70" t="s" s="0">
        <v>447</v>
      </c>
      <c r="AQ70" t="s" s="0">
        <v>1996</v>
      </c>
      <c r="AR70" t="s" s="0">
        <v>1997</v>
      </c>
      <c r="AS70" t="s" s="0">
        <v>1998</v>
      </c>
      <c r="AT70" t="s" s="0">
        <v>1999</v>
      </c>
      <c r="AU70" t="s" s="0">
        <v>2000</v>
      </c>
      <c r="AV70" t="s" s="0">
        <v>82</v>
      </c>
      <c r="AW70" t="s" s="0">
        <v>2001</v>
      </c>
      <c r="AX70" t="s" s="0">
        <v>2002</v>
      </c>
      <c r="AY70" t="s" s="0">
        <v>1457</v>
      </c>
      <c r="AZ70" t="s" s="0">
        <v>110</v>
      </c>
      <c r="BA70" t="s" s="0">
        <v>2003</v>
      </c>
      <c r="BB70" t="s" s="0">
        <v>221</v>
      </c>
      <c r="BC70" t="s" s="0">
        <v>82</v>
      </c>
      <c r="BD70" t="s" s="0">
        <v>82</v>
      </c>
      <c r="BE70" t="s" s="0">
        <v>82</v>
      </c>
      <c r="BF70" t="s" s="0">
        <v>82</v>
      </c>
      <c r="BG70" t="s" s="0">
        <v>82</v>
      </c>
      <c r="BH70" t="s" s="0">
        <v>82</v>
      </c>
      <c r="BI70" t="s" s="0">
        <v>2004</v>
      </c>
      <c r="BJ70" t="s" s="0">
        <v>2005</v>
      </c>
      <c r="BK70" t="s" s="137">
        <f>HYPERLINK("http://dx.doi.org/10.2214/AJR.24.31639","http://dx.doi.org/10.2214/AJR.24.31639")</f>
        <v>2006</v>
      </c>
      <c r="BL70" t="s" s="0">
        <v>82</v>
      </c>
      <c r="BM70" t="s" s="0">
        <v>82</v>
      </c>
      <c r="BN70" t="s" s="0">
        <v>349</v>
      </c>
      <c r="BO70" t="s" s="0">
        <v>414</v>
      </c>
      <c r="BP70" t="s" s="0">
        <v>414</v>
      </c>
      <c r="BQ70" t="s" s="0">
        <v>2007</v>
      </c>
      <c r="BR70" t="s" s="0">
        <v>2008</v>
      </c>
      <c r="BS70" t="s" s="0">
        <v>2009</v>
      </c>
      <c r="BT70" t="s" s="138">
        <f>HYPERLINK("https://www.webofscience.com/wos/woscc/full-record/WOS:001405166700018","View Record in Web of Science")</f>
        <v>120</v>
      </c>
      <c r="BU70" t="s" s="0">
        <v>82</v>
      </c>
      <c r="BV70" t="s" s="0">
        <v>82</v>
      </c>
      <c r="BW70" t="s" s="0">
        <v>82</v>
      </c>
      <c r="BX70" t="s" s="0">
        <v>122</v>
      </c>
    </row>
    <row r="71">
      <c r="A71" t="s" s="0">
        <v>78</v>
      </c>
      <c r="B71" t="s" s="0">
        <v>78</v>
      </c>
      <c r="C71" t="s" s="0">
        <v>77</v>
      </c>
      <c r="D71" t="s" s="0">
        <v>77</v>
      </c>
      <c r="E71" t="s" s="0">
        <v>2010</v>
      </c>
      <c r="F71" t="s" s="0">
        <v>2011</v>
      </c>
      <c r="G71" t="s" s="0">
        <v>2012</v>
      </c>
      <c r="H71" t="s" s="0">
        <v>82</v>
      </c>
      <c r="I71" t="s" s="0">
        <v>83</v>
      </c>
      <c r="J71" t="s" s="0">
        <v>2013</v>
      </c>
      <c r="K71" t="s" s="0">
        <v>2014</v>
      </c>
      <c r="L71" t="s" s="0">
        <v>82</v>
      </c>
      <c r="M71" t="s" s="0">
        <v>82</v>
      </c>
      <c r="N71" t="s" s="0">
        <v>82</v>
      </c>
      <c r="O71" t="s" s="0">
        <v>2015</v>
      </c>
      <c r="P71" t="s" s="0">
        <v>2016</v>
      </c>
      <c r="Q71" t="s" s="0">
        <v>91</v>
      </c>
      <c r="R71" t="s" s="0">
        <v>82</v>
      </c>
      <c r="S71" t="s" s="0">
        <v>82</v>
      </c>
      <c r="T71" t="s" s="0">
        <v>82</v>
      </c>
      <c r="U71" t="s" s="0">
        <v>82</v>
      </c>
      <c r="V71" t="s" s="0">
        <v>2017</v>
      </c>
      <c r="W71" t="s" s="0">
        <v>2018</v>
      </c>
      <c r="X71" t="s" s="0">
        <v>82</v>
      </c>
      <c r="Y71" t="s" s="0">
        <v>82</v>
      </c>
      <c r="Z71" t="s" s="0">
        <v>94</v>
      </c>
      <c r="AA71" t="s" s="0">
        <v>95</v>
      </c>
      <c r="AB71" t="s" s="0">
        <v>82</v>
      </c>
      <c r="AC71" t="s" s="0">
        <v>82</v>
      </c>
      <c r="AD71" t="s" s="0">
        <v>82</v>
      </c>
      <c r="AE71" t="s" s="0">
        <v>82</v>
      </c>
      <c r="AF71" t="s" s="0">
        <v>82</v>
      </c>
      <c r="AG71" t="s" s="0">
        <v>2019</v>
      </c>
      <c r="AH71" t="s" s="0">
        <v>2020</v>
      </c>
      <c r="AI71" t="s" s="0">
        <v>82</v>
      </c>
      <c r="AJ71" t="s" s="0">
        <v>82</v>
      </c>
      <c r="AK71" t="s" s="0">
        <v>82</v>
      </c>
      <c r="AL71" t="s" s="0">
        <v>353</v>
      </c>
      <c r="AM71" t="s" s="0">
        <v>101</v>
      </c>
      <c r="AN71" t="s" s="0">
        <v>138</v>
      </c>
      <c r="AO71" t="s" s="0">
        <v>78</v>
      </c>
      <c r="AP71" t="s" s="0">
        <v>221</v>
      </c>
      <c r="AQ71" t="s" s="0">
        <v>491</v>
      </c>
      <c r="AR71" t="s" s="0">
        <v>492</v>
      </c>
      <c r="AS71" t="s" s="0">
        <v>493</v>
      </c>
      <c r="AT71" t="s" s="0">
        <v>2021</v>
      </c>
      <c r="AU71" t="s" s="0">
        <v>2022</v>
      </c>
      <c r="AV71" t="s" s="0">
        <v>82</v>
      </c>
      <c r="AW71" t="s" s="0">
        <v>2023</v>
      </c>
      <c r="AX71" t="s" s="0">
        <v>2024</v>
      </c>
      <c r="AY71" t="s" s="0">
        <v>2025</v>
      </c>
      <c r="AZ71" t="s" s="0">
        <v>408</v>
      </c>
      <c r="BA71" t="s" s="0">
        <v>830</v>
      </c>
      <c r="BB71" t="s" s="0">
        <v>375</v>
      </c>
      <c r="BC71" t="s" s="0">
        <v>82</v>
      </c>
      <c r="BD71" t="s" s="0">
        <v>82</v>
      </c>
      <c r="BE71" t="s" s="0">
        <v>82</v>
      </c>
      <c r="BF71" t="s" s="0">
        <v>82</v>
      </c>
      <c r="BG71" t="s" s="0">
        <v>2026</v>
      </c>
      <c r="BH71" t="s" s="0">
        <v>2027</v>
      </c>
      <c r="BI71" t="s" s="0">
        <v>82</v>
      </c>
      <c r="BJ71" t="s" s="0">
        <v>2028</v>
      </c>
      <c r="BK71" t="s" s="139">
        <f>HYPERLINK("http://dx.doi.org/10.1093/labmed/lmac049","http://dx.doi.org/10.1093/labmed/lmac049")</f>
        <v>2029</v>
      </c>
      <c r="BL71" t="s" s="0">
        <v>82</v>
      </c>
      <c r="BM71" t="s" s="0">
        <v>2030</v>
      </c>
      <c r="BN71" t="s" s="0">
        <v>138</v>
      </c>
      <c r="BO71" t="s" s="0">
        <v>2031</v>
      </c>
      <c r="BP71" t="s" s="0">
        <v>2031</v>
      </c>
      <c r="BQ71" t="s" s="0">
        <v>2032</v>
      </c>
      <c r="BR71" t="s" s="0">
        <v>2033</v>
      </c>
      <c r="BS71" t="s" s="0">
        <v>2034</v>
      </c>
      <c r="BT71" t="s" s="140">
        <f>HYPERLINK("https://www.webofscience.com/wos/woscc/full-record/WOS:000817224200001","View Record in Web of Science")</f>
        <v>120</v>
      </c>
      <c r="BU71" t="s" s="0">
        <v>82</v>
      </c>
      <c r="BV71" t="s" s="0">
        <v>82</v>
      </c>
      <c r="BW71" t="s" s="0">
        <v>82</v>
      </c>
      <c r="BX71" t="s" s="0">
        <v>122</v>
      </c>
    </row>
    <row r="72">
      <c r="A72" t="s" s="0">
        <v>101</v>
      </c>
      <c r="B72" t="s" s="0">
        <v>78</v>
      </c>
      <c r="C72" t="s" s="0">
        <v>102</v>
      </c>
      <c r="D72" t="s" s="0">
        <v>78</v>
      </c>
      <c r="E72" t="s" s="0">
        <v>2035</v>
      </c>
      <c r="F72" t="s" s="0">
        <v>2036</v>
      </c>
      <c r="G72" t="s" s="0">
        <v>2037</v>
      </c>
      <c r="H72" t="s" s="0">
        <v>82</v>
      </c>
      <c r="I72" t="s" s="0">
        <v>83</v>
      </c>
      <c r="J72" t="s" s="0">
        <v>2038</v>
      </c>
      <c r="K72" t="s" s="0">
        <v>2039</v>
      </c>
      <c r="L72" t="s" s="0">
        <v>2040</v>
      </c>
      <c r="M72" t="s" s="0">
        <v>2041</v>
      </c>
      <c r="N72" t="s" s="0">
        <v>2042</v>
      </c>
      <c r="O72" t="s" s="0">
        <v>2043</v>
      </c>
      <c r="P72" t="s" s="0">
        <v>2044</v>
      </c>
      <c r="Q72" t="s" s="0">
        <v>91</v>
      </c>
      <c r="R72" t="s" s="0">
        <v>82</v>
      </c>
      <c r="S72" t="s" s="0">
        <v>82</v>
      </c>
      <c r="T72" t="s" s="0">
        <v>82</v>
      </c>
      <c r="U72" t="s" s="0">
        <v>82</v>
      </c>
      <c r="V72" t="s" s="0">
        <v>2045</v>
      </c>
      <c r="W72" t="s" s="0">
        <v>2046</v>
      </c>
      <c r="X72" t="s" s="0">
        <v>82</v>
      </c>
      <c r="Y72" t="s" s="0">
        <v>82</v>
      </c>
      <c r="Z72" t="s" s="0">
        <v>94</v>
      </c>
      <c r="AA72" t="s" s="0">
        <v>95</v>
      </c>
      <c r="AB72" t="s" s="0">
        <v>82</v>
      </c>
      <c r="AC72" t="s" s="0">
        <v>82</v>
      </c>
      <c r="AD72" t="s" s="0">
        <v>82</v>
      </c>
      <c r="AE72" t="s" s="0">
        <v>82</v>
      </c>
      <c r="AF72" t="s" s="0">
        <v>82</v>
      </c>
      <c r="AG72" t="s" s="0">
        <v>2047</v>
      </c>
      <c r="AH72" t="s" s="0">
        <v>2048</v>
      </c>
      <c r="AI72" t="s" s="0">
        <v>2049</v>
      </c>
      <c r="AJ72" t="s" s="0">
        <v>2050</v>
      </c>
      <c r="AK72" t="s" s="0">
        <v>82</v>
      </c>
      <c r="AL72" t="s" s="0">
        <v>353</v>
      </c>
      <c r="AM72" t="s" s="0">
        <v>111</v>
      </c>
      <c r="AN72" t="s" s="0">
        <v>548</v>
      </c>
      <c r="AO72" t="s" s="0">
        <v>78</v>
      </c>
      <c r="AP72" t="s" s="0">
        <v>154</v>
      </c>
      <c r="AQ72" t="s" s="0">
        <v>2051</v>
      </c>
      <c r="AR72" t="s" s="0">
        <v>203</v>
      </c>
      <c r="AS72" t="s" s="0">
        <v>2052</v>
      </c>
      <c r="AT72" t="s" s="0">
        <v>2053</v>
      </c>
      <c r="AU72" t="s" s="0">
        <v>2054</v>
      </c>
      <c r="AV72" t="s" s="0">
        <v>82</v>
      </c>
      <c r="AW72" t="s" s="0">
        <v>2055</v>
      </c>
      <c r="AX72" t="s" s="0">
        <v>2056</v>
      </c>
      <c r="AY72" t="s" s="0">
        <v>1482</v>
      </c>
      <c r="AZ72" t="s" s="0">
        <v>408</v>
      </c>
      <c r="BA72" t="s" s="0">
        <v>548</v>
      </c>
      <c r="BB72" t="s" s="0">
        <v>136</v>
      </c>
      <c r="BC72" t="s" s="0">
        <v>2057</v>
      </c>
      <c r="BD72" t="s" s="0">
        <v>82</v>
      </c>
      <c r="BE72" t="s" s="0">
        <v>82</v>
      </c>
      <c r="BF72" t="s" s="0">
        <v>82</v>
      </c>
      <c r="BG72" t="s" s="0">
        <v>2058</v>
      </c>
      <c r="BH72" t="s" s="0">
        <v>2059</v>
      </c>
      <c r="BI72" t="s" s="0">
        <v>82</v>
      </c>
      <c r="BJ72" t="s" s="0">
        <v>2060</v>
      </c>
      <c r="BK72" t="s" s="141">
        <f>HYPERLINK("http://dx.doi.org/10.1007/s00586-022-07245-4","http://dx.doi.org/10.1007/s00586-022-07245-4")</f>
        <v>2061</v>
      </c>
      <c r="BL72" t="s" s="0">
        <v>82</v>
      </c>
      <c r="BM72" t="s" s="0">
        <v>407</v>
      </c>
      <c r="BN72" t="s" s="0">
        <v>245</v>
      </c>
      <c r="BO72" t="s" s="0">
        <v>2062</v>
      </c>
      <c r="BP72" t="s" s="0">
        <v>2063</v>
      </c>
      <c r="BQ72" t="s" s="0">
        <v>2064</v>
      </c>
      <c r="BR72" t="s" s="0">
        <v>2065</v>
      </c>
      <c r="BS72" t="s" s="0">
        <v>2066</v>
      </c>
      <c r="BT72" t="s" s="142">
        <f>HYPERLINK("https://www.webofscience.com/wos/woscc/full-record/WOS:000800814300003","View Record in Web of Science")</f>
        <v>120</v>
      </c>
      <c r="BU72" t="s" s="0">
        <v>82</v>
      </c>
      <c r="BV72" t="s" s="0">
        <v>82</v>
      </c>
      <c r="BW72" t="s" s="0">
        <v>82</v>
      </c>
      <c r="BX72" t="s" s="0">
        <v>122</v>
      </c>
    </row>
    <row r="73">
      <c r="A73" t="s" s="0">
        <v>78</v>
      </c>
      <c r="B73" t="s" s="0">
        <v>78</v>
      </c>
      <c r="C73" t="s" s="0">
        <v>375</v>
      </c>
      <c r="D73" t="s" s="0">
        <v>77</v>
      </c>
      <c r="E73" t="s" s="0">
        <v>2067</v>
      </c>
      <c r="F73" t="s" s="0">
        <v>2068</v>
      </c>
      <c r="G73" t="s" s="0">
        <v>2069</v>
      </c>
      <c r="H73" t="s" s="0">
        <v>82</v>
      </c>
      <c r="I73" t="s" s="0">
        <v>83</v>
      </c>
      <c r="J73" t="s" s="0">
        <v>2070</v>
      </c>
      <c r="K73" t="s" s="0">
        <v>2071</v>
      </c>
      <c r="L73" t="s" s="0">
        <v>82</v>
      </c>
      <c r="M73" t="s" s="0">
        <v>82</v>
      </c>
      <c r="N73" t="s" s="0">
        <v>82</v>
      </c>
      <c r="O73" t="s" s="0">
        <v>2072</v>
      </c>
      <c r="P73" t="s" s="0">
        <v>2073</v>
      </c>
      <c r="Q73" t="s" s="0">
        <v>91</v>
      </c>
      <c r="R73" t="s" s="0">
        <v>82</v>
      </c>
      <c r="S73" t="s" s="0">
        <v>82</v>
      </c>
      <c r="T73" t="s" s="0">
        <v>82</v>
      </c>
      <c r="U73" t="s" s="0">
        <v>82</v>
      </c>
      <c r="V73" t="s" s="0">
        <v>2074</v>
      </c>
      <c r="W73" t="s" s="0">
        <v>2075</v>
      </c>
      <c r="X73" t="s" s="0">
        <v>82</v>
      </c>
      <c r="Y73" t="s" s="0">
        <v>82</v>
      </c>
      <c r="Z73" t="s" s="0">
        <v>94</v>
      </c>
      <c r="AA73" t="s" s="0">
        <v>95</v>
      </c>
      <c r="AB73" t="s" s="0">
        <v>82</v>
      </c>
      <c r="AC73" t="s" s="0">
        <v>82</v>
      </c>
      <c r="AD73" t="s" s="0">
        <v>82</v>
      </c>
      <c r="AE73" t="s" s="0">
        <v>82</v>
      </c>
      <c r="AF73" t="s" s="0">
        <v>82</v>
      </c>
      <c r="AG73" t="s" s="0">
        <v>2076</v>
      </c>
      <c r="AH73" t="s" s="0">
        <v>2077</v>
      </c>
      <c r="AI73" t="s" s="0">
        <v>2078</v>
      </c>
      <c r="AJ73" t="s" s="0">
        <v>2079</v>
      </c>
      <c r="AK73" t="s" s="0">
        <v>82</v>
      </c>
      <c r="AL73" t="s" s="0">
        <v>831</v>
      </c>
      <c r="AM73" t="s" s="0">
        <v>2080</v>
      </c>
      <c r="AN73" t="s" s="0">
        <v>2081</v>
      </c>
      <c r="AO73" t="s" s="0">
        <v>78</v>
      </c>
      <c r="AP73" t="s" s="0">
        <v>323</v>
      </c>
      <c r="AQ73" t="s" s="0">
        <v>2082</v>
      </c>
      <c r="AR73" t="s" s="0">
        <v>2083</v>
      </c>
      <c r="AS73" t="s" s="0">
        <v>2084</v>
      </c>
      <c r="AT73" t="s" s="0">
        <v>2085</v>
      </c>
      <c r="AU73" t="s" s="0">
        <v>82</v>
      </c>
      <c r="AV73" t="s" s="0">
        <v>82</v>
      </c>
      <c r="AW73" t="s" s="0">
        <v>2086</v>
      </c>
      <c r="AX73" t="s" s="0">
        <v>2087</v>
      </c>
      <c r="AY73" t="s" s="0">
        <v>413</v>
      </c>
      <c r="AZ73" t="s" s="0">
        <v>408</v>
      </c>
      <c r="BA73" t="s" s="0">
        <v>1286</v>
      </c>
      <c r="BB73" t="s" s="0">
        <v>101</v>
      </c>
      <c r="BC73" t="s" s="0">
        <v>82</v>
      </c>
      <c r="BD73" t="s" s="0">
        <v>82</v>
      </c>
      <c r="BE73" t="s" s="0">
        <v>82</v>
      </c>
      <c r="BF73" t="s" s="0">
        <v>82</v>
      </c>
      <c r="BG73" t="s" s="0">
        <v>2088</v>
      </c>
      <c r="BH73" t="s" s="0">
        <v>2089</v>
      </c>
      <c r="BI73" t="s" s="0">
        <v>82</v>
      </c>
      <c r="BJ73" t="s" s="0">
        <v>2090</v>
      </c>
      <c r="BK73" t="s" s="143">
        <f>HYPERLINK("http://dx.doi.org/10.1016/j.diii.2021.10.007","http://dx.doi.org/10.1016/j.diii.2021.10.007")</f>
        <v>2091</v>
      </c>
      <c r="BL73" t="s" s="0">
        <v>82</v>
      </c>
      <c r="BM73" t="s" s="0">
        <v>607</v>
      </c>
      <c r="BN73" t="s" s="0">
        <v>319</v>
      </c>
      <c r="BO73" t="s" s="0">
        <v>414</v>
      </c>
      <c r="BP73" t="s" s="0">
        <v>414</v>
      </c>
      <c r="BQ73" t="s" s="0">
        <v>2092</v>
      </c>
      <c r="BR73" t="s" s="0">
        <v>2093</v>
      </c>
      <c r="BS73" t="s" s="0">
        <v>2094</v>
      </c>
      <c r="BT73" t="s" s="144">
        <f>HYPERLINK("https://www.webofscience.com/wos/woscc/full-record/WOS:000761236000004","View Record in Web of Science")</f>
        <v>120</v>
      </c>
      <c r="BU73" t="s" s="0">
        <v>82</v>
      </c>
      <c r="BV73" t="s" s="0">
        <v>82</v>
      </c>
      <c r="BW73" t="s" s="0">
        <v>82</v>
      </c>
      <c r="BX73" t="s" s="0">
        <v>122</v>
      </c>
    </row>
    <row r="74">
      <c r="A74" t="s" s="0">
        <v>78</v>
      </c>
      <c r="B74" t="s" s="0">
        <v>78</v>
      </c>
      <c r="C74" t="s" s="0">
        <v>221</v>
      </c>
      <c r="D74" t="s" s="0">
        <v>78</v>
      </c>
      <c r="E74" t="s" s="0">
        <v>2095</v>
      </c>
      <c r="F74" t="s" s="0">
        <v>2096</v>
      </c>
      <c r="G74" t="s" s="0">
        <v>2097</v>
      </c>
      <c r="H74" t="s" s="0">
        <v>82</v>
      </c>
      <c r="I74" t="s" s="0">
        <v>83</v>
      </c>
      <c r="J74" t="s" s="0">
        <v>2098</v>
      </c>
      <c r="K74" t="s" s="0">
        <v>2099</v>
      </c>
      <c r="L74" t="s" s="0">
        <v>82</v>
      </c>
      <c r="M74" t="s" s="0">
        <v>82</v>
      </c>
      <c r="N74" t="s" s="0">
        <v>82</v>
      </c>
      <c r="O74" t="s" s="0">
        <v>2100</v>
      </c>
      <c r="P74" t="s" s="0">
        <v>2101</v>
      </c>
      <c r="Q74" t="s" s="0">
        <v>91</v>
      </c>
      <c r="R74" t="s" s="0">
        <v>82</v>
      </c>
      <c r="S74" t="s" s="0">
        <v>82</v>
      </c>
      <c r="T74" t="s" s="0">
        <v>82</v>
      </c>
      <c r="U74" t="s" s="0">
        <v>82</v>
      </c>
      <c r="V74" t="s" s="0">
        <v>2102</v>
      </c>
      <c r="W74" t="s" s="0">
        <v>394</v>
      </c>
      <c r="X74" t="s" s="0">
        <v>82</v>
      </c>
      <c r="Y74" t="s" s="0">
        <v>82</v>
      </c>
      <c r="Z74" t="s" s="0">
        <v>94</v>
      </c>
      <c r="AA74" t="s" s="0">
        <v>95</v>
      </c>
      <c r="AB74" t="s" s="0">
        <v>82</v>
      </c>
      <c r="AC74" t="s" s="0">
        <v>82</v>
      </c>
      <c r="AD74" t="s" s="0">
        <v>82</v>
      </c>
      <c r="AE74" t="s" s="0">
        <v>82</v>
      </c>
      <c r="AF74" t="s" s="0">
        <v>82</v>
      </c>
      <c r="AG74" t="s" s="0">
        <v>2103</v>
      </c>
      <c r="AH74" t="s" s="0">
        <v>82</v>
      </c>
      <c r="AI74" t="s" s="0">
        <v>2104</v>
      </c>
      <c r="AJ74" t="s" s="0">
        <v>82</v>
      </c>
      <c r="AK74" t="s" s="0">
        <v>82</v>
      </c>
      <c r="AL74" t="s" s="0">
        <v>1780</v>
      </c>
      <c r="AM74" t="s" s="0">
        <v>136</v>
      </c>
      <c r="AN74" t="s" s="0">
        <v>137</v>
      </c>
      <c r="AO74" t="s" s="0">
        <v>78</v>
      </c>
      <c r="AP74" t="s" s="0">
        <v>375</v>
      </c>
      <c r="AQ74" t="s" s="0">
        <v>400</v>
      </c>
      <c r="AR74" t="s" s="0">
        <v>401</v>
      </c>
      <c r="AS74" t="s" s="0">
        <v>402</v>
      </c>
      <c r="AT74" t="s" s="0">
        <v>403</v>
      </c>
      <c r="AU74" t="s" s="0">
        <v>404</v>
      </c>
      <c r="AV74" t="s" s="0">
        <v>82</v>
      </c>
      <c r="AW74" t="s" s="0">
        <v>405</v>
      </c>
      <c r="AX74" t="s" s="0">
        <v>406</v>
      </c>
      <c r="AY74" t="s" s="0">
        <v>668</v>
      </c>
      <c r="AZ74" t="s" s="0">
        <v>110</v>
      </c>
      <c r="BA74" t="s" s="0">
        <v>211</v>
      </c>
      <c r="BB74" t="s" s="0">
        <v>82</v>
      </c>
      <c r="BC74" t="s" s="0">
        <v>82</v>
      </c>
      <c r="BD74" t="s" s="0">
        <v>82</v>
      </c>
      <c r="BE74" t="s" s="0">
        <v>82</v>
      </c>
      <c r="BF74" t="s" s="0">
        <v>82</v>
      </c>
      <c r="BG74" t="s" s="0">
        <v>82</v>
      </c>
      <c r="BH74" t="s" s="0">
        <v>82</v>
      </c>
      <c r="BI74" t="s" s="0">
        <v>2105</v>
      </c>
      <c r="BJ74" t="s" s="0">
        <v>2106</v>
      </c>
      <c r="BK74" t="s" s="145">
        <f>HYPERLINK("http://dx.doi.org/10.1016/j.ejrad.2024.111361","http://dx.doi.org/10.1016/j.ejrad.2024.111361")</f>
        <v>2107</v>
      </c>
      <c r="BL74" t="s" s="0">
        <v>82</v>
      </c>
      <c r="BM74" t="s" s="0">
        <v>2108</v>
      </c>
      <c r="BN74" t="s" s="0">
        <v>375</v>
      </c>
      <c r="BO74" t="s" s="0">
        <v>414</v>
      </c>
      <c r="BP74" t="s" s="0">
        <v>414</v>
      </c>
      <c r="BQ74" t="s" s="0">
        <v>2109</v>
      </c>
      <c r="BR74" t="s" s="0">
        <v>2110</v>
      </c>
      <c r="BS74" t="s" s="0">
        <v>2111</v>
      </c>
      <c r="BT74" t="s" s="146">
        <f>HYPERLINK("https://www.webofscience.com/wos/woscc/full-record/WOS:001199542900001","View Record in Web of Science")</f>
        <v>120</v>
      </c>
      <c r="BU74" t="s" s="0">
        <v>1265</v>
      </c>
      <c r="BV74" t="s" s="0">
        <v>82</v>
      </c>
      <c r="BW74" t="s" s="0">
        <v>82</v>
      </c>
      <c r="BX74" t="s" s="0">
        <v>122</v>
      </c>
    </row>
    <row r="75">
      <c r="A75" t="s" s="0">
        <v>78</v>
      </c>
      <c r="B75" t="s" s="0">
        <v>78</v>
      </c>
      <c r="C75" t="s" s="0">
        <v>319</v>
      </c>
      <c r="D75" t="s" s="0">
        <v>78</v>
      </c>
      <c r="E75" t="s" s="0">
        <v>2112</v>
      </c>
      <c r="F75" t="s" s="0">
        <v>2113</v>
      </c>
      <c r="G75" t="s" s="0">
        <v>2114</v>
      </c>
      <c r="H75" t="s" s="0">
        <v>82</v>
      </c>
      <c r="I75" t="s" s="0">
        <v>83</v>
      </c>
      <c r="J75" t="s" s="0">
        <v>2115</v>
      </c>
      <c r="K75" t="s" s="0">
        <v>2116</v>
      </c>
      <c r="L75" t="s" s="0">
        <v>2117</v>
      </c>
      <c r="M75" t="s" s="0">
        <v>2118</v>
      </c>
      <c r="N75" t="s" s="0">
        <v>2119</v>
      </c>
      <c r="O75" t="s" s="0">
        <v>2120</v>
      </c>
      <c r="P75" t="s" s="0">
        <v>2121</v>
      </c>
      <c r="Q75" t="s" s="0">
        <v>91</v>
      </c>
      <c r="R75" t="s" s="0">
        <v>82</v>
      </c>
      <c r="S75" t="s" s="0">
        <v>82</v>
      </c>
      <c r="T75" t="s" s="0">
        <v>82</v>
      </c>
      <c r="U75" t="s" s="0">
        <v>82</v>
      </c>
      <c r="V75" t="s" s="0">
        <v>2122</v>
      </c>
      <c r="W75" t="s" s="0">
        <v>2123</v>
      </c>
      <c r="X75" t="s" s="0">
        <v>82</v>
      </c>
      <c r="Y75" t="s" s="0">
        <v>82</v>
      </c>
      <c r="Z75" t="s" s="0">
        <v>94</v>
      </c>
      <c r="AA75" t="s" s="0">
        <v>95</v>
      </c>
      <c r="AB75" t="s" s="0">
        <v>82</v>
      </c>
      <c r="AC75" t="s" s="0">
        <v>82</v>
      </c>
      <c r="AD75" t="s" s="0">
        <v>82</v>
      </c>
      <c r="AE75" t="s" s="0">
        <v>82</v>
      </c>
      <c r="AF75" t="s" s="0">
        <v>82</v>
      </c>
      <c r="AG75" t="s" s="0">
        <v>2124</v>
      </c>
      <c r="AH75" t="s" s="0">
        <v>2125</v>
      </c>
      <c r="AI75" t="s" s="0">
        <v>2126</v>
      </c>
      <c r="AJ75" t="s" s="0">
        <v>2127</v>
      </c>
      <c r="AK75" t="s" s="0">
        <v>82</v>
      </c>
      <c r="AL75" t="s" s="0">
        <v>1869</v>
      </c>
      <c r="AM75" t="s" s="0">
        <v>323</v>
      </c>
      <c r="AN75" t="s" s="0">
        <v>154</v>
      </c>
      <c r="AO75" t="s" s="0">
        <v>78</v>
      </c>
      <c r="AP75" t="s" s="0">
        <v>1161</v>
      </c>
      <c r="AQ75" t="s" s="0">
        <v>2051</v>
      </c>
      <c r="AR75" t="s" s="0">
        <v>2128</v>
      </c>
      <c r="AS75" t="s" s="0">
        <v>2129</v>
      </c>
      <c r="AT75" t="s" s="0">
        <v>2130</v>
      </c>
      <c r="AU75" t="s" s="0">
        <v>2131</v>
      </c>
      <c r="AV75" t="s" s="0">
        <v>82</v>
      </c>
      <c r="AW75" t="s" s="0">
        <v>2132</v>
      </c>
      <c r="AX75" t="s" s="0">
        <v>2133</v>
      </c>
      <c r="AY75" t="s" s="0">
        <v>2134</v>
      </c>
      <c r="AZ75" t="s" s="0">
        <v>2135</v>
      </c>
      <c r="BA75" t="s" s="0">
        <v>1186</v>
      </c>
      <c r="BB75" t="s" s="0">
        <v>319</v>
      </c>
      <c r="BC75" t="s" s="0">
        <v>2057</v>
      </c>
      <c r="BD75" t="s" s="0">
        <v>82</v>
      </c>
      <c r="BE75" t="s" s="0">
        <v>82</v>
      </c>
      <c r="BF75" t="s" s="0">
        <v>82</v>
      </c>
      <c r="BG75" t="s" s="0">
        <v>2136</v>
      </c>
      <c r="BH75" t="s" s="0">
        <v>2137</v>
      </c>
      <c r="BI75" t="s" s="0">
        <v>82</v>
      </c>
      <c r="BJ75" t="s" s="0">
        <v>2138</v>
      </c>
      <c r="BK75" t="s" s="147">
        <f>HYPERLINK("http://dx.doi.org/10.1007/s10822-016-9960-x","http://dx.doi.org/10.1007/s10822-016-9960-x")</f>
        <v>2139</v>
      </c>
      <c r="BL75" t="s" s="0">
        <v>82</v>
      </c>
      <c r="BM75" t="s" s="0">
        <v>82</v>
      </c>
      <c r="BN75" t="s" s="0">
        <v>137</v>
      </c>
      <c r="BO75" t="s" s="0">
        <v>2140</v>
      </c>
      <c r="BP75" t="s" s="0">
        <v>2141</v>
      </c>
      <c r="BQ75" t="s" s="0">
        <v>2142</v>
      </c>
      <c r="BR75" t="s" s="0">
        <v>2143</v>
      </c>
      <c r="BS75" t="s" s="0">
        <v>2144</v>
      </c>
      <c r="BT75" t="s" s="148">
        <f>HYPERLINK("https://www.webofscience.com/wos/woscc/full-record/WOS:000387088900009","View Record in Web of Science")</f>
        <v>120</v>
      </c>
      <c r="BU75" t="s" s="0">
        <v>82</v>
      </c>
      <c r="BV75" t="s" s="0">
        <v>82</v>
      </c>
      <c r="BW75" t="s" s="0">
        <v>82</v>
      </c>
      <c r="BX75" t="s" s="0">
        <v>122</v>
      </c>
    </row>
    <row r="76">
      <c r="A76" t="s" s="0">
        <v>77</v>
      </c>
      <c r="B76" t="s" s="0">
        <v>78</v>
      </c>
      <c r="C76" t="s" s="0">
        <v>138</v>
      </c>
      <c r="D76" t="s" s="0">
        <v>78</v>
      </c>
      <c r="E76" t="s" s="0">
        <v>2145</v>
      </c>
      <c r="F76" t="s" s="0">
        <v>2146</v>
      </c>
      <c r="G76" t="s" s="0">
        <v>2147</v>
      </c>
      <c r="H76" t="s" s="0">
        <v>82</v>
      </c>
      <c r="I76" t="s" s="0">
        <v>297</v>
      </c>
      <c r="J76" t="s" s="0">
        <v>2148</v>
      </c>
      <c r="K76" t="s" s="0">
        <v>2149</v>
      </c>
      <c r="L76" t="s" s="0">
        <v>82</v>
      </c>
      <c r="M76" t="s" s="0">
        <v>82</v>
      </c>
      <c r="N76" t="s" s="0">
        <v>82</v>
      </c>
      <c r="O76" t="s" s="0">
        <v>2150</v>
      </c>
      <c r="P76" t="s" s="0">
        <v>2151</v>
      </c>
      <c r="Q76" t="s" s="0">
        <v>91</v>
      </c>
      <c r="R76" t="s" s="0">
        <v>82</v>
      </c>
      <c r="S76" t="s" s="0">
        <v>82</v>
      </c>
      <c r="T76" t="s" s="0">
        <v>82</v>
      </c>
      <c r="U76" t="s" s="0">
        <v>82</v>
      </c>
      <c r="V76" t="s" s="0">
        <v>2152</v>
      </c>
      <c r="W76" t="s" s="0">
        <v>2153</v>
      </c>
      <c r="X76" t="s" s="0">
        <v>82</v>
      </c>
      <c r="Y76" t="s" s="0">
        <v>82</v>
      </c>
      <c r="Z76" t="s" s="0">
        <v>94</v>
      </c>
      <c r="AA76" t="s" s="0">
        <v>95</v>
      </c>
      <c r="AB76" t="s" s="0">
        <v>82</v>
      </c>
      <c r="AC76" t="s" s="0">
        <v>82</v>
      </c>
      <c r="AD76" t="s" s="0">
        <v>82</v>
      </c>
      <c r="AE76" t="s" s="0">
        <v>82</v>
      </c>
      <c r="AF76" t="s" s="0">
        <v>82</v>
      </c>
      <c r="AG76" t="s" s="0">
        <v>2154</v>
      </c>
      <c r="AH76" t="s" s="0">
        <v>2155</v>
      </c>
      <c r="AI76" t="s" s="0">
        <v>2156</v>
      </c>
      <c r="AJ76" t="s" s="0">
        <v>2157</v>
      </c>
      <c r="AK76" t="s" s="0">
        <v>82</v>
      </c>
      <c r="AL76" t="s" s="0">
        <v>1186</v>
      </c>
      <c r="AM76" t="s" s="0">
        <v>100</v>
      </c>
      <c r="AN76" t="s" s="0">
        <v>463</v>
      </c>
      <c r="AO76" t="s" s="0">
        <v>78</v>
      </c>
      <c r="AP76" t="s" s="0">
        <v>77</v>
      </c>
      <c r="AQ76" t="s" s="0">
        <v>277</v>
      </c>
      <c r="AR76" t="s" s="0">
        <v>278</v>
      </c>
      <c r="AS76" t="s" s="0">
        <v>279</v>
      </c>
      <c r="AT76" t="s" s="0">
        <v>82</v>
      </c>
      <c r="AU76" t="s" s="0">
        <v>2158</v>
      </c>
      <c r="AV76" t="s" s="0">
        <v>82</v>
      </c>
      <c r="AW76" t="s" s="0">
        <v>2159</v>
      </c>
      <c r="AX76" t="s" s="0">
        <v>2160</v>
      </c>
      <c r="AY76" t="s" s="0">
        <v>2161</v>
      </c>
      <c r="AZ76" t="s" s="0">
        <v>1035</v>
      </c>
      <c r="BA76" t="s" s="0">
        <v>349</v>
      </c>
      <c r="BB76" t="s" s="0">
        <v>82</v>
      </c>
      <c r="BC76" t="s" s="0">
        <v>82</v>
      </c>
      <c r="BD76" t="s" s="0">
        <v>82</v>
      </c>
      <c r="BE76" t="s" s="0">
        <v>82</v>
      </c>
      <c r="BF76" t="s" s="0">
        <v>82</v>
      </c>
      <c r="BG76" t="s" s="0">
        <v>136</v>
      </c>
      <c r="BH76" t="s" s="0">
        <v>349</v>
      </c>
      <c r="BI76" t="s" s="0">
        <v>82</v>
      </c>
      <c r="BJ76" t="s" s="0">
        <v>2162</v>
      </c>
      <c r="BK76" t="s" s="149">
        <f>HYPERLINK("http://dx.doi.org/10.1016/j.phro.2020.06.006","http://dx.doi.org/10.1016/j.phro.2020.06.006")</f>
        <v>2163</v>
      </c>
      <c r="BL76" t="s" s="0">
        <v>82</v>
      </c>
      <c r="BM76" t="s" s="0">
        <v>82</v>
      </c>
      <c r="BN76" t="s" s="0">
        <v>136</v>
      </c>
      <c r="BO76" t="s" s="0">
        <v>2164</v>
      </c>
      <c r="BP76" t="s" s="0">
        <v>2164</v>
      </c>
      <c r="BQ76" t="s" s="0">
        <v>2165</v>
      </c>
      <c r="BR76" t="s" s="0">
        <v>2166</v>
      </c>
      <c r="BS76" t="s" s="0">
        <v>2167</v>
      </c>
      <c r="BT76" t="s" s="150">
        <f>HYPERLINK("https://www.webofscience.com/wos/woscc/full-record/WOS:000645140700002","View Record in Web of Science")</f>
        <v>120</v>
      </c>
      <c r="BU76" t="s" s="0">
        <v>1537</v>
      </c>
      <c r="BV76" t="s" s="0">
        <v>82</v>
      </c>
      <c r="BW76" t="s" s="0">
        <v>82</v>
      </c>
      <c r="BX76" t="s" s="0">
        <v>122</v>
      </c>
    </row>
    <row r="77">
      <c r="A77" t="s" s="0">
        <v>78</v>
      </c>
      <c r="B77" t="s" s="0">
        <v>78</v>
      </c>
      <c r="C77" t="s" s="0">
        <v>101</v>
      </c>
      <c r="D77" t="s" s="0">
        <v>78</v>
      </c>
      <c r="E77" t="s" s="0">
        <v>2168</v>
      </c>
      <c r="F77" t="s" s="0">
        <v>2169</v>
      </c>
      <c r="G77" t="s" s="0">
        <v>2170</v>
      </c>
      <c r="H77" t="s" s="0">
        <v>82</v>
      </c>
      <c r="I77" t="s" s="0">
        <v>83</v>
      </c>
      <c r="J77" t="s" s="0">
        <v>2171</v>
      </c>
      <c r="K77" t="s" s="0">
        <v>2172</v>
      </c>
      <c r="L77" t="s" s="0">
        <v>2173</v>
      </c>
      <c r="M77" t="s" s="0">
        <v>2174</v>
      </c>
      <c r="N77" t="s" s="0">
        <v>2175</v>
      </c>
      <c r="O77" t="s" s="0">
        <v>2176</v>
      </c>
      <c r="P77" t="s" s="0">
        <v>2177</v>
      </c>
      <c r="Q77" t="s" s="0">
        <v>91</v>
      </c>
      <c r="R77" t="s" s="0">
        <v>82</v>
      </c>
      <c r="S77" t="s" s="0">
        <v>82</v>
      </c>
      <c r="T77" t="s" s="0">
        <v>82</v>
      </c>
      <c r="U77" t="s" s="0">
        <v>82</v>
      </c>
      <c r="V77" t="s" s="0">
        <v>2178</v>
      </c>
      <c r="W77" t="s" s="0">
        <v>2179</v>
      </c>
      <c r="X77" t="s" s="0">
        <v>82</v>
      </c>
      <c r="Y77" t="s" s="0">
        <v>82</v>
      </c>
      <c r="Z77" t="s" s="0">
        <v>94</v>
      </c>
      <c r="AA77" t="s" s="0">
        <v>95</v>
      </c>
      <c r="AB77" t="s" s="0">
        <v>82</v>
      </c>
      <c r="AC77" t="s" s="0">
        <v>82</v>
      </c>
      <c r="AD77" t="s" s="0">
        <v>82</v>
      </c>
      <c r="AE77" t="s" s="0">
        <v>82</v>
      </c>
      <c r="AF77" t="s" s="0">
        <v>82</v>
      </c>
      <c r="AG77" t="s" s="0">
        <v>2180</v>
      </c>
      <c r="AH77" t="s" s="0">
        <v>2181</v>
      </c>
      <c r="AI77" t="s" s="0">
        <v>2182</v>
      </c>
      <c r="AJ77" t="s" s="0">
        <v>2183</v>
      </c>
      <c r="AK77" t="s" s="0">
        <v>82</v>
      </c>
      <c r="AL77" t="s" s="0">
        <v>399</v>
      </c>
      <c r="AM77" t="s" s="0">
        <v>245</v>
      </c>
      <c r="AN77" t="s" s="0">
        <v>245</v>
      </c>
      <c r="AO77" t="s" s="0">
        <v>77</v>
      </c>
      <c r="AP77" t="s" s="0">
        <v>375</v>
      </c>
      <c r="AQ77" t="s" s="0">
        <v>2184</v>
      </c>
      <c r="AR77" t="s" s="0">
        <v>1134</v>
      </c>
      <c r="AS77" t="s" s="0">
        <v>2185</v>
      </c>
      <c r="AT77" t="s" s="0">
        <v>2186</v>
      </c>
      <c r="AU77" t="s" s="0">
        <v>2187</v>
      </c>
      <c r="AV77" t="s" s="0">
        <v>82</v>
      </c>
      <c r="AW77" t="s" s="0">
        <v>2188</v>
      </c>
      <c r="AX77" t="s" s="0">
        <v>2189</v>
      </c>
      <c r="AY77" t="s" s="0">
        <v>2190</v>
      </c>
      <c r="AZ77" t="s" s="0">
        <v>1035</v>
      </c>
      <c r="BA77" t="s" s="0">
        <v>2191</v>
      </c>
      <c r="BB77" t="s" s="0">
        <v>77</v>
      </c>
      <c r="BC77" t="s" s="0">
        <v>82</v>
      </c>
      <c r="BD77" t="s" s="0">
        <v>82</v>
      </c>
      <c r="BE77" t="s" s="0">
        <v>82</v>
      </c>
      <c r="BF77" t="s" s="0">
        <v>82</v>
      </c>
      <c r="BG77" t="s" s="0">
        <v>2192</v>
      </c>
      <c r="BH77" t="s" s="0">
        <v>320</v>
      </c>
      <c r="BI77" t="s" s="0">
        <v>82</v>
      </c>
      <c r="BJ77" t="s" s="0">
        <v>2193</v>
      </c>
      <c r="BK77" t="s" s="151">
        <f>HYPERLINK("http://dx.doi.org/10.4070/kcj.2019.0105","http://dx.doi.org/10.4070/kcj.2019.0105")</f>
        <v>2194</v>
      </c>
      <c r="BL77" t="s" s="0">
        <v>82</v>
      </c>
      <c r="BM77" t="s" s="0">
        <v>82</v>
      </c>
      <c r="BN77" t="s" s="0">
        <v>115</v>
      </c>
      <c r="BO77" t="s" s="0">
        <v>503</v>
      </c>
      <c r="BP77" t="s" s="0">
        <v>504</v>
      </c>
      <c r="BQ77" t="s" s="0">
        <v>2195</v>
      </c>
      <c r="BR77" t="s" s="0">
        <v>2196</v>
      </c>
      <c r="BS77" t="s" s="0">
        <v>2197</v>
      </c>
      <c r="BT77" t="s" s="152">
        <f>HYPERLINK("https://www.webofscience.com/wos/woscc/full-record/WOS:000503409700009","View Record in Web of Science")</f>
        <v>120</v>
      </c>
      <c r="BU77" t="s" s="0">
        <v>2198</v>
      </c>
      <c r="BV77" t="s" s="0">
        <v>82</v>
      </c>
      <c r="BW77" t="s" s="0">
        <v>82</v>
      </c>
      <c r="BX77" t="s" s="0">
        <v>122</v>
      </c>
    </row>
    <row r="78">
      <c r="A78" t="s" s="0">
        <v>78</v>
      </c>
      <c r="B78" t="s" s="0">
        <v>78</v>
      </c>
      <c r="C78" t="s" s="0">
        <v>77</v>
      </c>
      <c r="D78" t="s" s="0">
        <v>78</v>
      </c>
      <c r="E78" t="s" s="0">
        <v>2199</v>
      </c>
      <c r="F78" t="s" s="0">
        <v>2200</v>
      </c>
      <c r="G78" t="s" s="0">
        <v>2201</v>
      </c>
      <c r="H78" t="s" s="0">
        <v>82</v>
      </c>
      <c r="I78" t="s" s="0">
        <v>83</v>
      </c>
      <c r="J78" t="s" s="0">
        <v>2202</v>
      </c>
      <c r="K78" t="s" s="0">
        <v>2203</v>
      </c>
      <c r="L78" t="s" s="0">
        <v>2204</v>
      </c>
      <c r="M78" t="s" s="0">
        <v>2205</v>
      </c>
      <c r="N78" t="s" s="0">
        <v>2206</v>
      </c>
      <c r="O78" t="s" s="0">
        <v>2207</v>
      </c>
      <c r="P78" t="s" s="0">
        <v>2208</v>
      </c>
      <c r="Q78" t="s" s="0">
        <v>91</v>
      </c>
      <c r="R78" t="s" s="0">
        <v>82</v>
      </c>
      <c r="S78" t="s" s="0">
        <v>82</v>
      </c>
      <c r="T78" t="s" s="0">
        <v>82</v>
      </c>
      <c r="U78" t="s" s="0">
        <v>82</v>
      </c>
      <c r="V78" t="s" s="0">
        <v>2209</v>
      </c>
      <c r="W78" t="s" s="0">
        <v>2210</v>
      </c>
      <c r="X78" t="s" s="0">
        <v>82</v>
      </c>
      <c r="Y78" t="s" s="0">
        <v>82</v>
      </c>
      <c r="Z78" t="s" s="0">
        <v>94</v>
      </c>
      <c r="AA78" t="s" s="0">
        <v>95</v>
      </c>
      <c r="AB78" t="s" s="0">
        <v>82</v>
      </c>
      <c r="AC78" t="s" s="0">
        <v>82</v>
      </c>
      <c r="AD78" t="s" s="0">
        <v>82</v>
      </c>
      <c r="AE78" t="s" s="0">
        <v>82</v>
      </c>
      <c r="AF78" t="s" s="0">
        <v>82</v>
      </c>
      <c r="AG78" t="s" s="0">
        <v>2211</v>
      </c>
      <c r="AH78" t="s" s="0">
        <v>2212</v>
      </c>
      <c r="AI78" t="s" s="0">
        <v>82</v>
      </c>
      <c r="AJ78" t="s" s="0">
        <v>2213</v>
      </c>
      <c r="AK78" t="s" s="0">
        <v>82</v>
      </c>
      <c r="AL78" t="s" s="0">
        <v>1186</v>
      </c>
      <c r="AM78" t="s" s="0">
        <v>102</v>
      </c>
      <c r="AN78" t="s" s="0">
        <v>102</v>
      </c>
      <c r="AO78" t="s" s="0">
        <v>447</v>
      </c>
      <c r="AP78" t="s" s="0">
        <v>375</v>
      </c>
      <c r="AQ78" t="s" s="0">
        <v>491</v>
      </c>
      <c r="AR78" t="s" s="0">
        <v>492</v>
      </c>
      <c r="AS78" t="s" s="0">
        <v>493</v>
      </c>
      <c r="AT78" t="s" s="0">
        <v>2214</v>
      </c>
      <c r="AU78" t="s" s="0">
        <v>82</v>
      </c>
      <c r="AV78" t="s" s="0">
        <v>82</v>
      </c>
      <c r="AW78" t="s" s="0">
        <v>2215</v>
      </c>
      <c r="AX78" t="s" s="0">
        <v>2216</v>
      </c>
      <c r="AY78" t="s" s="0">
        <v>2217</v>
      </c>
      <c r="AZ78" t="s" s="0">
        <v>110</v>
      </c>
      <c r="BA78" t="s" s="0">
        <v>137</v>
      </c>
      <c r="BB78" t="s" s="0">
        <v>375</v>
      </c>
      <c r="BC78" t="s" s="0">
        <v>82</v>
      </c>
      <c r="BD78" t="s" s="0">
        <v>82</v>
      </c>
      <c r="BE78" t="s" s="0">
        <v>82</v>
      </c>
      <c r="BF78" t="s" s="0">
        <v>82</v>
      </c>
      <c r="BG78" t="s" s="0">
        <v>2218</v>
      </c>
      <c r="BH78" t="s" s="0">
        <v>2219</v>
      </c>
      <c r="BI78" t="s" s="0">
        <v>82</v>
      </c>
      <c r="BJ78" t="s" s="0">
        <v>2220</v>
      </c>
      <c r="BK78" t="s" s="153">
        <f>HYPERLINK("http://dx.doi.org/10.1002/ehf2.14918","http://dx.doi.org/10.1002/ehf2.14918")</f>
        <v>2221</v>
      </c>
      <c r="BL78" t="s" s="0">
        <v>82</v>
      </c>
      <c r="BM78" t="s" s="0">
        <v>1196</v>
      </c>
      <c r="BN78" t="s" s="0">
        <v>137</v>
      </c>
      <c r="BO78" t="s" s="0">
        <v>503</v>
      </c>
      <c r="BP78" t="s" s="0">
        <v>504</v>
      </c>
      <c r="BQ78" t="s" s="0">
        <v>2222</v>
      </c>
      <c r="BR78" t="s" s="0">
        <v>2223</v>
      </c>
      <c r="BS78" t="s" s="0">
        <v>2224</v>
      </c>
      <c r="BT78" t="s" s="154">
        <f>HYPERLINK("https://www.webofscience.com/wos/woscc/full-record/WOS:001268037400001","View Record in Web of Science")</f>
        <v>120</v>
      </c>
      <c r="BU78" t="s" s="0">
        <v>121</v>
      </c>
      <c r="BV78" t="s" s="0">
        <v>82</v>
      </c>
      <c r="BW78" t="s" s="0">
        <v>82</v>
      </c>
      <c r="BX78" t="s" s="0">
        <v>122</v>
      </c>
    </row>
    <row r="79">
      <c r="A79" t="s" s="0">
        <v>77</v>
      </c>
      <c r="B79" t="s" s="0">
        <v>78</v>
      </c>
      <c r="C79" t="s" s="0">
        <v>102</v>
      </c>
      <c r="D79" t="s" s="0">
        <v>78</v>
      </c>
      <c r="E79" t="s" s="0">
        <v>2225</v>
      </c>
      <c r="F79" t="s" s="0">
        <v>2226</v>
      </c>
      <c r="G79" t="s" s="0">
        <v>2227</v>
      </c>
      <c r="H79" t="s" s="0">
        <v>82</v>
      </c>
      <c r="I79" t="s" s="0">
        <v>297</v>
      </c>
      <c r="J79" t="s" s="0">
        <v>2228</v>
      </c>
      <c r="K79" t="s" s="0">
        <v>2229</v>
      </c>
      <c r="L79" t="s" s="0">
        <v>2230</v>
      </c>
      <c r="M79" t="s" s="0">
        <v>2231</v>
      </c>
      <c r="N79" t="s" s="0">
        <v>2232</v>
      </c>
      <c r="O79" t="s" s="0">
        <v>2233</v>
      </c>
      <c r="P79" t="s" s="0">
        <v>2234</v>
      </c>
      <c r="Q79" t="s" s="0">
        <v>91</v>
      </c>
      <c r="R79" t="s" s="0">
        <v>82</v>
      </c>
      <c r="S79" t="s" s="0">
        <v>82</v>
      </c>
      <c r="T79" t="s" s="0">
        <v>82</v>
      </c>
      <c r="U79" t="s" s="0">
        <v>82</v>
      </c>
      <c r="V79" t="s" s="0">
        <v>2235</v>
      </c>
      <c r="W79" t="s" s="0">
        <v>2236</v>
      </c>
      <c r="X79" t="s" s="0">
        <v>82</v>
      </c>
      <c r="Y79" t="s" s="0">
        <v>82</v>
      </c>
      <c r="Z79" t="s" s="0">
        <v>94</v>
      </c>
      <c r="AA79" t="s" s="0">
        <v>95</v>
      </c>
      <c r="AB79" t="s" s="0">
        <v>82</v>
      </c>
      <c r="AC79" t="s" s="0">
        <v>82</v>
      </c>
      <c r="AD79" t="s" s="0">
        <v>82</v>
      </c>
      <c r="AE79" t="s" s="0">
        <v>82</v>
      </c>
      <c r="AF79" t="s" s="0">
        <v>82</v>
      </c>
      <c r="AG79" t="s" s="0">
        <v>2237</v>
      </c>
      <c r="AH79" t="s" s="0">
        <v>2238</v>
      </c>
      <c r="AI79" t="s" s="0">
        <v>2239</v>
      </c>
      <c r="AJ79" t="s" s="0">
        <v>2240</v>
      </c>
      <c r="AK79" t="s" s="0">
        <v>82</v>
      </c>
      <c r="AL79" t="s" s="0">
        <v>1186</v>
      </c>
      <c r="AM79" t="s" s="0">
        <v>311</v>
      </c>
      <c r="AN79" t="s" s="0">
        <v>374</v>
      </c>
      <c r="AO79" t="s" s="0">
        <v>78</v>
      </c>
      <c r="AP79" t="s" s="0">
        <v>319</v>
      </c>
      <c r="AQ79" t="s" s="0">
        <v>2241</v>
      </c>
      <c r="AR79" t="s" s="0">
        <v>2242</v>
      </c>
      <c r="AS79" t="s" s="0">
        <v>2243</v>
      </c>
      <c r="AT79" t="s" s="0">
        <v>2244</v>
      </c>
      <c r="AU79" t="s" s="0">
        <v>82</v>
      </c>
      <c r="AV79" t="s" s="0">
        <v>82</v>
      </c>
      <c r="AW79" t="s" s="0">
        <v>2245</v>
      </c>
      <c r="AX79" t="s" s="0">
        <v>2246</v>
      </c>
      <c r="AY79" t="s" s="0">
        <v>2247</v>
      </c>
      <c r="AZ79" t="s" s="0">
        <v>525</v>
      </c>
      <c r="BA79" t="s" s="0">
        <v>101</v>
      </c>
      <c r="BB79" t="s" s="0">
        <v>102</v>
      </c>
      <c r="BC79" t="s" s="0">
        <v>82</v>
      </c>
      <c r="BD79" t="s" s="0">
        <v>82</v>
      </c>
      <c r="BE79" t="s" s="0">
        <v>82</v>
      </c>
      <c r="BF79" t="s" s="0">
        <v>82</v>
      </c>
      <c r="BG79" t="s" s="0">
        <v>82</v>
      </c>
      <c r="BH79" t="s" s="0">
        <v>82</v>
      </c>
      <c r="BI79" t="s" s="0">
        <v>2248</v>
      </c>
      <c r="BJ79" t="s" s="0">
        <v>2249</v>
      </c>
      <c r="BK79" t="s" s="155">
        <f>HYPERLINK("http://dx.doi.org/10.1148/ryai.2021200190","http://dx.doi.org/10.1148/ryai.2021200190")</f>
        <v>2250</v>
      </c>
      <c r="BL79" t="s" s="0">
        <v>82</v>
      </c>
      <c r="BM79" t="s" s="0">
        <v>82</v>
      </c>
      <c r="BN79" t="s" s="0">
        <v>245</v>
      </c>
      <c r="BO79" t="s" s="0">
        <v>2251</v>
      </c>
      <c r="BP79" t="s" s="0">
        <v>2252</v>
      </c>
      <c r="BQ79" t="s" s="0">
        <v>2253</v>
      </c>
      <c r="BR79" t="s" s="0">
        <v>2254</v>
      </c>
      <c r="BS79" t="s" s="0">
        <v>2255</v>
      </c>
      <c r="BT79" t="s" s="156">
        <f>HYPERLINK("https://www.webofscience.com/wos/woscc/full-record/WOS:000826909000007","View Record in Web of Science")</f>
        <v>120</v>
      </c>
      <c r="BU79" t="s" s="0">
        <v>1265</v>
      </c>
      <c r="BV79" t="s" s="0">
        <v>82</v>
      </c>
      <c r="BW79" t="s" s="0">
        <v>82</v>
      </c>
      <c r="BX79" t="s" s="0">
        <v>122</v>
      </c>
    </row>
    <row r="80">
      <c r="A80" t="s" s="0">
        <v>78</v>
      </c>
      <c r="B80" t="s" s="0">
        <v>78</v>
      </c>
      <c r="C80" t="s" s="0">
        <v>78</v>
      </c>
      <c r="D80" t="s" s="0">
        <v>78</v>
      </c>
      <c r="E80" t="s" s="0">
        <v>2256</v>
      </c>
      <c r="F80" t="s" s="0">
        <v>2257</v>
      </c>
      <c r="G80" t="s" s="0">
        <v>2258</v>
      </c>
      <c r="H80" t="s" s="0">
        <v>82</v>
      </c>
      <c r="I80" t="s" s="0">
        <v>83</v>
      </c>
      <c r="J80" t="s" s="0">
        <v>2259</v>
      </c>
      <c r="K80" t="s" s="0">
        <v>2260</v>
      </c>
      <c r="L80" t="s" s="0">
        <v>2261</v>
      </c>
      <c r="M80" t="s" s="0">
        <v>2261</v>
      </c>
      <c r="N80" t="s" s="0">
        <v>2262</v>
      </c>
      <c r="O80" t="s" s="0">
        <v>2263</v>
      </c>
      <c r="P80" t="s" s="0">
        <v>2264</v>
      </c>
      <c r="Q80" t="s" s="0">
        <v>91</v>
      </c>
      <c r="R80" t="s" s="0">
        <v>82</v>
      </c>
      <c r="S80" t="s" s="0">
        <v>82</v>
      </c>
      <c r="T80" t="s" s="0">
        <v>82</v>
      </c>
      <c r="U80" t="s" s="0">
        <v>82</v>
      </c>
      <c r="V80" t="s" s="0">
        <v>2265</v>
      </c>
      <c r="W80" t="s" s="0">
        <v>2266</v>
      </c>
      <c r="X80" t="s" s="0">
        <v>82</v>
      </c>
      <c r="Y80" t="s" s="0">
        <v>82</v>
      </c>
      <c r="Z80" t="s" s="0">
        <v>94</v>
      </c>
      <c r="AA80" t="s" s="0">
        <v>95</v>
      </c>
      <c r="AB80" t="s" s="0">
        <v>82</v>
      </c>
      <c r="AC80" t="s" s="0">
        <v>82</v>
      </c>
      <c r="AD80" t="s" s="0">
        <v>82</v>
      </c>
      <c r="AE80" t="s" s="0">
        <v>82</v>
      </c>
      <c r="AF80" t="s" s="0">
        <v>82</v>
      </c>
      <c r="AG80" t="s" s="0">
        <v>82</v>
      </c>
      <c r="AH80" t="s" s="0">
        <v>82</v>
      </c>
      <c r="AI80" t="s" s="0">
        <v>2267</v>
      </c>
      <c r="AJ80" t="s" s="0">
        <v>2268</v>
      </c>
      <c r="AK80" t="s" s="0">
        <v>82</v>
      </c>
      <c r="AL80" t="s" s="0">
        <v>1502</v>
      </c>
      <c r="AM80" t="s" s="0">
        <v>447</v>
      </c>
      <c r="AN80" t="s" s="0">
        <v>447</v>
      </c>
      <c r="AO80" t="s" s="0">
        <v>78</v>
      </c>
      <c r="AP80" t="s" s="0">
        <v>78</v>
      </c>
      <c r="AQ80" t="s" s="0">
        <v>2269</v>
      </c>
      <c r="AR80" t="s" s="0">
        <v>104</v>
      </c>
      <c r="AS80" t="s" s="0">
        <v>2270</v>
      </c>
      <c r="AT80" t="s" s="0">
        <v>2271</v>
      </c>
      <c r="AU80" t="s" s="0">
        <v>2272</v>
      </c>
      <c r="AV80" t="s" s="0">
        <v>82</v>
      </c>
      <c r="AW80" t="s" s="0">
        <v>2266</v>
      </c>
      <c r="AX80" t="s" s="0">
        <v>2273</v>
      </c>
      <c r="AY80" t="s" s="0">
        <v>1425</v>
      </c>
      <c r="AZ80" t="s" s="0">
        <v>147</v>
      </c>
      <c r="BA80" t="s" s="0">
        <v>344</v>
      </c>
      <c r="BB80" t="s" s="0">
        <v>640</v>
      </c>
      <c r="BC80" t="s" s="0">
        <v>82</v>
      </c>
      <c r="BD80" t="s" s="0">
        <v>82</v>
      </c>
      <c r="BE80" t="s" s="0">
        <v>82</v>
      </c>
      <c r="BF80" t="s" s="0">
        <v>82</v>
      </c>
      <c r="BG80" t="s" s="0">
        <v>2274</v>
      </c>
      <c r="BH80" t="s" s="0">
        <v>2275</v>
      </c>
      <c r="BI80" t="s" s="0">
        <v>82</v>
      </c>
      <c r="BJ80" t="s" s="0">
        <v>2276</v>
      </c>
      <c r="BK80" t="s" s="157">
        <f>HYPERLINK("http://dx.doi.org/10.1038/s41433-025-04025-4","http://dx.doi.org/10.1038/s41433-025-04025-4")</f>
        <v>2277</v>
      </c>
      <c r="BL80" t="s" s="0">
        <v>82</v>
      </c>
      <c r="BM80" t="s" s="0">
        <v>497</v>
      </c>
      <c r="BN80" t="s" s="0">
        <v>138</v>
      </c>
      <c r="BO80" t="s" s="0">
        <v>2278</v>
      </c>
      <c r="BP80" t="s" s="0">
        <v>2278</v>
      </c>
      <c r="BQ80" t="s" s="0">
        <v>2279</v>
      </c>
      <c r="BR80" t="s" s="0">
        <v>2280</v>
      </c>
      <c r="BS80" t="s" s="0">
        <v>2281</v>
      </c>
      <c r="BT80" t="s" s="158">
        <f>HYPERLINK("https://www.webofscience.com/wos/woscc/full-record/WOS:001575992100001","View Record in Web of Science")</f>
        <v>120</v>
      </c>
      <c r="BU80" t="s" s="0">
        <v>2282</v>
      </c>
      <c r="BV80" t="s" s="0">
        <v>82</v>
      </c>
      <c r="BW80" t="s" s="0">
        <v>82</v>
      </c>
      <c r="BX80" t="s" s="0">
        <v>122</v>
      </c>
    </row>
    <row r="81">
      <c r="A81" t="s" s="0">
        <v>78</v>
      </c>
      <c r="B81" t="s" s="0">
        <v>78</v>
      </c>
      <c r="C81" t="s" s="0">
        <v>77</v>
      </c>
      <c r="D81" t="s" s="0">
        <v>78</v>
      </c>
      <c r="E81" t="s" s="0">
        <v>2283</v>
      </c>
      <c r="F81" t="s" s="0">
        <v>2284</v>
      </c>
      <c r="G81" t="s" s="0">
        <v>2285</v>
      </c>
      <c r="H81" t="s" s="0">
        <v>82</v>
      </c>
      <c r="I81" t="s" s="0">
        <v>83</v>
      </c>
      <c r="J81" t="s" s="0">
        <v>2286</v>
      </c>
      <c r="K81" t="s" s="0">
        <v>2287</v>
      </c>
      <c r="L81" t="s" s="0">
        <v>2288</v>
      </c>
      <c r="M81" t="s" s="0">
        <v>2288</v>
      </c>
      <c r="N81" t="s" s="0">
        <v>2289</v>
      </c>
      <c r="O81" t="s" s="0">
        <v>2290</v>
      </c>
      <c r="P81" t="s" s="0">
        <v>2291</v>
      </c>
      <c r="Q81" t="s" s="0">
        <v>91</v>
      </c>
      <c r="R81" t="s" s="0">
        <v>82</v>
      </c>
      <c r="S81" t="s" s="0">
        <v>82</v>
      </c>
      <c r="T81" t="s" s="0">
        <v>82</v>
      </c>
      <c r="U81" t="s" s="0">
        <v>82</v>
      </c>
      <c r="V81" t="s" s="0">
        <v>2292</v>
      </c>
      <c r="W81" t="s" s="0">
        <v>2293</v>
      </c>
      <c r="X81" t="s" s="0">
        <v>82</v>
      </c>
      <c r="Y81" t="s" s="0">
        <v>82</v>
      </c>
      <c r="Z81" t="s" s="0">
        <v>94</v>
      </c>
      <c r="AA81" t="s" s="0">
        <v>95</v>
      </c>
      <c r="AB81" t="s" s="0">
        <v>82</v>
      </c>
      <c r="AC81" t="s" s="0">
        <v>82</v>
      </c>
      <c r="AD81" t="s" s="0">
        <v>82</v>
      </c>
      <c r="AE81" t="s" s="0">
        <v>82</v>
      </c>
      <c r="AF81" t="s" s="0">
        <v>82</v>
      </c>
      <c r="AG81" t="s" s="0">
        <v>2294</v>
      </c>
      <c r="AH81" t="s" s="0">
        <v>2295</v>
      </c>
      <c r="AI81" t="s" s="0">
        <v>2296</v>
      </c>
      <c r="AJ81" t="s" s="0">
        <v>2297</v>
      </c>
      <c r="AK81" t="s" s="0">
        <v>82</v>
      </c>
      <c r="AL81" t="s" s="0">
        <v>111</v>
      </c>
      <c r="AM81" t="s" s="0">
        <v>447</v>
      </c>
      <c r="AN81" t="s" s="0">
        <v>447</v>
      </c>
      <c r="AO81" t="s" s="0">
        <v>78</v>
      </c>
      <c r="AP81" t="s" s="0">
        <v>77</v>
      </c>
      <c r="AQ81" t="s" s="0">
        <v>2051</v>
      </c>
      <c r="AR81" t="s" s="0">
        <v>203</v>
      </c>
      <c r="AS81" t="s" s="0">
        <v>2052</v>
      </c>
      <c r="AT81" t="s" s="0">
        <v>2298</v>
      </c>
      <c r="AU81" t="s" s="0">
        <v>2299</v>
      </c>
      <c r="AV81" t="s" s="0">
        <v>82</v>
      </c>
      <c r="AW81" t="s" s="0">
        <v>2300</v>
      </c>
      <c r="AX81" t="s" s="0">
        <v>2301</v>
      </c>
      <c r="AY81" t="s" s="0">
        <v>2302</v>
      </c>
      <c r="AZ81" t="s" s="0">
        <v>181</v>
      </c>
      <c r="BA81" t="s" s="0">
        <v>374</v>
      </c>
      <c r="BB81" t="s" s="0">
        <v>77</v>
      </c>
      <c r="BC81" t="s" s="0">
        <v>82</v>
      </c>
      <c r="BD81" t="s" s="0">
        <v>82</v>
      </c>
      <c r="BE81" t="s" s="0">
        <v>82</v>
      </c>
      <c r="BF81" t="s" s="0">
        <v>82</v>
      </c>
      <c r="BG81" t="s" s="0">
        <v>2303</v>
      </c>
      <c r="BH81" t="s" s="0">
        <v>2304</v>
      </c>
      <c r="BI81" t="s" s="0">
        <v>82</v>
      </c>
      <c r="BJ81" t="s" s="0">
        <v>2305</v>
      </c>
      <c r="BK81" t="s" s="159">
        <f>HYPERLINK("http://dx.doi.org/10.1007/s00330-025-11790-z","http://dx.doi.org/10.1007/s00330-025-11790-z")</f>
        <v>2306</v>
      </c>
      <c r="BL81" t="s" s="0">
        <v>82</v>
      </c>
      <c r="BM81" t="s" s="0">
        <v>949</v>
      </c>
      <c r="BN81" t="s" s="0">
        <v>137</v>
      </c>
      <c r="BO81" t="s" s="0">
        <v>414</v>
      </c>
      <c r="BP81" t="s" s="0">
        <v>414</v>
      </c>
      <c r="BQ81" t="s" s="0">
        <v>2307</v>
      </c>
      <c r="BR81" t="s" s="0">
        <v>2308</v>
      </c>
      <c r="BS81" t="s" s="0">
        <v>2309</v>
      </c>
      <c r="BT81" t="s" s="160">
        <f>HYPERLINK("https://www.webofscience.com/wos/woscc/full-record/WOS:001523888800001","View Record in Web of Science")</f>
        <v>120</v>
      </c>
      <c r="BU81" t="s" s="0">
        <v>256</v>
      </c>
      <c r="BV81" t="s" s="0">
        <v>82</v>
      </c>
      <c r="BW81" t="s" s="0">
        <v>82</v>
      </c>
      <c r="BX81" t="s" s="0">
        <v>122</v>
      </c>
    </row>
    <row r="82">
      <c r="A82" t="s" s="0">
        <v>78</v>
      </c>
      <c r="B82" t="s" s="0">
        <v>78</v>
      </c>
      <c r="C82" t="s" s="0">
        <v>447</v>
      </c>
      <c r="D82" t="s" s="0">
        <v>78</v>
      </c>
      <c r="E82" t="s" s="0">
        <v>2310</v>
      </c>
      <c r="F82" t="s" s="0">
        <v>2311</v>
      </c>
      <c r="G82" t="s" s="0">
        <v>2312</v>
      </c>
      <c r="H82" t="s" s="0">
        <v>82</v>
      </c>
      <c r="I82" t="s" s="0">
        <v>83</v>
      </c>
      <c r="J82" t="s" s="0">
        <v>2313</v>
      </c>
      <c r="K82" t="s" s="0">
        <v>2314</v>
      </c>
      <c r="L82" t="s" s="0">
        <v>2315</v>
      </c>
      <c r="M82" t="s" s="0">
        <v>2316</v>
      </c>
      <c r="N82" t="s" s="0">
        <v>2317</v>
      </c>
      <c r="O82" t="s" s="0">
        <v>2318</v>
      </c>
      <c r="P82" t="s" s="0">
        <v>2319</v>
      </c>
      <c r="Q82" t="s" s="0">
        <v>91</v>
      </c>
      <c r="R82" t="s" s="0">
        <v>82</v>
      </c>
      <c r="S82" t="s" s="0">
        <v>82</v>
      </c>
      <c r="T82" t="s" s="0">
        <v>82</v>
      </c>
      <c r="U82" t="s" s="0">
        <v>82</v>
      </c>
      <c r="V82" t="s" s="0">
        <v>2320</v>
      </c>
      <c r="W82" t="s" s="0">
        <v>1992</v>
      </c>
      <c r="X82" t="s" s="0">
        <v>82</v>
      </c>
      <c r="Y82" t="s" s="0">
        <v>82</v>
      </c>
      <c r="Z82" t="s" s="0">
        <v>94</v>
      </c>
      <c r="AA82" t="s" s="0">
        <v>95</v>
      </c>
      <c r="AB82" t="s" s="0">
        <v>82</v>
      </c>
      <c r="AC82" t="s" s="0">
        <v>82</v>
      </c>
      <c r="AD82" t="s" s="0">
        <v>82</v>
      </c>
      <c r="AE82" t="s" s="0">
        <v>82</v>
      </c>
      <c r="AF82" t="s" s="0">
        <v>82</v>
      </c>
      <c r="AG82" t="s" s="0">
        <v>2321</v>
      </c>
      <c r="AH82" t="s" s="0">
        <v>2322</v>
      </c>
      <c r="AI82" t="s" s="0">
        <v>2323</v>
      </c>
      <c r="AJ82" t="s" s="0">
        <v>2324</v>
      </c>
      <c r="AK82" t="s" s="0">
        <v>82</v>
      </c>
      <c r="AL82" t="s" s="0">
        <v>632</v>
      </c>
      <c r="AM82" t="s" s="0">
        <v>1320</v>
      </c>
      <c r="AN82" t="s" s="0">
        <v>173</v>
      </c>
      <c r="AO82" t="s" s="0">
        <v>78</v>
      </c>
      <c r="AP82" t="s" s="0">
        <v>102</v>
      </c>
      <c r="AQ82" t="s" s="0">
        <v>1996</v>
      </c>
      <c r="AR82" t="s" s="0">
        <v>1997</v>
      </c>
      <c r="AS82" t="s" s="0">
        <v>1998</v>
      </c>
      <c r="AT82" t="s" s="0">
        <v>1999</v>
      </c>
      <c r="AU82" t="s" s="0">
        <v>2000</v>
      </c>
      <c r="AV82" t="s" s="0">
        <v>82</v>
      </c>
      <c r="AW82" t="s" s="0">
        <v>2001</v>
      </c>
      <c r="AX82" t="s" s="0">
        <v>2002</v>
      </c>
      <c r="AY82" t="s" s="0">
        <v>804</v>
      </c>
      <c r="AZ82" t="s" s="0">
        <v>210</v>
      </c>
      <c r="BA82" t="s" s="0">
        <v>2325</v>
      </c>
      <c r="BB82" t="s" s="0">
        <v>101</v>
      </c>
      <c r="BC82" t="s" s="0">
        <v>82</v>
      </c>
      <c r="BD82" t="s" s="0">
        <v>82</v>
      </c>
      <c r="BE82" t="s" s="0">
        <v>82</v>
      </c>
      <c r="BF82" t="s" s="0">
        <v>82</v>
      </c>
      <c r="BG82" t="s" s="0">
        <v>2326</v>
      </c>
      <c r="BH82" t="s" s="0">
        <v>2327</v>
      </c>
      <c r="BI82" t="s" s="0">
        <v>82</v>
      </c>
      <c r="BJ82" t="s" s="0">
        <v>2328</v>
      </c>
      <c r="BK82" t="s" s="161">
        <f>HYPERLINK("http://dx.doi.org/10.2214/AJR.23.29120","http://dx.doi.org/10.2214/AJR.23.29120")</f>
        <v>2329</v>
      </c>
      <c r="BL82" t="s" s="0">
        <v>82</v>
      </c>
      <c r="BM82" t="s" s="0">
        <v>82</v>
      </c>
      <c r="BN82" t="s" s="0">
        <v>319</v>
      </c>
      <c r="BO82" t="s" s="0">
        <v>414</v>
      </c>
      <c r="BP82" t="s" s="0">
        <v>414</v>
      </c>
      <c r="BQ82" t="s" s="0">
        <v>2330</v>
      </c>
      <c r="BR82" t="s" s="0">
        <v>2331</v>
      </c>
      <c r="BS82" t="s" s="0">
        <v>2332</v>
      </c>
      <c r="BT82" t="s" s="162">
        <f>HYPERLINK("https://www.webofscience.com/wos/woscc/full-record/WOS:001075850600020","View Record in Web of Science")</f>
        <v>120</v>
      </c>
      <c r="BU82" t="s" s="0">
        <v>2333</v>
      </c>
      <c r="BV82" t="s" s="0">
        <v>82</v>
      </c>
      <c r="BW82" t="s" s="0">
        <v>82</v>
      </c>
      <c r="BX82" t="s" s="0">
        <v>122</v>
      </c>
    </row>
    <row r="83">
      <c r="A83" t="s" s="0">
        <v>78</v>
      </c>
      <c r="B83" t="s" s="0">
        <v>78</v>
      </c>
      <c r="C83" t="s" s="0">
        <v>78</v>
      </c>
      <c r="D83" t="s" s="0">
        <v>78</v>
      </c>
      <c r="E83" t="s" s="0">
        <v>2334</v>
      </c>
      <c r="F83" t="s" s="0">
        <v>2335</v>
      </c>
      <c r="G83" t="s" s="0">
        <v>2336</v>
      </c>
      <c r="H83" t="s" s="0">
        <v>82</v>
      </c>
      <c r="I83" t="s" s="0">
        <v>83</v>
      </c>
      <c r="J83" t="s" s="0">
        <v>2337</v>
      </c>
      <c r="K83" t="s" s="0">
        <v>2338</v>
      </c>
      <c r="L83" t="s" s="0">
        <v>82</v>
      </c>
      <c r="M83" t="s" s="0">
        <v>82</v>
      </c>
      <c r="N83" t="s" s="0">
        <v>82</v>
      </c>
      <c r="O83" t="s" s="0">
        <v>2339</v>
      </c>
      <c r="P83" t="s" s="0">
        <v>2340</v>
      </c>
      <c r="Q83" t="s" s="0">
        <v>91</v>
      </c>
      <c r="R83" t="s" s="0">
        <v>82</v>
      </c>
      <c r="S83" t="s" s="0">
        <v>82</v>
      </c>
      <c r="T83" t="s" s="0">
        <v>82</v>
      </c>
      <c r="U83" t="s" s="0">
        <v>82</v>
      </c>
      <c r="V83" t="s" s="0">
        <v>2341</v>
      </c>
      <c r="W83" t="s" s="0">
        <v>2342</v>
      </c>
      <c r="X83" t="s" s="0">
        <v>82</v>
      </c>
      <c r="Y83" t="s" s="0">
        <v>82</v>
      </c>
      <c r="Z83" t="s" s="0">
        <v>94</v>
      </c>
      <c r="AA83" t="s" s="0">
        <v>95</v>
      </c>
      <c r="AB83" t="s" s="0">
        <v>82</v>
      </c>
      <c r="AC83" t="s" s="0">
        <v>82</v>
      </c>
      <c r="AD83" t="s" s="0">
        <v>82</v>
      </c>
      <c r="AE83" t="s" s="0">
        <v>82</v>
      </c>
      <c r="AF83" t="s" s="0">
        <v>82</v>
      </c>
      <c r="AG83" t="s" s="0">
        <v>2343</v>
      </c>
      <c r="AH83" t="s" s="0">
        <v>2344</v>
      </c>
      <c r="AI83" t="s" s="0">
        <v>2345</v>
      </c>
      <c r="AJ83" t="s" s="0">
        <v>82</v>
      </c>
      <c r="AK83" t="s" s="0">
        <v>82</v>
      </c>
      <c r="AL83" t="s" s="0">
        <v>148</v>
      </c>
      <c r="AM83" t="s" s="0">
        <v>78</v>
      </c>
      <c r="AN83" t="s" s="0">
        <v>78</v>
      </c>
      <c r="AO83" t="s" s="0">
        <v>221</v>
      </c>
      <c r="AP83" t="s" s="0">
        <v>221</v>
      </c>
      <c r="AQ83" t="s" s="0">
        <v>2346</v>
      </c>
      <c r="AR83" t="s" s="0">
        <v>2347</v>
      </c>
      <c r="AS83" t="s" s="0">
        <v>2348</v>
      </c>
      <c r="AT83" t="s" s="0">
        <v>2349</v>
      </c>
      <c r="AU83" t="s" s="0">
        <v>2350</v>
      </c>
      <c r="AV83" t="s" s="0">
        <v>82</v>
      </c>
      <c r="AW83" t="s" s="0">
        <v>2351</v>
      </c>
      <c r="AX83" t="s" s="0">
        <v>2352</v>
      </c>
      <c r="AY83" t="s" s="0">
        <v>2353</v>
      </c>
      <c r="AZ83" t="s" s="0">
        <v>181</v>
      </c>
      <c r="BA83" t="s" s="0">
        <v>111</v>
      </c>
      <c r="BB83" t="s" s="0">
        <v>102</v>
      </c>
      <c r="BC83" t="s" s="0">
        <v>82</v>
      </c>
      <c r="BD83" t="s" s="0">
        <v>82</v>
      </c>
      <c r="BE83" t="s" s="0">
        <v>82</v>
      </c>
      <c r="BF83" t="s" s="0">
        <v>82</v>
      </c>
      <c r="BG83" t="s" s="0">
        <v>82</v>
      </c>
      <c r="BH83" t="s" s="0">
        <v>82</v>
      </c>
      <c r="BI83" t="s" s="0">
        <v>2354</v>
      </c>
      <c r="BJ83" t="s" s="0">
        <v>2355</v>
      </c>
      <c r="BK83" t="s" s="163">
        <f>HYPERLINK("http://dx.doi.org/10.31083/JIN48811","http://dx.doi.org/10.31083/JIN48811")</f>
        <v>2356</v>
      </c>
      <c r="BL83" t="s" s="0">
        <v>82</v>
      </c>
      <c r="BM83" t="s" s="0">
        <v>1365</v>
      </c>
      <c r="BN83" t="s" s="0">
        <v>245</v>
      </c>
      <c r="BO83" t="s" s="0">
        <v>1291</v>
      </c>
      <c r="BP83" t="s" s="0">
        <v>252</v>
      </c>
      <c r="BQ83" t="s" s="0">
        <v>2357</v>
      </c>
      <c r="BR83" t="s" s="0">
        <v>2358</v>
      </c>
      <c r="BS83" t="s" s="0">
        <v>2359</v>
      </c>
      <c r="BT83" t="s" s="164">
        <f>HYPERLINK("https://www.webofscience.com/wos/woscc/full-record/WOS:001752760200003","View Record in Web of Science")</f>
        <v>120</v>
      </c>
      <c r="BU83" t="s" s="0">
        <v>121</v>
      </c>
      <c r="BV83" t="s" s="0">
        <v>82</v>
      </c>
      <c r="BW83" t="s" s="0">
        <v>82</v>
      </c>
      <c r="BX83" t="s" s="0">
        <v>122</v>
      </c>
    </row>
    <row r="84">
      <c r="A84" t="s" s="0">
        <v>77</v>
      </c>
      <c r="B84" t="s" s="0">
        <v>78</v>
      </c>
      <c r="C84" t="s" s="0">
        <v>78</v>
      </c>
      <c r="D84" t="s" s="0">
        <v>78</v>
      </c>
      <c r="E84" t="s" s="0">
        <v>2360</v>
      </c>
      <c r="F84" t="s" s="0">
        <v>2361</v>
      </c>
      <c r="G84" t="s" s="0">
        <v>2362</v>
      </c>
      <c r="H84" t="s" s="0">
        <v>82</v>
      </c>
      <c r="I84" t="s" s="0">
        <v>83</v>
      </c>
      <c r="J84" t="s" s="0">
        <v>2070</v>
      </c>
      <c r="K84" t="s" s="0">
        <v>2363</v>
      </c>
      <c r="L84" t="s" s="0">
        <v>82</v>
      </c>
      <c r="M84" t="s" s="0">
        <v>82</v>
      </c>
      <c r="N84" t="s" s="0">
        <v>82</v>
      </c>
      <c r="O84" t="s" s="0">
        <v>2364</v>
      </c>
      <c r="P84" t="s" s="0">
        <v>2073</v>
      </c>
      <c r="Q84" t="s" s="0">
        <v>91</v>
      </c>
      <c r="R84" t="s" s="0">
        <v>82</v>
      </c>
      <c r="S84" t="s" s="0">
        <v>82</v>
      </c>
      <c r="T84" t="s" s="0">
        <v>82</v>
      </c>
      <c r="U84" t="s" s="0">
        <v>82</v>
      </c>
      <c r="V84" t="s" s="0">
        <v>2365</v>
      </c>
      <c r="W84" t="s" s="0">
        <v>2075</v>
      </c>
      <c r="X84" t="s" s="0">
        <v>82</v>
      </c>
      <c r="Y84" t="s" s="0">
        <v>82</v>
      </c>
      <c r="Z84" t="s" s="0">
        <v>94</v>
      </c>
      <c r="AA84" t="s" s="0">
        <v>95</v>
      </c>
      <c r="AB84" t="s" s="0">
        <v>82</v>
      </c>
      <c r="AC84" t="s" s="0">
        <v>82</v>
      </c>
      <c r="AD84" t="s" s="0">
        <v>82</v>
      </c>
      <c r="AE84" t="s" s="0">
        <v>82</v>
      </c>
      <c r="AF84" t="s" s="0">
        <v>82</v>
      </c>
      <c r="AG84" t="s" s="0">
        <v>2366</v>
      </c>
      <c r="AH84" t="s" s="0">
        <v>2367</v>
      </c>
      <c r="AI84" t="s" s="0">
        <v>2368</v>
      </c>
      <c r="AJ84" t="s" s="0">
        <v>2369</v>
      </c>
      <c r="AK84" t="s" s="0">
        <v>82</v>
      </c>
      <c r="AL84" t="s" s="0">
        <v>154</v>
      </c>
      <c r="AM84" t="s" s="0">
        <v>831</v>
      </c>
      <c r="AN84" t="s" s="0">
        <v>685</v>
      </c>
      <c r="AO84" t="s" s="0">
        <v>78</v>
      </c>
      <c r="AP84" t="s" s="0">
        <v>245</v>
      </c>
      <c r="AQ84" t="s" s="0">
        <v>2082</v>
      </c>
      <c r="AR84" t="s" s="0">
        <v>2083</v>
      </c>
      <c r="AS84" t="s" s="0">
        <v>2084</v>
      </c>
      <c r="AT84" t="s" s="0">
        <v>2085</v>
      </c>
      <c r="AU84" t="s" s="0">
        <v>82</v>
      </c>
      <c r="AV84" t="s" s="0">
        <v>82</v>
      </c>
      <c r="AW84" t="s" s="0">
        <v>2086</v>
      </c>
      <c r="AX84" t="s" s="0">
        <v>2087</v>
      </c>
      <c r="AY84" t="s" s="0">
        <v>2370</v>
      </c>
      <c r="AZ84" t="s" s="0">
        <v>110</v>
      </c>
      <c r="BA84" t="s" s="0">
        <v>2371</v>
      </c>
      <c r="BB84" t="s" s="0">
        <v>101</v>
      </c>
      <c r="BC84" t="s" s="0">
        <v>82</v>
      </c>
      <c r="BD84" t="s" s="0">
        <v>82</v>
      </c>
      <c r="BE84" t="s" s="0">
        <v>82</v>
      </c>
      <c r="BF84" t="s" s="0">
        <v>82</v>
      </c>
      <c r="BG84" t="s" s="0">
        <v>2372</v>
      </c>
      <c r="BH84" t="s" s="0">
        <v>2373</v>
      </c>
      <c r="BI84" t="s" s="0">
        <v>82</v>
      </c>
      <c r="BJ84" t="s" s="0">
        <v>2374</v>
      </c>
      <c r="BK84" t="s" s="165">
        <f>HYPERLINK("http://dx.doi.org/10.1016/j.diii.2023.09.008","http://dx.doi.org/10.1016/j.diii.2023.09.008")</f>
        <v>2375</v>
      </c>
      <c r="BL84" t="s" s="0">
        <v>82</v>
      </c>
      <c r="BM84" t="s" s="0">
        <v>2370</v>
      </c>
      <c r="BN84" t="s" s="0">
        <v>375</v>
      </c>
      <c r="BO84" t="s" s="0">
        <v>414</v>
      </c>
      <c r="BP84" t="s" s="0">
        <v>414</v>
      </c>
      <c r="BQ84" t="s" s="0">
        <v>2376</v>
      </c>
      <c r="BR84" t="s" s="0">
        <v>2377</v>
      </c>
      <c r="BS84" t="s" s="0">
        <v>2378</v>
      </c>
      <c r="BT84" t="s" s="166">
        <f>HYPERLINK("https://www.webofscience.com/wos/woscc/full-record/WOS:001206344400001","View Record in Web of Science")</f>
        <v>120</v>
      </c>
      <c r="BU84" t="s" s="0">
        <v>82</v>
      </c>
      <c r="BV84" t="s" s="0">
        <v>82</v>
      </c>
      <c r="BW84" t="s" s="0">
        <v>82</v>
      </c>
      <c r="BX84" t="s" s="0">
        <v>122</v>
      </c>
    </row>
    <row r="85">
      <c r="A85" t="s" s="0">
        <v>78</v>
      </c>
      <c r="B85" t="s" s="0">
        <v>78</v>
      </c>
      <c r="C85" t="s" s="0">
        <v>77</v>
      </c>
      <c r="D85" t="s" s="0">
        <v>78</v>
      </c>
      <c r="E85" t="s" s="0">
        <v>2379</v>
      </c>
      <c r="F85" t="s" s="0">
        <v>2380</v>
      </c>
      <c r="G85" t="s" s="0">
        <v>2381</v>
      </c>
      <c r="H85" t="s" s="0">
        <v>82</v>
      </c>
      <c r="I85" t="s" s="0">
        <v>83</v>
      </c>
      <c r="J85" t="s" s="0">
        <v>2382</v>
      </c>
      <c r="K85" t="s" s="0">
        <v>2383</v>
      </c>
      <c r="L85" t="s" s="0">
        <v>82</v>
      </c>
      <c r="M85" t="s" s="0">
        <v>82</v>
      </c>
      <c r="N85" t="s" s="0">
        <v>82</v>
      </c>
      <c r="O85" t="s" s="0">
        <v>2384</v>
      </c>
      <c r="P85" t="s" s="0">
        <v>2385</v>
      </c>
      <c r="Q85" t="s" s="0">
        <v>91</v>
      </c>
      <c r="R85" t="s" s="0">
        <v>82</v>
      </c>
      <c r="S85" t="s" s="0">
        <v>82</v>
      </c>
      <c r="T85" t="s" s="0">
        <v>82</v>
      </c>
      <c r="U85" t="s" s="0">
        <v>82</v>
      </c>
      <c r="V85" t="s" s="0">
        <v>2386</v>
      </c>
      <c r="W85" t="s" s="0">
        <v>2387</v>
      </c>
      <c r="X85" t="s" s="0">
        <v>82</v>
      </c>
      <c r="Y85" t="s" s="0">
        <v>82</v>
      </c>
      <c r="Z85" t="s" s="0">
        <v>94</v>
      </c>
      <c r="AA85" t="s" s="0">
        <v>95</v>
      </c>
      <c r="AB85" t="s" s="0">
        <v>82</v>
      </c>
      <c r="AC85" t="s" s="0">
        <v>82</v>
      </c>
      <c r="AD85" t="s" s="0">
        <v>82</v>
      </c>
      <c r="AE85" t="s" s="0">
        <v>82</v>
      </c>
      <c r="AF85" t="s" s="0">
        <v>82</v>
      </c>
      <c r="AG85" t="s" s="0">
        <v>82</v>
      </c>
      <c r="AH85" t="s" s="0">
        <v>2388</v>
      </c>
      <c r="AI85" t="s" s="0">
        <v>2389</v>
      </c>
      <c r="AJ85" t="s" s="0">
        <v>2390</v>
      </c>
      <c r="AK85" t="s" s="0">
        <v>82</v>
      </c>
      <c r="AL85" t="s" s="0">
        <v>1026</v>
      </c>
      <c r="AM85" t="s" s="0">
        <v>115</v>
      </c>
      <c r="AN85" t="s" s="0">
        <v>239</v>
      </c>
      <c r="AO85" t="s" s="0">
        <v>78</v>
      </c>
      <c r="AP85" t="s" s="0">
        <v>101</v>
      </c>
      <c r="AQ85" t="s" s="0">
        <v>2391</v>
      </c>
      <c r="AR85" t="s" s="0">
        <v>203</v>
      </c>
      <c r="AS85" t="s" s="0">
        <v>2392</v>
      </c>
      <c r="AT85" t="s" s="0">
        <v>2393</v>
      </c>
      <c r="AU85" t="s" s="0">
        <v>2394</v>
      </c>
      <c r="AV85" t="s" s="0">
        <v>82</v>
      </c>
      <c r="AW85" t="s" s="0">
        <v>2387</v>
      </c>
      <c r="AX85" t="s" s="0">
        <v>950</v>
      </c>
      <c r="AY85" t="s" s="0">
        <v>1482</v>
      </c>
      <c r="AZ85" t="s" s="0">
        <v>408</v>
      </c>
      <c r="BA85" t="s" s="0">
        <v>2395</v>
      </c>
      <c r="BB85" t="s" s="0">
        <v>447</v>
      </c>
      <c r="BC85" t="s" s="0">
        <v>82</v>
      </c>
      <c r="BD85" t="s" s="0">
        <v>82</v>
      </c>
      <c r="BE85" t="s" s="0">
        <v>82</v>
      </c>
      <c r="BF85" t="s" s="0">
        <v>82</v>
      </c>
      <c r="BG85" t="s" s="0">
        <v>2396</v>
      </c>
      <c r="BH85" t="s" s="0">
        <v>2397</v>
      </c>
      <c r="BI85" t="s" s="0">
        <v>82</v>
      </c>
      <c r="BJ85" t="s" s="0">
        <v>2398</v>
      </c>
      <c r="BK85" t="s" s="167">
        <f>HYPERLINK("http://dx.doi.org/10.1016/j.surg.2022.03.031","http://dx.doi.org/10.1016/j.surg.2022.03.031")</f>
        <v>2399</v>
      </c>
      <c r="BL85" t="s" s="0">
        <v>82</v>
      </c>
      <c r="BM85" t="s" s="0">
        <v>977</v>
      </c>
      <c r="BN85" t="s" s="0">
        <v>138</v>
      </c>
      <c r="BO85" t="s" s="0">
        <v>950</v>
      </c>
      <c r="BP85" t="s" s="0">
        <v>950</v>
      </c>
      <c r="BQ85" t="s" s="0">
        <v>2400</v>
      </c>
      <c r="BR85" t="s" s="0">
        <v>2401</v>
      </c>
      <c r="BS85" t="s" s="0">
        <v>2402</v>
      </c>
      <c r="BT85" t="s" s="168">
        <f>HYPERLINK("https://www.webofscience.com/wos/woscc/full-record/WOS:000863530900027","View Record in Web of Science")</f>
        <v>120</v>
      </c>
      <c r="BU85" t="s" s="0">
        <v>256</v>
      </c>
      <c r="BV85" t="s" s="0">
        <v>82</v>
      </c>
      <c r="BW85" t="s" s="0">
        <v>82</v>
      </c>
      <c r="BX85" t="s" s="0">
        <v>122</v>
      </c>
    </row>
    <row r="86">
      <c r="A86" t="s" s="0">
        <v>78</v>
      </c>
      <c r="B86" t="s" s="0">
        <v>78</v>
      </c>
      <c r="C86" t="s" s="0">
        <v>78</v>
      </c>
      <c r="D86" t="s" s="0">
        <v>78</v>
      </c>
      <c r="E86" t="s" s="0">
        <v>2403</v>
      </c>
      <c r="F86" t="s" s="0">
        <v>2404</v>
      </c>
      <c r="G86" t="s" s="0">
        <v>2405</v>
      </c>
      <c r="H86" t="s" s="0">
        <v>82</v>
      </c>
      <c r="I86" t="s" s="0">
        <v>83</v>
      </c>
      <c r="J86" t="s" s="0">
        <v>2406</v>
      </c>
      <c r="K86" t="s" s="0">
        <v>2407</v>
      </c>
      <c r="L86" t="s" s="0">
        <v>82</v>
      </c>
      <c r="M86" t="s" s="0">
        <v>82</v>
      </c>
      <c r="N86" t="s" s="0">
        <v>82</v>
      </c>
      <c r="O86" t="s" s="0">
        <v>2408</v>
      </c>
      <c r="P86" t="s" s="0">
        <v>2409</v>
      </c>
      <c r="Q86" t="s" s="0">
        <v>91</v>
      </c>
      <c r="R86" t="s" s="0">
        <v>82</v>
      </c>
      <c r="S86" t="s" s="0">
        <v>82</v>
      </c>
      <c r="T86" t="s" s="0">
        <v>82</v>
      </c>
      <c r="U86" t="s" s="0">
        <v>82</v>
      </c>
      <c r="V86" t="s" s="0">
        <v>2410</v>
      </c>
      <c r="W86" t="s" s="0">
        <v>771</v>
      </c>
      <c r="X86" t="s" s="0">
        <v>82</v>
      </c>
      <c r="Y86" t="s" s="0">
        <v>82</v>
      </c>
      <c r="Z86" t="s" s="0">
        <v>94</v>
      </c>
      <c r="AA86" t="s" s="0">
        <v>95</v>
      </c>
      <c r="AB86" t="s" s="0">
        <v>82</v>
      </c>
      <c r="AC86" t="s" s="0">
        <v>82</v>
      </c>
      <c r="AD86" t="s" s="0">
        <v>82</v>
      </c>
      <c r="AE86" t="s" s="0">
        <v>82</v>
      </c>
      <c r="AF86" t="s" s="0">
        <v>82</v>
      </c>
      <c r="AG86" t="s" s="0">
        <v>82</v>
      </c>
      <c r="AH86" t="s" s="0">
        <v>82</v>
      </c>
      <c r="AI86" t="s" s="0">
        <v>2411</v>
      </c>
      <c r="AJ86" t="s" s="0">
        <v>82</v>
      </c>
      <c r="AK86" t="s" s="0">
        <v>82</v>
      </c>
      <c r="AL86" t="s" s="0">
        <v>685</v>
      </c>
      <c r="AM86" t="s" s="0">
        <v>78</v>
      </c>
      <c r="AN86" t="s" s="0">
        <v>78</v>
      </c>
      <c r="AO86" t="s" s="0">
        <v>77</v>
      </c>
      <c r="AP86" t="s" s="0">
        <v>77</v>
      </c>
      <c r="AQ86" t="s" s="0">
        <v>633</v>
      </c>
      <c r="AR86" t="s" s="0">
        <v>634</v>
      </c>
      <c r="AS86" t="s" s="0">
        <v>635</v>
      </c>
      <c r="AT86" t="s" s="0">
        <v>778</v>
      </c>
      <c r="AU86" t="s" s="0">
        <v>82</v>
      </c>
      <c r="AV86" t="s" s="0">
        <v>82</v>
      </c>
      <c r="AW86" t="s" s="0">
        <v>779</v>
      </c>
      <c r="AX86" t="s" s="0">
        <v>780</v>
      </c>
      <c r="AY86" t="s" s="0">
        <v>1503</v>
      </c>
      <c r="AZ86" t="s" s="0">
        <v>181</v>
      </c>
      <c r="BA86" t="s" s="0">
        <v>319</v>
      </c>
      <c r="BB86" t="s" s="0">
        <v>77</v>
      </c>
      <c r="BC86" t="s" s="0">
        <v>82</v>
      </c>
      <c r="BD86" t="s" s="0">
        <v>82</v>
      </c>
      <c r="BE86" t="s" s="0">
        <v>82</v>
      </c>
      <c r="BF86" t="s" s="0">
        <v>82</v>
      </c>
      <c r="BG86" t="s" s="0">
        <v>82</v>
      </c>
      <c r="BH86" t="s" s="0">
        <v>82</v>
      </c>
      <c r="BI86" t="s" s="0">
        <v>2412</v>
      </c>
      <c r="BJ86" t="s" s="0">
        <v>2413</v>
      </c>
      <c r="BK86" t="s" s="169">
        <f>HYPERLINK("http://dx.doi.org/10.1038/s41746-026-02682-7","http://dx.doi.org/10.1038/s41746-026-02682-7")</f>
        <v>2414</v>
      </c>
      <c r="BL86" t="s" s="0">
        <v>82</v>
      </c>
      <c r="BM86" t="s" s="0">
        <v>1365</v>
      </c>
      <c r="BN86" t="s" s="0">
        <v>245</v>
      </c>
      <c r="BO86" t="s" s="0">
        <v>785</v>
      </c>
      <c r="BP86" t="s" s="0">
        <v>785</v>
      </c>
      <c r="BQ86" t="s" s="0">
        <v>1507</v>
      </c>
      <c r="BR86" t="s" s="0">
        <v>2415</v>
      </c>
      <c r="BS86" t="s" s="0">
        <v>2416</v>
      </c>
      <c r="BT86" t="s" s="170">
        <f>HYPERLINK("https://www.webofscience.com/wos/woscc/full-record/WOS:001812075400002","View Record in Web of Science")</f>
        <v>120</v>
      </c>
      <c r="BU86" t="s" s="0">
        <v>121</v>
      </c>
      <c r="BV86" t="s" s="0">
        <v>82</v>
      </c>
      <c r="BW86" t="s" s="0">
        <v>82</v>
      </c>
      <c r="BX86" t="s" s="0">
        <v>122</v>
      </c>
    </row>
    <row r="87">
      <c r="A87" t="s" s="0">
        <v>78</v>
      </c>
      <c r="B87" t="s" s="0">
        <v>78</v>
      </c>
      <c r="C87" t="s" s="0">
        <v>77</v>
      </c>
      <c r="D87" t="s" s="0">
        <v>78</v>
      </c>
      <c r="E87" t="s" s="0">
        <v>2417</v>
      </c>
      <c r="F87" t="s" s="0">
        <v>2418</v>
      </c>
      <c r="G87" t="s" s="0">
        <v>2419</v>
      </c>
      <c r="H87" t="s" s="0">
        <v>82</v>
      </c>
      <c r="I87" t="s" s="0">
        <v>83</v>
      </c>
      <c r="J87" t="s" s="0">
        <v>2420</v>
      </c>
      <c r="K87" t="s" s="0">
        <v>2421</v>
      </c>
      <c r="L87" t="s" s="0">
        <v>2422</v>
      </c>
      <c r="M87" t="s" s="0">
        <v>2423</v>
      </c>
      <c r="N87" t="s" s="0">
        <v>2424</v>
      </c>
      <c r="O87" t="s" s="0">
        <v>2425</v>
      </c>
      <c r="P87" t="s" s="0">
        <v>2426</v>
      </c>
      <c r="Q87" t="s" s="0">
        <v>91</v>
      </c>
      <c r="R87" t="s" s="0">
        <v>82</v>
      </c>
      <c r="S87" t="s" s="0">
        <v>82</v>
      </c>
      <c r="T87" t="s" s="0">
        <v>82</v>
      </c>
      <c r="U87" t="s" s="0">
        <v>82</v>
      </c>
      <c r="V87" t="s" s="0">
        <v>2427</v>
      </c>
      <c r="W87" t="s" s="0">
        <v>2428</v>
      </c>
      <c r="X87" t="s" s="0">
        <v>82</v>
      </c>
      <c r="Y87" t="s" s="0">
        <v>82</v>
      </c>
      <c r="Z87" t="s" s="0">
        <v>94</v>
      </c>
      <c r="AA87" t="s" s="0">
        <v>95</v>
      </c>
      <c r="AB87" t="s" s="0">
        <v>82</v>
      </c>
      <c r="AC87" t="s" s="0">
        <v>82</v>
      </c>
      <c r="AD87" t="s" s="0">
        <v>82</v>
      </c>
      <c r="AE87" t="s" s="0">
        <v>82</v>
      </c>
      <c r="AF87" t="s" s="0">
        <v>82</v>
      </c>
      <c r="AG87" t="s" s="0">
        <v>82</v>
      </c>
      <c r="AH87" t="s" s="0">
        <v>2429</v>
      </c>
      <c r="AI87" t="s" s="0">
        <v>2430</v>
      </c>
      <c r="AJ87" t="s" s="0">
        <v>82</v>
      </c>
      <c r="AK87" t="s" s="0">
        <v>82</v>
      </c>
      <c r="AL87" t="s" s="0">
        <v>111</v>
      </c>
      <c r="AM87" t="s" s="0">
        <v>101</v>
      </c>
      <c r="AN87" t="s" s="0">
        <v>101</v>
      </c>
      <c r="AO87" t="s" s="0">
        <v>447</v>
      </c>
      <c r="AP87" t="s" s="0">
        <v>102</v>
      </c>
      <c r="AQ87" t="s" s="0">
        <v>2391</v>
      </c>
      <c r="AR87" t="s" s="0">
        <v>203</v>
      </c>
      <c r="AS87" t="s" s="0">
        <v>2392</v>
      </c>
      <c r="AT87" t="s" s="0">
        <v>2431</v>
      </c>
      <c r="AU87" t="s" s="0">
        <v>2432</v>
      </c>
      <c r="AV87" t="s" s="0">
        <v>82</v>
      </c>
      <c r="AW87" t="s" s="0">
        <v>2433</v>
      </c>
      <c r="AX87" t="s" s="0">
        <v>2434</v>
      </c>
      <c r="AY87" t="s" s="0">
        <v>146</v>
      </c>
      <c r="AZ87" t="s" s="0">
        <v>147</v>
      </c>
      <c r="BA87" t="s" s="0">
        <v>311</v>
      </c>
      <c r="BB87" t="s" s="0">
        <v>375</v>
      </c>
      <c r="BC87" t="s" s="0">
        <v>82</v>
      </c>
      <c r="BD87" t="s" s="0">
        <v>82</v>
      </c>
      <c r="BE87" t="s" s="0">
        <v>82</v>
      </c>
      <c r="BF87" t="s" s="0">
        <v>82</v>
      </c>
      <c r="BG87" t="s" s="0">
        <v>82</v>
      </c>
      <c r="BH87" t="s" s="0">
        <v>82</v>
      </c>
      <c r="BI87" t="s" s="0">
        <v>2435</v>
      </c>
      <c r="BJ87" t="s" s="0">
        <v>2436</v>
      </c>
      <c r="BK87" t="s" s="171">
        <f>HYPERLINK("http://dx.doi.org/10.1016/j.jaapos.2025.104696","http://dx.doi.org/10.1016/j.jaapos.2025.104696")</f>
        <v>2437</v>
      </c>
      <c r="BL87" t="s" s="0">
        <v>82</v>
      </c>
      <c r="BM87" t="s" s="0">
        <v>82</v>
      </c>
      <c r="BN87" t="s" s="0">
        <v>375</v>
      </c>
      <c r="BO87" t="s" s="0">
        <v>2438</v>
      </c>
      <c r="BP87" t="s" s="0">
        <v>2438</v>
      </c>
      <c r="BQ87" t="s" s="0">
        <v>2439</v>
      </c>
      <c r="BR87" t="s" s="0">
        <v>2440</v>
      </c>
      <c r="BS87" t="s" s="0">
        <v>2441</v>
      </c>
      <c r="BT87" t="s" s="172">
        <f>HYPERLINK("https://www.webofscience.com/wos/woscc/full-record/WOS:001639276400001","View Record in Web of Science")</f>
        <v>120</v>
      </c>
      <c r="BU87" t="s" s="0">
        <v>2442</v>
      </c>
      <c r="BV87" t="s" s="0">
        <v>82</v>
      </c>
      <c r="BW87" t="s" s="0">
        <v>82</v>
      </c>
      <c r="BX87" t="s" s="0">
        <v>122</v>
      </c>
    </row>
    <row r="88">
      <c r="A88" t="s" s="0">
        <v>78</v>
      </c>
      <c r="B88" t="s" s="0">
        <v>78</v>
      </c>
      <c r="C88" t="s" s="0">
        <v>77</v>
      </c>
      <c r="D88" t="s" s="0">
        <v>78</v>
      </c>
      <c r="E88" t="s" s="0">
        <v>2443</v>
      </c>
      <c r="F88" t="s" s="0">
        <v>2444</v>
      </c>
      <c r="G88" t="s" s="0">
        <v>2445</v>
      </c>
      <c r="H88" t="s" s="0">
        <v>82</v>
      </c>
      <c r="I88" t="s" s="0">
        <v>297</v>
      </c>
      <c r="J88" t="s" s="0">
        <v>2446</v>
      </c>
      <c r="K88" t="s" s="0">
        <v>2447</v>
      </c>
      <c r="L88" t="s" s="0">
        <v>2448</v>
      </c>
      <c r="M88" t="s" s="0">
        <v>2449</v>
      </c>
      <c r="N88" t="s" s="0">
        <v>2450</v>
      </c>
      <c r="O88" t="s" s="0">
        <v>2451</v>
      </c>
      <c r="P88" t="s" s="0">
        <v>2452</v>
      </c>
      <c r="Q88" t="s" s="0">
        <v>91</v>
      </c>
      <c r="R88" t="s" s="0">
        <v>82</v>
      </c>
      <c r="S88" t="s" s="0">
        <v>82</v>
      </c>
      <c r="T88" t="s" s="0">
        <v>82</v>
      </c>
      <c r="U88" t="s" s="0">
        <v>82</v>
      </c>
      <c r="V88" t="s" s="0">
        <v>2453</v>
      </c>
      <c r="W88" t="s" s="0">
        <v>2454</v>
      </c>
      <c r="X88" t="s" s="0">
        <v>82</v>
      </c>
      <c r="Y88" t="s" s="0">
        <v>82</v>
      </c>
      <c r="Z88" t="s" s="0">
        <v>94</v>
      </c>
      <c r="AA88" t="s" s="0">
        <v>95</v>
      </c>
      <c r="AB88" t="s" s="0">
        <v>82</v>
      </c>
      <c r="AC88" t="s" s="0">
        <v>82</v>
      </c>
      <c r="AD88" t="s" s="0">
        <v>82</v>
      </c>
      <c r="AE88" t="s" s="0">
        <v>82</v>
      </c>
      <c r="AF88" t="s" s="0">
        <v>82</v>
      </c>
      <c r="AG88" t="s" s="0">
        <v>82</v>
      </c>
      <c r="AH88" t="s" s="0">
        <v>2455</v>
      </c>
      <c r="AI88" t="s" s="0">
        <v>2456</v>
      </c>
      <c r="AJ88" t="s" s="0">
        <v>2457</v>
      </c>
      <c r="AK88" t="s" s="0">
        <v>82</v>
      </c>
      <c r="AL88" t="s" s="0">
        <v>548</v>
      </c>
      <c r="AM88" t="s" s="0">
        <v>102</v>
      </c>
      <c r="AN88" t="s" s="0">
        <v>102</v>
      </c>
      <c r="AO88" t="s" s="0">
        <v>78</v>
      </c>
      <c r="AP88" t="s" s="0">
        <v>77</v>
      </c>
      <c r="AQ88" t="s" s="0">
        <v>2269</v>
      </c>
      <c r="AR88" t="s" s="0">
        <v>104</v>
      </c>
      <c r="AS88" t="s" s="0">
        <v>2270</v>
      </c>
      <c r="AT88" t="s" s="0">
        <v>2458</v>
      </c>
      <c r="AU88" t="s" s="0">
        <v>82</v>
      </c>
      <c r="AV88" t="s" s="0">
        <v>82</v>
      </c>
      <c r="AW88" t="s" s="0">
        <v>2459</v>
      </c>
      <c r="AX88" t="s" s="0">
        <v>2460</v>
      </c>
      <c r="AY88" t="s" s="0">
        <v>2461</v>
      </c>
      <c r="AZ88" t="s" s="0">
        <v>110</v>
      </c>
      <c r="BA88" t="s" s="0">
        <v>102</v>
      </c>
      <c r="BB88" t="s" s="0">
        <v>77</v>
      </c>
      <c r="BC88" t="s" s="0">
        <v>82</v>
      </c>
      <c r="BD88" t="s" s="0">
        <v>82</v>
      </c>
      <c r="BE88" t="s" s="0">
        <v>82</v>
      </c>
      <c r="BF88" t="s" s="0">
        <v>82</v>
      </c>
      <c r="BG88" t="s" s="0">
        <v>82</v>
      </c>
      <c r="BH88" t="s" s="0">
        <v>82</v>
      </c>
      <c r="BI88" t="s" s="0">
        <v>1279</v>
      </c>
      <c r="BJ88" t="s" s="0">
        <v>2462</v>
      </c>
      <c r="BK88" t="s" s="173">
        <f>HYPERLINK("http://dx.doi.org/10.1038/s43856-024-00469-z","http://dx.doi.org/10.1038/s43856-024-00469-z")</f>
        <v>2463</v>
      </c>
      <c r="BL88" t="s" s="0">
        <v>82</v>
      </c>
      <c r="BM88" t="s" s="0">
        <v>82</v>
      </c>
      <c r="BN88" t="s" s="0">
        <v>138</v>
      </c>
      <c r="BO88" t="s" s="0">
        <v>2464</v>
      </c>
      <c r="BP88" t="s" s="0">
        <v>2465</v>
      </c>
      <c r="BQ88" t="s" s="0">
        <v>2466</v>
      </c>
      <c r="BR88" t="s" s="0">
        <v>2467</v>
      </c>
      <c r="BS88" t="s" s="0">
        <v>2468</v>
      </c>
      <c r="BT88" t="s" s="174">
        <f>HYPERLINK("https://www.webofscience.com/wos/woscc/full-record/WOS:001185201600001","View Record in Web of Science")</f>
        <v>120</v>
      </c>
      <c r="BU88" t="s" s="0">
        <v>121</v>
      </c>
      <c r="BV88" t="s" s="0">
        <v>82</v>
      </c>
      <c r="BW88" t="s" s="0">
        <v>82</v>
      </c>
      <c r="BX88" t="s" s="0">
        <v>122</v>
      </c>
    </row>
    <row r="89">
      <c r="A89" t="s" s="0">
        <v>78</v>
      </c>
      <c r="B89" t="s" s="0">
        <v>78</v>
      </c>
      <c r="C89" t="s" s="0">
        <v>78</v>
      </c>
      <c r="D89" t="s" s="0">
        <v>78</v>
      </c>
      <c r="E89" t="s" s="0">
        <v>2469</v>
      </c>
      <c r="F89" t="s" s="0">
        <v>2470</v>
      </c>
      <c r="G89" t="s" s="0">
        <v>2471</v>
      </c>
      <c r="H89" t="s" s="0">
        <v>82</v>
      </c>
      <c r="I89" t="s" s="0">
        <v>83</v>
      </c>
      <c r="J89" t="s" s="0">
        <v>2472</v>
      </c>
      <c r="K89" t="s" s="0">
        <v>2473</v>
      </c>
      <c r="L89" t="s" s="0">
        <v>2474</v>
      </c>
      <c r="M89" t="s" s="0">
        <v>2475</v>
      </c>
      <c r="N89" t="s" s="0">
        <v>2476</v>
      </c>
      <c r="O89" t="s" s="0">
        <v>2477</v>
      </c>
      <c r="P89" t="s" s="0">
        <v>2478</v>
      </c>
      <c r="Q89" t="s" s="0">
        <v>91</v>
      </c>
      <c r="R89" t="s" s="0">
        <v>82</v>
      </c>
      <c r="S89" t="s" s="0">
        <v>82</v>
      </c>
      <c r="T89" t="s" s="0">
        <v>82</v>
      </c>
      <c r="U89" t="s" s="0">
        <v>82</v>
      </c>
      <c r="V89" t="s" s="0">
        <v>2479</v>
      </c>
      <c r="W89" t="s" s="0">
        <v>2480</v>
      </c>
      <c r="X89" t="s" s="0">
        <v>82</v>
      </c>
      <c r="Y89" t="s" s="0">
        <v>82</v>
      </c>
      <c r="Z89" t="s" s="0">
        <v>94</v>
      </c>
      <c r="AA89" t="s" s="0">
        <v>95</v>
      </c>
      <c r="AB89" t="s" s="0">
        <v>82</v>
      </c>
      <c r="AC89" t="s" s="0">
        <v>82</v>
      </c>
      <c r="AD89" t="s" s="0">
        <v>82</v>
      </c>
      <c r="AE89" t="s" s="0">
        <v>82</v>
      </c>
      <c r="AF89" t="s" s="0">
        <v>82</v>
      </c>
      <c r="AG89" t="s" s="0">
        <v>2481</v>
      </c>
      <c r="AH89" t="s" s="0">
        <v>2482</v>
      </c>
      <c r="AI89" t="s" s="0">
        <v>2483</v>
      </c>
      <c r="AJ89" t="s" s="0">
        <v>82</v>
      </c>
      <c r="AK89" t="s" s="0">
        <v>82</v>
      </c>
      <c r="AL89" t="s" s="0">
        <v>238</v>
      </c>
      <c r="AM89" t="s" s="0">
        <v>78</v>
      </c>
      <c r="AN89" t="s" s="0">
        <v>78</v>
      </c>
      <c r="AO89" t="s" s="0">
        <v>447</v>
      </c>
      <c r="AP89" t="s" s="0">
        <v>447</v>
      </c>
      <c r="AQ89" t="s" s="0">
        <v>2484</v>
      </c>
      <c r="AR89" t="s" s="0">
        <v>2485</v>
      </c>
      <c r="AS89" t="s" s="0">
        <v>2486</v>
      </c>
      <c r="AT89" t="s" s="0">
        <v>2487</v>
      </c>
      <c r="AU89" t="s" s="0">
        <v>82</v>
      </c>
      <c r="AV89" t="s" s="0">
        <v>82</v>
      </c>
      <c r="AW89" t="s" s="0">
        <v>2488</v>
      </c>
      <c r="AX89" t="s" s="0">
        <v>2489</v>
      </c>
      <c r="AY89" t="s" s="0">
        <v>2490</v>
      </c>
      <c r="AZ89" t="s" s="0">
        <v>181</v>
      </c>
      <c r="BA89" t="s" s="0">
        <v>239</v>
      </c>
      <c r="BB89" t="s" s="0">
        <v>82</v>
      </c>
      <c r="BC89" t="s" s="0">
        <v>82</v>
      </c>
      <c r="BD89" t="s" s="0">
        <v>82</v>
      </c>
      <c r="BE89" t="s" s="0">
        <v>82</v>
      </c>
      <c r="BF89" t="s" s="0">
        <v>82</v>
      </c>
      <c r="BG89" t="s" s="0">
        <v>82</v>
      </c>
      <c r="BH89" t="s" s="0">
        <v>82</v>
      </c>
      <c r="BI89" t="s" s="0">
        <v>2491</v>
      </c>
      <c r="BJ89" t="s" s="0">
        <v>2492</v>
      </c>
      <c r="BK89" t="s" s="175">
        <f>HYPERLINK("http://dx.doi.org/10.3389/fendo.2026.1746570","http://dx.doi.org/10.3389/fendo.2026.1746570")</f>
        <v>2493</v>
      </c>
      <c r="BL89" t="s" s="0">
        <v>82</v>
      </c>
      <c r="BM89" t="s" s="0">
        <v>82</v>
      </c>
      <c r="BN89" t="s" s="0">
        <v>115</v>
      </c>
      <c r="BO89" t="s" s="0">
        <v>697</v>
      </c>
      <c r="BP89" t="s" s="0">
        <v>697</v>
      </c>
      <c r="BQ89" t="s" s="0">
        <v>2494</v>
      </c>
      <c r="BR89" t="s" s="0">
        <v>2495</v>
      </c>
      <c r="BS89" t="s" s="0">
        <v>2496</v>
      </c>
      <c r="BT89" t="s" s="176">
        <f>HYPERLINK("https://www.webofscience.com/wos/woscc/full-record/WOS:001733305900001","View Record in Web of Science")</f>
        <v>120</v>
      </c>
      <c r="BU89" t="s" s="0">
        <v>121</v>
      </c>
      <c r="BV89" t="s" s="0">
        <v>82</v>
      </c>
      <c r="BW89" t="s" s="0">
        <v>82</v>
      </c>
      <c r="BX89" t="s" s="0">
        <v>122</v>
      </c>
    </row>
    <row r="90">
      <c r="A90" t="s" s="0">
        <v>78</v>
      </c>
      <c r="B90" t="s" s="0">
        <v>78</v>
      </c>
      <c r="C90" t="s" s="0">
        <v>78</v>
      </c>
      <c r="D90" t="s" s="0">
        <v>78</v>
      </c>
      <c r="E90" t="s" s="0">
        <v>2497</v>
      </c>
      <c r="F90" t="s" s="0">
        <v>2498</v>
      </c>
      <c r="G90" t="s" s="0">
        <v>2499</v>
      </c>
      <c r="H90" t="s" s="0">
        <v>82</v>
      </c>
      <c r="I90" t="s" s="0">
        <v>83</v>
      </c>
      <c r="J90" t="s" s="0">
        <v>2500</v>
      </c>
      <c r="K90" t="s" s="0">
        <v>2501</v>
      </c>
      <c r="L90" t="s" s="0">
        <v>82</v>
      </c>
      <c r="M90" t="s" s="0">
        <v>82</v>
      </c>
      <c r="N90" t="s" s="0">
        <v>82</v>
      </c>
      <c r="O90" t="s" s="0">
        <v>2502</v>
      </c>
      <c r="P90" t="s" s="0">
        <v>2503</v>
      </c>
      <c r="Q90" t="s" s="0">
        <v>91</v>
      </c>
      <c r="R90" t="s" s="0">
        <v>82</v>
      </c>
      <c r="S90" t="s" s="0">
        <v>82</v>
      </c>
      <c r="T90" t="s" s="0">
        <v>82</v>
      </c>
      <c r="U90" t="s" s="0">
        <v>82</v>
      </c>
      <c r="V90" t="s" s="0">
        <v>2504</v>
      </c>
      <c r="W90" t="s" s="0">
        <v>1804</v>
      </c>
      <c r="X90" t="s" s="0">
        <v>82</v>
      </c>
      <c r="Y90" t="s" s="0">
        <v>82</v>
      </c>
      <c r="Z90" t="s" s="0">
        <v>94</v>
      </c>
      <c r="AA90" t="s" s="0">
        <v>95</v>
      </c>
      <c r="AB90" t="s" s="0">
        <v>82</v>
      </c>
      <c r="AC90" t="s" s="0">
        <v>82</v>
      </c>
      <c r="AD90" t="s" s="0">
        <v>82</v>
      </c>
      <c r="AE90" t="s" s="0">
        <v>82</v>
      </c>
      <c r="AF90" t="s" s="0">
        <v>82</v>
      </c>
      <c r="AG90" t="s" s="0">
        <v>2505</v>
      </c>
      <c r="AH90" t="s" s="0">
        <v>82</v>
      </c>
      <c r="AI90" t="s" s="0">
        <v>2506</v>
      </c>
      <c r="AJ90" t="s" s="0">
        <v>2507</v>
      </c>
      <c r="AK90" t="s" s="0">
        <v>82</v>
      </c>
      <c r="AL90" t="s" s="0">
        <v>1658</v>
      </c>
      <c r="AM90" t="s" s="0">
        <v>77</v>
      </c>
      <c r="AN90" t="s" s="0">
        <v>77</v>
      </c>
      <c r="AO90" t="s" s="0">
        <v>447</v>
      </c>
      <c r="AP90" t="s" s="0">
        <v>447</v>
      </c>
      <c r="AQ90" t="s" s="0">
        <v>1710</v>
      </c>
      <c r="AR90" t="s" s="0">
        <v>1711</v>
      </c>
      <c r="AS90" t="s" s="0">
        <v>1712</v>
      </c>
      <c r="AT90" t="s" s="0">
        <v>82</v>
      </c>
      <c r="AU90" t="s" s="0">
        <v>1809</v>
      </c>
      <c r="AV90" t="s" s="0">
        <v>82</v>
      </c>
      <c r="AW90" t="s" s="0">
        <v>1810</v>
      </c>
      <c r="AX90" t="s" s="0">
        <v>1811</v>
      </c>
      <c r="AY90" t="s" s="0">
        <v>181</v>
      </c>
      <c r="AZ90" t="s" s="0">
        <v>181</v>
      </c>
      <c r="BA90" t="s" s="0">
        <v>323</v>
      </c>
      <c r="BB90" t="s" s="0">
        <v>82</v>
      </c>
      <c r="BC90" t="s" s="0">
        <v>82</v>
      </c>
      <c r="BD90" t="s" s="0">
        <v>82</v>
      </c>
      <c r="BE90" t="s" s="0">
        <v>82</v>
      </c>
      <c r="BF90" t="s" s="0">
        <v>82</v>
      </c>
      <c r="BG90" t="s" s="0">
        <v>82</v>
      </c>
      <c r="BH90" t="s" s="0">
        <v>82</v>
      </c>
      <c r="BI90" t="s" s="0">
        <v>2508</v>
      </c>
      <c r="BJ90" t="s" s="0">
        <v>2509</v>
      </c>
      <c r="BK90" t="s" s="177">
        <f>HYPERLINK("http://dx.doi.org/10.2196/73283","http://dx.doi.org/10.2196/73283")</f>
        <v>2510</v>
      </c>
      <c r="BL90" t="s" s="0">
        <v>82</v>
      </c>
      <c r="BM90" t="s" s="0">
        <v>82</v>
      </c>
      <c r="BN90" t="s" s="0">
        <v>349</v>
      </c>
      <c r="BO90" t="s" s="0">
        <v>1815</v>
      </c>
      <c r="BP90" t="s" s="0">
        <v>1815</v>
      </c>
      <c r="BQ90" t="s" s="0">
        <v>2511</v>
      </c>
      <c r="BR90" t="s" s="0">
        <v>2512</v>
      </c>
      <c r="BS90" t="s" s="0">
        <v>2513</v>
      </c>
      <c r="BT90" t="s" s="178">
        <f>HYPERLINK("https://www.webofscience.com/wos/woscc/full-record/WOS:001691737900001","View Record in Web of Science")</f>
        <v>120</v>
      </c>
      <c r="BU90" t="s" s="0">
        <v>121</v>
      </c>
      <c r="BV90" t="s" s="0">
        <v>82</v>
      </c>
      <c r="BW90" t="s" s="0">
        <v>82</v>
      </c>
      <c r="BX90" t="s" s="0">
        <v>122</v>
      </c>
    </row>
    <row r="91">
      <c r="A91" t="s" s="0">
        <v>447</v>
      </c>
      <c r="B91" t="s" s="0">
        <v>78</v>
      </c>
      <c r="C91" t="s" s="0">
        <v>375</v>
      </c>
      <c r="D91" t="s" s="0">
        <v>77</v>
      </c>
      <c r="E91" t="s" s="0">
        <v>2514</v>
      </c>
      <c r="F91" t="s" s="0">
        <v>2515</v>
      </c>
      <c r="G91" t="s" s="0">
        <v>2516</v>
      </c>
      <c r="H91" t="s" s="0">
        <v>82</v>
      </c>
      <c r="I91" t="s" s="0">
        <v>83</v>
      </c>
      <c r="J91" t="s" s="0">
        <v>2517</v>
      </c>
      <c r="K91" t="s" s="0">
        <v>2518</v>
      </c>
      <c r="L91" t="s" s="0">
        <v>82</v>
      </c>
      <c r="M91" t="s" s="0">
        <v>82</v>
      </c>
      <c r="N91" t="s" s="0">
        <v>82</v>
      </c>
      <c r="O91" t="s" s="0">
        <v>2519</v>
      </c>
      <c r="P91" t="s" s="0">
        <v>2520</v>
      </c>
      <c r="Q91" t="s" s="0">
        <v>91</v>
      </c>
      <c r="R91" t="s" s="0">
        <v>82</v>
      </c>
      <c r="S91" t="s" s="0">
        <v>82</v>
      </c>
      <c r="T91" t="s" s="0">
        <v>82</v>
      </c>
      <c r="U91" t="s" s="0">
        <v>82</v>
      </c>
      <c r="V91" t="s" s="0">
        <v>2521</v>
      </c>
      <c r="W91" t="s" s="0">
        <v>2522</v>
      </c>
      <c r="X91" t="s" s="0">
        <v>82</v>
      </c>
      <c r="Y91" t="s" s="0">
        <v>82</v>
      </c>
      <c r="Z91" t="s" s="0">
        <v>94</v>
      </c>
      <c r="AA91" t="s" s="0">
        <v>95</v>
      </c>
      <c r="AB91" t="s" s="0">
        <v>82</v>
      </c>
      <c r="AC91" t="s" s="0">
        <v>82</v>
      </c>
      <c r="AD91" t="s" s="0">
        <v>82</v>
      </c>
      <c r="AE91" t="s" s="0">
        <v>82</v>
      </c>
      <c r="AF91" t="s" s="0">
        <v>82</v>
      </c>
      <c r="AG91" t="s" s="0">
        <v>2523</v>
      </c>
      <c r="AH91" t="s" s="0">
        <v>82</v>
      </c>
      <c r="AI91" t="s" s="0">
        <v>2524</v>
      </c>
      <c r="AJ91" t="s" s="0">
        <v>2525</v>
      </c>
      <c r="AK91" t="s" s="0">
        <v>82</v>
      </c>
      <c r="AL91" t="s" s="0">
        <v>685</v>
      </c>
      <c r="AM91" t="s" s="0">
        <v>349</v>
      </c>
      <c r="AN91" t="s" s="0">
        <v>173</v>
      </c>
      <c r="AO91" t="s" s="0">
        <v>77</v>
      </c>
      <c r="AP91" t="s" s="0">
        <v>138</v>
      </c>
      <c r="AQ91" t="s" s="0">
        <v>174</v>
      </c>
      <c r="AR91" t="s" s="0">
        <v>175</v>
      </c>
      <c r="AS91" t="s" s="0">
        <v>176</v>
      </c>
      <c r="AT91" t="s" s="0">
        <v>2526</v>
      </c>
      <c r="AU91" t="s" s="0">
        <v>2527</v>
      </c>
      <c r="AV91" t="s" s="0">
        <v>82</v>
      </c>
      <c r="AW91" t="s" s="0">
        <v>2528</v>
      </c>
      <c r="AX91" t="s" s="0">
        <v>2529</v>
      </c>
      <c r="AY91" t="s" s="0">
        <v>804</v>
      </c>
      <c r="AZ91" t="s" s="0">
        <v>210</v>
      </c>
      <c r="BA91" t="s" s="0">
        <v>464</v>
      </c>
      <c r="BB91" t="s" s="0">
        <v>101</v>
      </c>
      <c r="BC91" t="s" s="0">
        <v>82</v>
      </c>
      <c r="BD91" t="s" s="0">
        <v>82</v>
      </c>
      <c r="BE91" t="s" s="0">
        <v>82</v>
      </c>
      <c r="BF91" t="s" s="0">
        <v>82</v>
      </c>
      <c r="BG91" t="s" s="0">
        <v>2530</v>
      </c>
      <c r="BH91" t="s" s="0">
        <v>2531</v>
      </c>
      <c r="BI91" t="s" s="0">
        <v>82</v>
      </c>
      <c r="BJ91" t="s" s="0">
        <v>2532</v>
      </c>
      <c r="BK91" t="s" s="179">
        <f>HYPERLINK("http://dx.doi.org/10.1002/uog.26242","http://dx.doi.org/10.1002/uog.26242")</f>
        <v>2533</v>
      </c>
      <c r="BL91" t="s" s="0">
        <v>82</v>
      </c>
      <c r="BM91" t="s" s="0">
        <v>82</v>
      </c>
      <c r="BN91" t="s" s="0">
        <v>136</v>
      </c>
      <c r="BO91" t="s" s="0">
        <v>2534</v>
      </c>
      <c r="BP91" t="s" s="0">
        <v>2534</v>
      </c>
      <c r="BQ91" t="s" s="0">
        <v>2535</v>
      </c>
      <c r="BR91" t="s" s="0">
        <v>2536</v>
      </c>
      <c r="BS91" t="s" s="0">
        <v>2537</v>
      </c>
      <c r="BT91" t="s" s="180">
        <f>HYPERLINK("https://www.webofscience.com/wos/woscc/full-record/WOS:001059666400006","View Record in Web of Science")</f>
        <v>120</v>
      </c>
      <c r="BU91" t="s" s="0">
        <v>256</v>
      </c>
      <c r="BV91" t="s" s="0">
        <v>82</v>
      </c>
      <c r="BW91" t="s" s="0">
        <v>82</v>
      </c>
      <c r="BX91" t="s" s="0">
        <v>122</v>
      </c>
    </row>
    <row r="92">
      <c r="A92" t="s" s="0">
        <v>78</v>
      </c>
      <c r="B92" t="s" s="0">
        <v>78</v>
      </c>
      <c r="C92" t="s" s="0">
        <v>78</v>
      </c>
      <c r="D92" t="s" s="0">
        <v>78</v>
      </c>
      <c r="E92" t="s" s="0">
        <v>2538</v>
      </c>
      <c r="F92" t="s" s="0">
        <v>2539</v>
      </c>
      <c r="G92" t="s" s="0">
        <v>2540</v>
      </c>
      <c r="H92" t="s" s="0">
        <v>82</v>
      </c>
      <c r="I92" t="s" s="0">
        <v>83</v>
      </c>
      <c r="J92" t="s" s="0">
        <v>2541</v>
      </c>
      <c r="K92" t="s" s="0">
        <v>2542</v>
      </c>
      <c r="L92" t="s" s="0">
        <v>2543</v>
      </c>
      <c r="M92" t="s" s="0">
        <v>2544</v>
      </c>
      <c r="N92" t="s" s="0">
        <v>2545</v>
      </c>
      <c r="O92" t="s" s="0">
        <v>2546</v>
      </c>
      <c r="P92" t="s" s="0">
        <v>2547</v>
      </c>
      <c r="Q92" t="s" s="0">
        <v>91</v>
      </c>
      <c r="R92" t="s" s="0">
        <v>82</v>
      </c>
      <c r="S92" t="s" s="0">
        <v>82</v>
      </c>
      <c r="T92" t="s" s="0">
        <v>82</v>
      </c>
      <c r="U92" t="s" s="0">
        <v>82</v>
      </c>
      <c r="V92" t="s" s="0">
        <v>2548</v>
      </c>
      <c r="W92" t="s" s="0">
        <v>2549</v>
      </c>
      <c r="X92" t="s" s="0">
        <v>82</v>
      </c>
      <c r="Y92" t="s" s="0">
        <v>82</v>
      </c>
      <c r="Z92" t="s" s="0">
        <v>94</v>
      </c>
      <c r="AA92" t="s" s="0">
        <v>95</v>
      </c>
      <c r="AB92" t="s" s="0">
        <v>82</v>
      </c>
      <c r="AC92" t="s" s="0">
        <v>82</v>
      </c>
      <c r="AD92" t="s" s="0">
        <v>82</v>
      </c>
      <c r="AE92" t="s" s="0">
        <v>82</v>
      </c>
      <c r="AF92" t="s" s="0">
        <v>82</v>
      </c>
      <c r="AG92" t="s" s="0">
        <v>82</v>
      </c>
      <c r="AH92" t="s" s="0">
        <v>2550</v>
      </c>
      <c r="AI92" t="s" s="0">
        <v>2551</v>
      </c>
      <c r="AJ92" t="s" s="0">
        <v>2552</v>
      </c>
      <c r="AK92" t="s" s="0">
        <v>82</v>
      </c>
      <c r="AL92" t="s" s="0">
        <v>1186</v>
      </c>
      <c r="AM92" t="s" s="0">
        <v>221</v>
      </c>
      <c r="AN92" t="s" s="0">
        <v>221</v>
      </c>
      <c r="AO92" t="s" s="0">
        <v>375</v>
      </c>
      <c r="AP92" t="s" s="0">
        <v>137</v>
      </c>
      <c r="AQ92" t="s" s="0">
        <v>2241</v>
      </c>
      <c r="AR92" t="s" s="0">
        <v>2242</v>
      </c>
      <c r="AS92" t="s" s="0">
        <v>2243</v>
      </c>
      <c r="AT92" t="s" s="0">
        <v>2553</v>
      </c>
      <c r="AU92" t="s" s="0">
        <v>2554</v>
      </c>
      <c r="AV92" t="s" s="0">
        <v>82</v>
      </c>
      <c r="AW92" t="s" s="0">
        <v>2549</v>
      </c>
      <c r="AX92" t="s" s="0">
        <v>2555</v>
      </c>
      <c r="AY92" t="s" s="0">
        <v>497</v>
      </c>
      <c r="AZ92" t="s" s="0">
        <v>147</v>
      </c>
      <c r="BA92" t="s" s="0">
        <v>2556</v>
      </c>
      <c r="BB92" t="s" s="0">
        <v>101</v>
      </c>
      <c r="BC92" t="s" s="0">
        <v>82</v>
      </c>
      <c r="BD92" t="s" s="0">
        <v>82</v>
      </c>
      <c r="BE92" t="s" s="0">
        <v>82</v>
      </c>
      <c r="BF92" t="s" s="0">
        <v>82</v>
      </c>
      <c r="BG92" t="s" s="0">
        <v>82</v>
      </c>
      <c r="BH92" t="s" s="0">
        <v>82</v>
      </c>
      <c r="BI92" t="s" s="0">
        <v>2557</v>
      </c>
      <c r="BJ92" t="s" s="0">
        <v>2558</v>
      </c>
      <c r="BK92" t="s" s="181">
        <f>HYPERLINK("http://dx.doi.org/10.1148/radiol.250568","http://dx.doi.org/10.1148/radiol.250568")</f>
        <v>2559</v>
      </c>
      <c r="BL92" t="s" s="0">
        <v>82</v>
      </c>
      <c r="BM92" t="s" s="0">
        <v>82</v>
      </c>
      <c r="BN92" t="s" s="0">
        <v>245</v>
      </c>
      <c r="BO92" t="s" s="0">
        <v>414</v>
      </c>
      <c r="BP92" t="s" s="0">
        <v>414</v>
      </c>
      <c r="BQ92" t="s" s="0">
        <v>2560</v>
      </c>
      <c r="BR92" t="s" s="0">
        <v>2561</v>
      </c>
      <c r="BS92" t="s" s="0">
        <v>2562</v>
      </c>
      <c r="BT92" t="s" s="182">
        <f>HYPERLINK("https://www.webofscience.com/wos/woscc/full-record/WOS:001583307900001","View Record in Web of Science")</f>
        <v>120</v>
      </c>
      <c r="BU92" t="s" s="0">
        <v>82</v>
      </c>
      <c r="BV92" t="s" s="0">
        <v>82</v>
      </c>
      <c r="BW92" t="s" s="0">
        <v>82</v>
      </c>
      <c r="BX92" t="s" s="0">
        <v>122</v>
      </c>
    </row>
    <row r="93">
      <c r="A93" t="s" s="0">
        <v>78</v>
      </c>
      <c r="B93" t="s" s="0">
        <v>78</v>
      </c>
      <c r="C93" t="s" s="0">
        <v>136</v>
      </c>
      <c r="D93" t="s" s="0">
        <v>78</v>
      </c>
      <c r="E93" t="s" s="0">
        <v>2563</v>
      </c>
      <c r="F93" t="s" s="0">
        <v>2564</v>
      </c>
      <c r="G93" t="s" s="0">
        <v>2565</v>
      </c>
      <c r="H93" t="s" s="0">
        <v>82</v>
      </c>
      <c r="I93" t="s" s="0">
        <v>83</v>
      </c>
      <c r="J93" t="s" s="0">
        <v>2566</v>
      </c>
      <c r="K93" t="s" s="0">
        <v>2567</v>
      </c>
      <c r="L93" t="s" s="0">
        <v>82</v>
      </c>
      <c r="M93" t="s" s="0">
        <v>82</v>
      </c>
      <c r="N93" t="s" s="0">
        <v>82</v>
      </c>
      <c r="O93" t="s" s="0">
        <v>2568</v>
      </c>
      <c r="P93" t="s" s="0">
        <v>82</v>
      </c>
      <c r="Q93" t="s" s="0">
        <v>91</v>
      </c>
      <c r="R93" t="s" s="0">
        <v>82</v>
      </c>
      <c r="S93" t="s" s="0">
        <v>82</v>
      </c>
      <c r="T93" t="s" s="0">
        <v>82</v>
      </c>
      <c r="U93" t="s" s="0">
        <v>82</v>
      </c>
      <c r="V93" t="s" s="0">
        <v>2569</v>
      </c>
      <c r="W93" t="s" s="0">
        <v>2570</v>
      </c>
      <c r="X93" t="s" s="0">
        <v>82</v>
      </c>
      <c r="Y93" t="s" s="0">
        <v>82</v>
      </c>
      <c r="Z93" t="s" s="0">
        <v>94</v>
      </c>
      <c r="AA93" t="s" s="0">
        <v>95</v>
      </c>
      <c r="AB93" t="s" s="0">
        <v>82</v>
      </c>
      <c r="AC93" t="s" s="0">
        <v>82</v>
      </c>
      <c r="AD93" t="s" s="0">
        <v>82</v>
      </c>
      <c r="AE93" t="s" s="0">
        <v>82</v>
      </c>
      <c r="AF93" t="s" s="0">
        <v>82</v>
      </c>
      <c r="AG93" t="s" s="0">
        <v>2571</v>
      </c>
      <c r="AH93" t="s" s="0">
        <v>2572</v>
      </c>
      <c r="AI93" t="s" s="0">
        <v>2573</v>
      </c>
      <c r="AJ93" t="s" s="0">
        <v>2574</v>
      </c>
      <c r="AK93" t="s" s="0">
        <v>82</v>
      </c>
      <c r="AL93" t="s" s="0">
        <v>2575</v>
      </c>
      <c r="AM93" t="s" s="0">
        <v>115</v>
      </c>
      <c r="AN93" t="s" s="0">
        <v>323</v>
      </c>
      <c r="AO93" t="s" s="0">
        <v>101</v>
      </c>
      <c r="AP93" t="s" s="0">
        <v>149</v>
      </c>
      <c r="AQ93" t="s" s="0">
        <v>1445</v>
      </c>
      <c r="AR93" t="s" s="0">
        <v>492</v>
      </c>
      <c r="AS93" t="s" s="0">
        <v>1446</v>
      </c>
      <c r="AT93" t="s" s="0">
        <v>2576</v>
      </c>
      <c r="AU93" t="s" s="0">
        <v>2577</v>
      </c>
      <c r="AV93" t="s" s="0">
        <v>82</v>
      </c>
      <c r="AW93" t="s" s="0">
        <v>2578</v>
      </c>
      <c r="AX93" t="s" s="0">
        <v>2579</v>
      </c>
      <c r="AY93" t="s" s="0">
        <v>1482</v>
      </c>
      <c r="AZ93" t="s" s="0">
        <v>408</v>
      </c>
      <c r="BA93" t="s" s="0">
        <v>2580</v>
      </c>
      <c r="BB93" t="s" s="0">
        <v>82</v>
      </c>
      <c r="BC93" t="s" s="0">
        <v>82</v>
      </c>
      <c r="BD93" t="s" s="0">
        <v>82</v>
      </c>
      <c r="BE93" t="s" s="0">
        <v>82</v>
      </c>
      <c r="BF93" t="s" s="0">
        <v>82</v>
      </c>
      <c r="BG93" t="s" s="0">
        <v>323</v>
      </c>
      <c r="BH93" t="s" s="0">
        <v>831</v>
      </c>
      <c r="BI93" t="s" s="0">
        <v>82</v>
      </c>
      <c r="BJ93" t="s" s="0">
        <v>2581</v>
      </c>
      <c r="BK93" t="s" s="183">
        <f>HYPERLINK("http://dx.doi.org/10.1016/j.thromres.2022.05.016","http://dx.doi.org/10.1016/j.thromres.2022.05.016")</f>
        <v>2582</v>
      </c>
      <c r="BL93" t="s" s="0">
        <v>82</v>
      </c>
      <c r="BM93" t="s" s="0">
        <v>2030</v>
      </c>
      <c r="BN93" t="s" s="0">
        <v>136</v>
      </c>
      <c r="BO93" t="s" s="0">
        <v>2583</v>
      </c>
      <c r="BP93" t="s" s="0">
        <v>2584</v>
      </c>
      <c r="BQ93" t="s" s="0">
        <v>2585</v>
      </c>
      <c r="BR93" t="s" s="0">
        <v>2586</v>
      </c>
      <c r="BS93" t="s" s="0">
        <v>2587</v>
      </c>
      <c r="BT93" t="s" s="184">
        <f>HYPERLINK("https://www.webofscience.com/wos/woscc/full-record/WOS:000813001200002","View Record in Web of Science")</f>
        <v>120</v>
      </c>
      <c r="BU93" t="s" s="0">
        <v>159</v>
      </c>
      <c r="BV93" t="s" s="0">
        <v>82</v>
      </c>
      <c r="BW93" t="s" s="0">
        <v>82</v>
      </c>
      <c r="BX93" t="s" s="0">
        <v>122</v>
      </c>
    </row>
    <row r="94">
      <c r="A94" t="s" s="0">
        <v>78</v>
      </c>
      <c r="B94" t="s" s="0">
        <v>78</v>
      </c>
      <c r="C94" t="s" s="0">
        <v>78</v>
      </c>
      <c r="D94" t="s" s="0">
        <v>78</v>
      </c>
      <c r="E94" t="s" s="0">
        <v>2588</v>
      </c>
      <c r="F94" t="s" s="0">
        <v>2589</v>
      </c>
      <c r="G94" t="s" s="0">
        <v>2590</v>
      </c>
      <c r="H94" t="s" s="0">
        <v>82</v>
      </c>
      <c r="I94" t="s" s="0">
        <v>83</v>
      </c>
      <c r="J94" t="s" s="0">
        <v>2591</v>
      </c>
      <c r="K94" t="s" s="0">
        <v>2592</v>
      </c>
      <c r="L94" t="s" s="0">
        <v>2593</v>
      </c>
      <c r="M94" t="s" s="0">
        <v>2594</v>
      </c>
      <c r="N94" t="s" s="0">
        <v>2595</v>
      </c>
      <c r="O94" t="s" s="0">
        <v>2596</v>
      </c>
      <c r="P94" t="s" s="0">
        <v>2597</v>
      </c>
      <c r="Q94" t="s" s="0">
        <v>91</v>
      </c>
      <c r="R94" t="s" s="0">
        <v>82</v>
      </c>
      <c r="S94" t="s" s="0">
        <v>82</v>
      </c>
      <c r="T94" t="s" s="0">
        <v>82</v>
      </c>
      <c r="U94" t="s" s="0">
        <v>82</v>
      </c>
      <c r="V94" t="s" s="0">
        <v>2598</v>
      </c>
      <c r="W94" t="s" s="0">
        <v>2599</v>
      </c>
      <c r="X94" t="s" s="0">
        <v>82</v>
      </c>
      <c r="Y94" t="s" s="0">
        <v>82</v>
      </c>
      <c r="Z94" t="s" s="0">
        <v>94</v>
      </c>
      <c r="AA94" t="s" s="0">
        <v>95</v>
      </c>
      <c r="AB94" t="s" s="0">
        <v>82</v>
      </c>
      <c r="AC94" t="s" s="0">
        <v>82</v>
      </c>
      <c r="AD94" t="s" s="0">
        <v>82</v>
      </c>
      <c r="AE94" t="s" s="0">
        <v>82</v>
      </c>
      <c r="AF94" t="s" s="0">
        <v>82</v>
      </c>
      <c r="AG94" t="s" s="0">
        <v>2600</v>
      </c>
      <c r="AH94" t="s" s="0">
        <v>2601</v>
      </c>
      <c r="AI94" t="s" s="0">
        <v>82</v>
      </c>
      <c r="AJ94" t="s" s="0">
        <v>82</v>
      </c>
      <c r="AK94" t="s" s="0">
        <v>82</v>
      </c>
      <c r="AL94" t="s" s="0">
        <v>632</v>
      </c>
      <c r="AM94" t="s" s="0">
        <v>77</v>
      </c>
      <c r="AN94" t="s" s="0">
        <v>77</v>
      </c>
      <c r="AO94" t="s" s="0">
        <v>447</v>
      </c>
      <c r="AP94" t="s" s="0">
        <v>447</v>
      </c>
      <c r="AQ94" t="s" s="0">
        <v>2602</v>
      </c>
      <c r="AR94" t="s" s="0">
        <v>2603</v>
      </c>
      <c r="AS94" t="s" s="0">
        <v>2604</v>
      </c>
      <c r="AT94" t="s" s="0">
        <v>2605</v>
      </c>
      <c r="AU94" t="s" s="0">
        <v>2606</v>
      </c>
      <c r="AV94" t="s" s="0">
        <v>82</v>
      </c>
      <c r="AW94" t="s" s="0">
        <v>2607</v>
      </c>
      <c r="AX94" t="s" s="0">
        <v>2608</v>
      </c>
      <c r="AY94" t="s" s="0">
        <v>2609</v>
      </c>
      <c r="AZ94" t="s" s="0">
        <v>181</v>
      </c>
      <c r="BA94" t="s" s="0">
        <v>2610</v>
      </c>
      <c r="BB94" t="s" s="0">
        <v>77</v>
      </c>
      <c r="BC94" t="s" s="0">
        <v>82</v>
      </c>
      <c r="BD94" t="s" s="0">
        <v>82</v>
      </c>
      <c r="BE94" t="s" s="0">
        <v>82</v>
      </c>
      <c r="BF94" t="s" s="0">
        <v>82</v>
      </c>
      <c r="BG94" t="s" s="0">
        <v>82</v>
      </c>
      <c r="BH94" t="s" s="0">
        <v>82</v>
      </c>
      <c r="BI94" t="s" s="0">
        <v>148</v>
      </c>
      <c r="BJ94" t="s" s="0">
        <v>2611</v>
      </c>
      <c r="BK94" t="s" s="185">
        <f>HYPERLINK("http://dx.doi.org/10.1007/s00228-025-03941-4","http://dx.doi.org/10.1007/s00228-025-03941-4")</f>
        <v>2612</v>
      </c>
      <c r="BL94" t="s" s="0">
        <v>82</v>
      </c>
      <c r="BM94" t="s" s="0">
        <v>82</v>
      </c>
      <c r="BN94" t="s" s="0">
        <v>323</v>
      </c>
      <c r="BO94" t="s" s="0">
        <v>156</v>
      </c>
      <c r="BP94" t="s" s="0">
        <v>156</v>
      </c>
      <c r="BQ94" t="s" s="0">
        <v>2613</v>
      </c>
      <c r="BR94" t="s" s="0">
        <v>2614</v>
      </c>
      <c r="BS94" t="s" s="0">
        <v>2615</v>
      </c>
      <c r="BT94" t="s" s="186">
        <f>HYPERLINK("https://www.webofscience.com/wos/woscc/full-record/WOS:001652510700001","View Record in Web of Science")</f>
        <v>120</v>
      </c>
      <c r="BU94" t="s" s="0">
        <v>82</v>
      </c>
      <c r="BV94" t="s" s="0">
        <v>82</v>
      </c>
      <c r="BW94" t="s" s="0">
        <v>82</v>
      </c>
      <c r="BX94" t="s" s="0">
        <v>122</v>
      </c>
    </row>
    <row r="95">
      <c r="A95" t="s" s="0">
        <v>77</v>
      </c>
      <c r="B95" t="s" s="0">
        <v>78</v>
      </c>
      <c r="C95" t="s" s="0">
        <v>447</v>
      </c>
      <c r="D95" t="s" s="0">
        <v>78</v>
      </c>
      <c r="E95" t="s" s="0">
        <v>2616</v>
      </c>
      <c r="F95" t="s" s="0">
        <v>2617</v>
      </c>
      <c r="G95" t="s" s="0">
        <v>2618</v>
      </c>
      <c r="H95" t="s" s="0">
        <v>82</v>
      </c>
      <c r="I95" t="s" s="0">
        <v>83</v>
      </c>
      <c r="J95" t="s" s="0">
        <v>2619</v>
      </c>
      <c r="K95" t="s" s="0">
        <v>2620</v>
      </c>
      <c r="L95" t="s" s="0">
        <v>82</v>
      </c>
      <c r="M95" t="s" s="0">
        <v>82</v>
      </c>
      <c r="N95" t="s" s="0">
        <v>82</v>
      </c>
      <c r="O95" t="s" s="0">
        <v>2621</v>
      </c>
      <c r="P95" t="s" s="0">
        <v>2622</v>
      </c>
      <c r="Q95" t="s" s="0">
        <v>91</v>
      </c>
      <c r="R95" t="s" s="0">
        <v>82</v>
      </c>
      <c r="S95" t="s" s="0">
        <v>82</v>
      </c>
      <c r="T95" t="s" s="0">
        <v>82</v>
      </c>
      <c r="U95" t="s" s="0">
        <v>82</v>
      </c>
      <c r="V95" t="s" s="0">
        <v>2623</v>
      </c>
      <c r="W95" t="s" s="0">
        <v>2624</v>
      </c>
      <c r="X95" t="s" s="0">
        <v>82</v>
      </c>
      <c r="Y95" t="s" s="0">
        <v>82</v>
      </c>
      <c r="Z95" t="s" s="0">
        <v>94</v>
      </c>
      <c r="AA95" t="s" s="0">
        <v>95</v>
      </c>
      <c r="AB95" t="s" s="0">
        <v>82</v>
      </c>
      <c r="AC95" t="s" s="0">
        <v>82</v>
      </c>
      <c r="AD95" t="s" s="0">
        <v>82</v>
      </c>
      <c r="AE95" t="s" s="0">
        <v>82</v>
      </c>
      <c r="AF95" t="s" s="0">
        <v>82</v>
      </c>
      <c r="AG95" t="s" s="0">
        <v>2625</v>
      </c>
      <c r="AH95" t="s" s="0">
        <v>2626</v>
      </c>
      <c r="AI95" t="s" s="0">
        <v>82</v>
      </c>
      <c r="AJ95" t="s" s="0">
        <v>2627</v>
      </c>
      <c r="AK95" t="s" s="0">
        <v>82</v>
      </c>
      <c r="AL95" t="s" s="0">
        <v>374</v>
      </c>
      <c r="AM95" t="s" s="0">
        <v>319</v>
      </c>
      <c r="AN95" t="s" s="0">
        <v>245</v>
      </c>
      <c r="AO95" t="s" s="0">
        <v>78</v>
      </c>
      <c r="AP95" t="s" s="0">
        <v>101</v>
      </c>
      <c r="AQ95" t="s" s="0">
        <v>202</v>
      </c>
      <c r="AR95" t="s" s="0">
        <v>203</v>
      </c>
      <c r="AS95" t="s" s="0">
        <v>204</v>
      </c>
      <c r="AT95" t="s" s="0">
        <v>2628</v>
      </c>
      <c r="AU95" t="s" s="0">
        <v>2629</v>
      </c>
      <c r="AV95" t="s" s="0">
        <v>82</v>
      </c>
      <c r="AW95" t="s" s="0">
        <v>2630</v>
      </c>
      <c r="AX95" t="s" s="0">
        <v>2631</v>
      </c>
      <c r="AY95" t="s" s="0">
        <v>2370</v>
      </c>
      <c r="AZ95" t="s" s="0">
        <v>110</v>
      </c>
      <c r="BA95" t="s" s="0">
        <v>2632</v>
      </c>
      <c r="BB95" t="s" s="0">
        <v>101</v>
      </c>
      <c r="BC95" t="s" s="0">
        <v>82</v>
      </c>
      <c r="BD95" t="s" s="0">
        <v>82</v>
      </c>
      <c r="BE95" t="s" s="0">
        <v>82</v>
      </c>
      <c r="BF95" t="s" s="0">
        <v>82</v>
      </c>
      <c r="BG95" t="s" s="0">
        <v>2633</v>
      </c>
      <c r="BH95" t="s" s="0">
        <v>806</v>
      </c>
      <c r="BI95" t="s" s="0">
        <v>82</v>
      </c>
      <c r="BJ95" t="s" s="0">
        <v>2634</v>
      </c>
      <c r="BK95" t="s" s="187">
        <f>HYPERLINK("http://dx.doi.org/10.1016/j.amjms.2023.12.009","http://dx.doi.org/10.1016/j.amjms.2023.12.009")</f>
        <v>2635</v>
      </c>
      <c r="BL95" t="s" s="0">
        <v>82</v>
      </c>
      <c r="BM95" t="s" s="0">
        <v>2108</v>
      </c>
      <c r="BN95" t="s" s="0">
        <v>375</v>
      </c>
      <c r="BO95" t="s" s="0">
        <v>354</v>
      </c>
      <c r="BP95" t="s" s="0">
        <v>355</v>
      </c>
      <c r="BQ95" t="s" s="0">
        <v>2636</v>
      </c>
      <c r="BR95" t="s" s="0">
        <v>2637</v>
      </c>
      <c r="BS95" t="s" s="0">
        <v>2638</v>
      </c>
      <c r="BT95" t="s" s="188">
        <f>HYPERLINK("https://www.webofscience.com/wos/woscc/full-record/WOS:001179249300001","View Record in Web of Science")</f>
        <v>120</v>
      </c>
      <c r="BU95" t="s" s="0">
        <v>82</v>
      </c>
      <c r="BV95" t="s" s="0">
        <v>82</v>
      </c>
      <c r="BW95" t="s" s="0">
        <v>82</v>
      </c>
      <c r="BX95" t="s" s="0">
        <v>122</v>
      </c>
    </row>
    <row r="96">
      <c r="A96" t="s" s="0">
        <v>77</v>
      </c>
      <c r="B96" t="s" s="0">
        <v>78</v>
      </c>
      <c r="C96" t="s" s="0">
        <v>221</v>
      </c>
      <c r="D96" t="s" s="0">
        <v>78</v>
      </c>
      <c r="E96" t="s" s="0">
        <v>2639</v>
      </c>
      <c r="F96" t="s" s="0">
        <v>2640</v>
      </c>
      <c r="G96" t="s" s="0">
        <v>2641</v>
      </c>
      <c r="H96" t="s" s="0">
        <v>82</v>
      </c>
      <c r="I96" t="s" s="0">
        <v>589</v>
      </c>
      <c r="J96" t="s" s="0">
        <v>2642</v>
      </c>
      <c r="K96" t="s" s="0">
        <v>2643</v>
      </c>
      <c r="L96" t="s" s="0">
        <v>2644</v>
      </c>
      <c r="M96" t="s" s="0">
        <v>2645</v>
      </c>
      <c r="N96" t="s" s="0">
        <v>2646</v>
      </c>
      <c r="O96" t="s" s="0">
        <v>2647</v>
      </c>
      <c r="P96" t="s" s="0">
        <v>2648</v>
      </c>
      <c r="Q96" t="s" s="0">
        <v>91</v>
      </c>
      <c r="R96" t="s" s="0">
        <v>82</v>
      </c>
      <c r="S96" t="s" s="0">
        <v>82</v>
      </c>
      <c r="T96" t="s" s="0">
        <v>82</v>
      </c>
      <c r="U96" t="s" s="0">
        <v>82</v>
      </c>
      <c r="V96" t="s" s="0">
        <v>2649</v>
      </c>
      <c r="W96" t="s" s="0">
        <v>2650</v>
      </c>
      <c r="X96" t="s" s="0">
        <v>82</v>
      </c>
      <c r="Y96" t="s" s="0">
        <v>82</v>
      </c>
      <c r="Z96" t="s" s="0">
        <v>94</v>
      </c>
      <c r="AA96" t="s" s="0">
        <v>95</v>
      </c>
      <c r="AB96" t="s" s="0">
        <v>82</v>
      </c>
      <c r="AC96" t="s" s="0">
        <v>82</v>
      </c>
      <c r="AD96" t="s" s="0">
        <v>82</v>
      </c>
      <c r="AE96" t="s" s="0">
        <v>82</v>
      </c>
      <c r="AF96" t="s" s="0">
        <v>82</v>
      </c>
      <c r="AG96" t="s" s="0">
        <v>2651</v>
      </c>
      <c r="AH96" t="s" s="0">
        <v>2652</v>
      </c>
      <c r="AI96" t="s" s="0">
        <v>2653</v>
      </c>
      <c r="AJ96" t="s" s="0">
        <v>2654</v>
      </c>
      <c r="AK96" t="s" s="0">
        <v>82</v>
      </c>
      <c r="AL96" t="s" s="0">
        <v>548</v>
      </c>
      <c r="AM96" t="s" s="0">
        <v>349</v>
      </c>
      <c r="AN96" t="s" s="0">
        <v>239</v>
      </c>
      <c r="AO96" t="s" s="0">
        <v>77</v>
      </c>
      <c r="AP96" t="s" s="0">
        <v>375</v>
      </c>
      <c r="AQ96" t="s" s="0">
        <v>174</v>
      </c>
      <c r="AR96" t="s" s="0">
        <v>175</v>
      </c>
      <c r="AS96" t="s" s="0">
        <v>176</v>
      </c>
      <c r="AT96" t="s" s="0">
        <v>2655</v>
      </c>
      <c r="AU96" t="s" s="0">
        <v>2656</v>
      </c>
      <c r="AV96" t="s" s="0">
        <v>82</v>
      </c>
      <c r="AW96" t="s" s="0">
        <v>2650</v>
      </c>
      <c r="AX96" t="s" s="0">
        <v>2657</v>
      </c>
      <c r="AY96" t="s" s="0">
        <v>2658</v>
      </c>
      <c r="AZ96" t="s" s="0">
        <v>408</v>
      </c>
      <c r="BA96" t="s" s="0">
        <v>2659</v>
      </c>
      <c r="BB96" t="s" s="0">
        <v>102</v>
      </c>
      <c r="BC96" t="s" s="0">
        <v>82</v>
      </c>
      <c r="BD96" t="s" s="0">
        <v>82</v>
      </c>
      <c r="BE96" t="s" s="0">
        <v>82</v>
      </c>
      <c r="BF96" t="s" s="0">
        <v>82</v>
      </c>
      <c r="BG96" t="s" s="0">
        <v>2660</v>
      </c>
      <c r="BH96" t="s" s="0">
        <v>2661</v>
      </c>
      <c r="BI96" t="s" s="0">
        <v>82</v>
      </c>
      <c r="BJ96" t="s" s="0">
        <v>2662</v>
      </c>
      <c r="BK96" t="s" s="189">
        <f>HYPERLINK("http://dx.doi.org/10.1111/add.15730","http://dx.doi.org/10.1111/add.15730")</f>
        <v>2663</v>
      </c>
      <c r="BL96" t="s" s="0">
        <v>82</v>
      </c>
      <c r="BM96" t="s" s="0">
        <v>2664</v>
      </c>
      <c r="BN96" t="s" s="0">
        <v>319</v>
      </c>
      <c r="BO96" t="s" s="0">
        <v>2665</v>
      </c>
      <c r="BP96" t="s" s="0">
        <v>2665</v>
      </c>
      <c r="BQ96" t="s" s="0">
        <v>2666</v>
      </c>
      <c r="BR96" t="s" s="0">
        <v>2667</v>
      </c>
      <c r="BS96" t="s" s="0">
        <v>2668</v>
      </c>
      <c r="BT96" t="s" s="190">
        <f>HYPERLINK("https://www.webofscience.com/wos/woscc/full-record/WOS:000722272100001","View Record in Web of Science")</f>
        <v>120</v>
      </c>
      <c r="BU96" t="s" s="0">
        <v>256</v>
      </c>
      <c r="BV96" t="s" s="0">
        <v>82</v>
      </c>
      <c r="BW96" t="s" s="0">
        <v>82</v>
      </c>
      <c r="BX96" t="s" s="0">
        <v>122</v>
      </c>
    </row>
    <row r="97">
      <c r="A97" t="s" s="0">
        <v>77</v>
      </c>
      <c r="B97" t="s" s="0">
        <v>78</v>
      </c>
      <c r="C97" t="s" s="0">
        <v>245</v>
      </c>
      <c r="D97" t="s" s="0">
        <v>78</v>
      </c>
      <c r="E97" t="s" s="0">
        <v>2669</v>
      </c>
      <c r="F97" t="s" s="0">
        <v>2670</v>
      </c>
      <c r="G97" t="s" s="0">
        <v>2671</v>
      </c>
      <c r="H97" t="s" s="0">
        <v>82</v>
      </c>
      <c r="I97" t="s" s="0">
        <v>83</v>
      </c>
      <c r="J97" t="s" s="0">
        <v>2672</v>
      </c>
      <c r="K97" t="s" s="0">
        <v>2673</v>
      </c>
      <c r="L97" t="s" s="0">
        <v>2674</v>
      </c>
      <c r="M97" t="s" s="0">
        <v>2675</v>
      </c>
      <c r="N97" t="s" s="0">
        <v>2676</v>
      </c>
      <c r="O97" t="s" s="0">
        <v>2677</v>
      </c>
      <c r="P97" t="s" s="0">
        <v>2678</v>
      </c>
      <c r="Q97" t="s" s="0">
        <v>91</v>
      </c>
      <c r="R97" t="s" s="0">
        <v>82</v>
      </c>
      <c r="S97" t="s" s="0">
        <v>82</v>
      </c>
      <c r="T97" t="s" s="0">
        <v>82</v>
      </c>
      <c r="U97" t="s" s="0">
        <v>82</v>
      </c>
      <c r="V97" t="s" s="0">
        <v>2679</v>
      </c>
      <c r="W97" t="s" s="0">
        <v>2680</v>
      </c>
      <c r="X97" t="s" s="0">
        <v>82</v>
      </c>
      <c r="Y97" t="s" s="0">
        <v>82</v>
      </c>
      <c r="Z97" t="s" s="0">
        <v>94</v>
      </c>
      <c r="AA97" t="s" s="0">
        <v>95</v>
      </c>
      <c r="AB97" t="s" s="0">
        <v>82</v>
      </c>
      <c r="AC97" t="s" s="0">
        <v>82</v>
      </c>
      <c r="AD97" t="s" s="0">
        <v>82</v>
      </c>
      <c r="AE97" t="s" s="0">
        <v>82</v>
      </c>
      <c r="AF97" t="s" s="0">
        <v>82</v>
      </c>
      <c r="AG97" t="s" s="0">
        <v>2681</v>
      </c>
      <c r="AH97" t="s" s="0">
        <v>2682</v>
      </c>
      <c r="AI97" t="s" s="0">
        <v>2683</v>
      </c>
      <c r="AJ97" t="s" s="0">
        <v>2684</v>
      </c>
      <c r="AK97" t="s" s="0">
        <v>82</v>
      </c>
      <c r="AL97" t="s" s="0">
        <v>1161</v>
      </c>
      <c r="AM97" t="s" s="0">
        <v>463</v>
      </c>
      <c r="AN97" t="s" s="0">
        <v>755</v>
      </c>
      <c r="AO97" t="s" s="0">
        <v>101</v>
      </c>
      <c r="AP97" t="s" s="0">
        <v>311</v>
      </c>
      <c r="AQ97" t="s" s="0">
        <v>174</v>
      </c>
      <c r="AR97" t="s" s="0">
        <v>175</v>
      </c>
      <c r="AS97" t="s" s="0">
        <v>176</v>
      </c>
      <c r="AT97" t="s" s="0">
        <v>2685</v>
      </c>
      <c r="AU97" t="s" s="0">
        <v>2686</v>
      </c>
      <c r="AV97" t="s" s="0">
        <v>82</v>
      </c>
      <c r="AW97" t="s" s="0">
        <v>2687</v>
      </c>
      <c r="AX97" t="s" s="0">
        <v>2688</v>
      </c>
      <c r="AY97" t="s" s="0">
        <v>612</v>
      </c>
      <c r="AZ97" t="s" s="0">
        <v>408</v>
      </c>
      <c r="BA97" t="s" s="0">
        <v>1320</v>
      </c>
      <c r="BB97" t="s" s="0">
        <v>77</v>
      </c>
      <c r="BC97" t="s" s="0">
        <v>82</v>
      </c>
      <c r="BD97" t="s" s="0">
        <v>82</v>
      </c>
      <c r="BE97" t="s" s="0">
        <v>82</v>
      </c>
      <c r="BF97" t="s" s="0">
        <v>82</v>
      </c>
      <c r="BG97" t="s" s="0">
        <v>135</v>
      </c>
      <c r="BH97" t="s" s="0">
        <v>2689</v>
      </c>
      <c r="BI97" t="s" s="0">
        <v>82</v>
      </c>
      <c r="BJ97" t="s" s="0">
        <v>2690</v>
      </c>
      <c r="BK97" t="s" s="191">
        <f>HYPERLINK("http://dx.doi.org/10.1111/iwj.13603","http://dx.doi.org/10.1111/iwj.13603")</f>
        <v>2691</v>
      </c>
      <c r="BL97" t="s" s="0">
        <v>82</v>
      </c>
      <c r="BM97" t="s" s="0">
        <v>1844</v>
      </c>
      <c r="BN97" t="s" s="0">
        <v>137</v>
      </c>
      <c r="BO97" t="s" s="0">
        <v>2692</v>
      </c>
      <c r="BP97" t="s" s="0">
        <v>2692</v>
      </c>
      <c r="BQ97" t="s" s="0">
        <v>2693</v>
      </c>
      <c r="BR97" t="s" s="0">
        <v>2694</v>
      </c>
      <c r="BS97" t="s" s="0">
        <v>2695</v>
      </c>
      <c r="BT97" t="s" s="192">
        <f>HYPERLINK("https://www.webofscience.com/wos/woscc/full-record/WOS:000646659000001","View Record in Web of Science")</f>
        <v>120</v>
      </c>
      <c r="BU97" t="s" s="0">
        <v>121</v>
      </c>
      <c r="BV97" t="s" s="0">
        <v>82</v>
      </c>
      <c r="BW97" t="s" s="0">
        <v>82</v>
      </c>
      <c r="BX97" t="s" s="0">
        <v>122</v>
      </c>
    </row>
    <row r="98">
      <c r="A98" t="s" s="0">
        <v>78</v>
      </c>
      <c r="B98" t="s" s="0">
        <v>78</v>
      </c>
      <c r="C98" t="s" s="0">
        <v>138</v>
      </c>
      <c r="D98" t="s" s="0">
        <v>78</v>
      </c>
      <c r="E98" t="s" s="0">
        <v>2696</v>
      </c>
      <c r="F98" t="s" s="0">
        <v>2697</v>
      </c>
      <c r="G98" t="s" s="0">
        <v>2698</v>
      </c>
      <c r="H98" t="s" s="0">
        <v>82</v>
      </c>
      <c r="I98" t="s" s="0">
        <v>83</v>
      </c>
      <c r="J98" t="s" s="0">
        <v>2699</v>
      </c>
      <c r="K98" t="s" s="0">
        <v>2700</v>
      </c>
      <c r="L98" t="s" s="0">
        <v>2701</v>
      </c>
      <c r="M98" t="s" s="0">
        <v>2701</v>
      </c>
      <c r="N98" t="s" s="0">
        <v>2702</v>
      </c>
      <c r="O98" t="s" s="0">
        <v>2703</v>
      </c>
      <c r="P98" t="s" s="0">
        <v>2704</v>
      </c>
      <c r="Q98" t="s" s="0">
        <v>91</v>
      </c>
      <c r="R98" t="s" s="0">
        <v>82</v>
      </c>
      <c r="S98" t="s" s="0">
        <v>82</v>
      </c>
      <c r="T98" t="s" s="0">
        <v>82</v>
      </c>
      <c r="U98" t="s" s="0">
        <v>82</v>
      </c>
      <c r="V98" t="s" s="0">
        <v>2705</v>
      </c>
      <c r="W98" t="s" s="0">
        <v>2706</v>
      </c>
      <c r="X98" t="s" s="0">
        <v>82</v>
      </c>
      <c r="Y98" t="s" s="0">
        <v>82</v>
      </c>
      <c r="Z98" t="s" s="0">
        <v>94</v>
      </c>
      <c r="AA98" t="s" s="0">
        <v>95</v>
      </c>
      <c r="AB98" t="s" s="0">
        <v>82</v>
      </c>
      <c r="AC98" t="s" s="0">
        <v>82</v>
      </c>
      <c r="AD98" t="s" s="0">
        <v>82</v>
      </c>
      <c r="AE98" t="s" s="0">
        <v>82</v>
      </c>
      <c r="AF98" t="s" s="0">
        <v>82</v>
      </c>
      <c r="AG98" t="s" s="0">
        <v>2707</v>
      </c>
      <c r="AH98" t="s" s="0">
        <v>2708</v>
      </c>
      <c r="AI98" t="s" s="0">
        <v>2709</v>
      </c>
      <c r="AJ98" t="s" s="0">
        <v>2710</v>
      </c>
      <c r="AK98" t="s" s="0">
        <v>82</v>
      </c>
      <c r="AL98" t="s" s="0">
        <v>201</v>
      </c>
      <c r="AM98" t="s" s="0">
        <v>173</v>
      </c>
      <c r="AN98" t="s" s="0">
        <v>1161</v>
      </c>
      <c r="AO98" t="s" s="0">
        <v>78</v>
      </c>
      <c r="AP98" t="s" s="0">
        <v>375</v>
      </c>
      <c r="AQ98" t="s" s="0">
        <v>2051</v>
      </c>
      <c r="AR98" t="s" s="0">
        <v>203</v>
      </c>
      <c r="AS98" t="s" s="0">
        <v>2052</v>
      </c>
      <c r="AT98" t="s" s="0">
        <v>2711</v>
      </c>
      <c r="AU98" t="s" s="0">
        <v>82</v>
      </c>
      <c r="AV98" t="s" s="0">
        <v>82</v>
      </c>
      <c r="AW98" t="s" s="0">
        <v>2712</v>
      </c>
      <c r="AX98" t="s" s="0">
        <v>2713</v>
      </c>
      <c r="AY98" t="s" s="0">
        <v>2714</v>
      </c>
      <c r="AZ98" t="s" s="0">
        <v>525</v>
      </c>
      <c r="BA98" t="s" s="0">
        <v>319</v>
      </c>
      <c r="BB98" t="s" s="0">
        <v>77</v>
      </c>
      <c r="BC98" t="s" s="0">
        <v>82</v>
      </c>
      <c r="BD98" t="s" s="0">
        <v>82</v>
      </c>
      <c r="BE98" t="s" s="0">
        <v>82</v>
      </c>
      <c r="BF98" t="s" s="0">
        <v>82</v>
      </c>
      <c r="BG98" t="s" s="0">
        <v>82</v>
      </c>
      <c r="BH98" t="s" s="0">
        <v>82</v>
      </c>
      <c r="BI98" t="s" s="0">
        <v>828</v>
      </c>
      <c r="BJ98" t="s" s="0">
        <v>2715</v>
      </c>
      <c r="BK98" t="s" s="193">
        <f>HYPERLINK("http://dx.doi.org/10.1007/s13755-021-00167-3","http://dx.doi.org/10.1007/s13755-021-00167-3")</f>
        <v>2716</v>
      </c>
      <c r="BL98" t="s" s="0">
        <v>82</v>
      </c>
      <c r="BM98" t="s" s="0">
        <v>82</v>
      </c>
      <c r="BN98" t="s" s="0">
        <v>349</v>
      </c>
      <c r="BO98" t="s" s="0">
        <v>1815</v>
      </c>
      <c r="BP98" t="s" s="0">
        <v>1815</v>
      </c>
      <c r="BQ98" t="s" s="0">
        <v>2717</v>
      </c>
      <c r="BR98" t="s" s="0">
        <v>2718</v>
      </c>
      <c r="BS98" t="s" s="0">
        <v>2719</v>
      </c>
      <c r="BT98" t="s" s="194">
        <f>HYPERLINK("https://www.webofscience.com/wos/woscc/full-record/WOS:000710212900001","View Record in Web of Science")</f>
        <v>120</v>
      </c>
      <c r="BU98" t="s" s="0">
        <v>256</v>
      </c>
      <c r="BV98" t="s" s="0">
        <v>82</v>
      </c>
      <c r="BW98" t="s" s="0">
        <v>82</v>
      </c>
      <c r="BX98" t="s" s="0">
        <v>122</v>
      </c>
    </row>
    <row r="99">
      <c r="A99" t="s" s="0">
        <v>78</v>
      </c>
      <c r="B99" t="s" s="0">
        <v>78</v>
      </c>
      <c r="C99" t="s" s="0">
        <v>78</v>
      </c>
      <c r="D99" t="s" s="0">
        <v>78</v>
      </c>
      <c r="E99" t="s" s="0">
        <v>2720</v>
      </c>
      <c r="F99" t="s" s="0">
        <v>2721</v>
      </c>
      <c r="G99" t="s" s="0">
        <v>2722</v>
      </c>
      <c r="H99" t="s" s="0">
        <v>82</v>
      </c>
      <c r="I99" t="s" s="0">
        <v>589</v>
      </c>
      <c r="J99" t="s" s="0">
        <v>2723</v>
      </c>
      <c r="K99" t="s" s="0">
        <v>2724</v>
      </c>
      <c r="L99" t="s" s="0">
        <v>2725</v>
      </c>
      <c r="M99" t="s" s="0">
        <v>2726</v>
      </c>
      <c r="N99" t="s" s="0">
        <v>2727</v>
      </c>
      <c r="O99" t="s" s="0">
        <v>2728</v>
      </c>
      <c r="P99" t="s" s="0">
        <v>82</v>
      </c>
      <c r="Q99" t="s" s="0">
        <v>91</v>
      </c>
      <c r="R99" t="s" s="0">
        <v>82</v>
      </c>
      <c r="S99" t="s" s="0">
        <v>82</v>
      </c>
      <c r="T99" t="s" s="0">
        <v>82</v>
      </c>
      <c r="U99" t="s" s="0">
        <v>82</v>
      </c>
      <c r="V99" t="s" s="0">
        <v>2729</v>
      </c>
      <c r="W99" t="s" s="0">
        <v>2730</v>
      </c>
      <c r="X99" t="s" s="0">
        <v>82</v>
      </c>
      <c r="Y99" t="s" s="0">
        <v>82</v>
      </c>
      <c r="Z99" t="s" s="0">
        <v>94</v>
      </c>
      <c r="AA99" t="s" s="0">
        <v>95</v>
      </c>
      <c r="AB99" t="s" s="0">
        <v>82</v>
      </c>
      <c r="AC99" t="s" s="0">
        <v>82</v>
      </c>
      <c r="AD99" t="s" s="0">
        <v>82</v>
      </c>
      <c r="AE99" t="s" s="0">
        <v>82</v>
      </c>
      <c r="AF99" t="s" s="0">
        <v>82</v>
      </c>
      <c r="AG99" t="s" s="0">
        <v>2731</v>
      </c>
      <c r="AH99" t="s" s="0">
        <v>2732</v>
      </c>
      <c r="AI99" t="s" s="0">
        <v>82</v>
      </c>
      <c r="AJ99" t="s" s="0">
        <v>82</v>
      </c>
      <c r="AK99" t="s" s="0">
        <v>82</v>
      </c>
      <c r="AL99" t="s" s="0">
        <v>238</v>
      </c>
      <c r="AM99" t="s" s="0">
        <v>78</v>
      </c>
      <c r="AN99" t="s" s="0">
        <v>78</v>
      </c>
      <c r="AO99" t="s" s="0">
        <v>78</v>
      </c>
      <c r="AP99" t="s" s="0">
        <v>78</v>
      </c>
      <c r="AQ99" t="s" s="0">
        <v>1280</v>
      </c>
      <c r="AR99" t="s" s="0">
        <v>104</v>
      </c>
      <c r="AS99" t="s" s="0">
        <v>1281</v>
      </c>
      <c r="AT99" t="s" s="0">
        <v>2733</v>
      </c>
      <c r="AU99" t="s" s="0">
        <v>82</v>
      </c>
      <c r="AV99" t="s" s="0">
        <v>82</v>
      </c>
      <c r="AW99" t="s" s="0">
        <v>2734</v>
      </c>
      <c r="AX99" t="s" s="0">
        <v>2735</v>
      </c>
      <c r="AY99" t="s" s="0">
        <v>181</v>
      </c>
      <c r="AZ99" t="s" s="0">
        <v>181</v>
      </c>
      <c r="BA99" t="s" s="0">
        <v>149</v>
      </c>
      <c r="BB99" t="s" s="0">
        <v>82</v>
      </c>
      <c r="BC99" t="s" s="0">
        <v>82</v>
      </c>
      <c r="BD99" t="s" s="0">
        <v>82</v>
      </c>
      <c r="BE99" t="s" s="0">
        <v>82</v>
      </c>
      <c r="BF99" t="s" s="0">
        <v>82</v>
      </c>
      <c r="BG99" t="s" s="0">
        <v>82</v>
      </c>
      <c r="BH99" t="s" s="0">
        <v>82</v>
      </c>
      <c r="BI99" t="s" s="0">
        <v>2736</v>
      </c>
      <c r="BJ99" t="s" s="0">
        <v>2737</v>
      </c>
      <c r="BK99" t="s" s="195">
        <f>HYPERLINK("http://dx.doi.org/10.1177/20552076261469389","http://dx.doi.org/10.1177/20552076261469389")</f>
        <v>2738</v>
      </c>
      <c r="BL99" t="s" s="0">
        <v>82</v>
      </c>
      <c r="BM99" t="s" s="0">
        <v>82</v>
      </c>
      <c r="BN99" t="s" s="0">
        <v>239</v>
      </c>
      <c r="BO99" t="s" s="0">
        <v>2739</v>
      </c>
      <c r="BP99" t="s" s="0">
        <v>2740</v>
      </c>
      <c r="BQ99" t="s" s="0">
        <v>2741</v>
      </c>
      <c r="BR99" t="s" s="0">
        <v>82</v>
      </c>
      <c r="BS99" t="s" s="0">
        <v>2742</v>
      </c>
      <c r="BT99" t="s" s="196">
        <f>HYPERLINK("https://www.webofscience.com/wos/woscc/full-record/WOS:001823528000001","View Record in Web of Science")</f>
        <v>120</v>
      </c>
      <c r="BU99" t="s" s="0">
        <v>1008</v>
      </c>
      <c r="BV99" t="s" s="0">
        <v>82</v>
      </c>
      <c r="BW99" t="s" s="0">
        <v>82</v>
      </c>
      <c r="BX99" t="s" s="0">
        <v>122</v>
      </c>
    </row>
    <row r="100">
      <c r="A100" t="s" s="0">
        <v>78</v>
      </c>
      <c r="B100" t="s" s="0">
        <v>78</v>
      </c>
      <c r="C100" t="s" s="0">
        <v>78</v>
      </c>
      <c r="D100" t="s" s="0">
        <v>78</v>
      </c>
      <c r="E100" t="s" s="0">
        <v>2743</v>
      </c>
      <c r="F100" t="s" s="0">
        <v>2744</v>
      </c>
      <c r="G100" t="s" s="0">
        <v>2745</v>
      </c>
      <c r="H100" t="s" s="0">
        <v>82</v>
      </c>
      <c r="I100" t="s" s="0">
        <v>83</v>
      </c>
      <c r="J100" t="s" s="0">
        <v>2746</v>
      </c>
      <c r="K100" t="s" s="0">
        <v>2747</v>
      </c>
      <c r="L100" t="s" s="0">
        <v>82</v>
      </c>
      <c r="M100" t="s" s="0">
        <v>82</v>
      </c>
      <c r="N100" t="s" s="0">
        <v>82</v>
      </c>
      <c r="O100" t="s" s="0">
        <v>2748</v>
      </c>
      <c r="P100" t="s" s="0">
        <v>2749</v>
      </c>
      <c r="Q100" t="s" s="0">
        <v>91</v>
      </c>
      <c r="R100" t="s" s="0">
        <v>82</v>
      </c>
      <c r="S100" t="s" s="0">
        <v>82</v>
      </c>
      <c r="T100" t="s" s="0">
        <v>82</v>
      </c>
      <c r="U100" t="s" s="0">
        <v>82</v>
      </c>
      <c r="V100" t="s" s="0">
        <v>2750</v>
      </c>
      <c r="W100" t="s" s="0">
        <v>2751</v>
      </c>
      <c r="X100" t="s" s="0">
        <v>82</v>
      </c>
      <c r="Y100" t="s" s="0">
        <v>82</v>
      </c>
      <c r="Z100" t="s" s="0">
        <v>94</v>
      </c>
      <c r="AA100" t="s" s="0">
        <v>95</v>
      </c>
      <c r="AB100" t="s" s="0">
        <v>82</v>
      </c>
      <c r="AC100" t="s" s="0">
        <v>82</v>
      </c>
      <c r="AD100" t="s" s="0">
        <v>82</v>
      </c>
      <c r="AE100" t="s" s="0">
        <v>82</v>
      </c>
      <c r="AF100" t="s" s="0">
        <v>82</v>
      </c>
      <c r="AG100" t="s" s="0">
        <v>2752</v>
      </c>
      <c r="AH100" t="s" s="0">
        <v>2753</v>
      </c>
      <c r="AI100" t="s" s="0">
        <v>2754</v>
      </c>
      <c r="AJ100" t="s" s="0">
        <v>82</v>
      </c>
      <c r="AK100" t="s" s="0">
        <v>82</v>
      </c>
      <c r="AL100" t="s" s="0">
        <v>238</v>
      </c>
      <c r="AM100" t="s" s="0">
        <v>77</v>
      </c>
      <c r="AN100" t="s" s="0">
        <v>77</v>
      </c>
      <c r="AO100" t="s" s="0">
        <v>78</v>
      </c>
      <c r="AP100" t="s" s="0">
        <v>78</v>
      </c>
      <c r="AQ100" t="s" s="0">
        <v>103</v>
      </c>
      <c r="AR100" t="s" s="0">
        <v>104</v>
      </c>
      <c r="AS100" t="s" s="0">
        <v>105</v>
      </c>
      <c r="AT100" t="s" s="0">
        <v>82</v>
      </c>
      <c r="AU100" t="s" s="0">
        <v>2755</v>
      </c>
      <c r="AV100" t="s" s="0">
        <v>82</v>
      </c>
      <c r="AW100" t="s" s="0">
        <v>2756</v>
      </c>
      <c r="AX100" t="s" s="0">
        <v>2757</v>
      </c>
      <c r="AY100" t="s" s="0">
        <v>2758</v>
      </c>
      <c r="AZ100" t="s" s="0">
        <v>181</v>
      </c>
      <c r="BA100" t="s" s="0">
        <v>111</v>
      </c>
      <c r="BB100" t="s" s="0">
        <v>77</v>
      </c>
      <c r="BC100" t="s" s="0">
        <v>82</v>
      </c>
      <c r="BD100" t="s" s="0">
        <v>82</v>
      </c>
      <c r="BE100" t="s" s="0">
        <v>82</v>
      </c>
      <c r="BF100" t="s" s="0">
        <v>82</v>
      </c>
      <c r="BG100" t="s" s="0">
        <v>82</v>
      </c>
      <c r="BH100" t="s" s="0">
        <v>82</v>
      </c>
      <c r="BI100" t="s" s="0">
        <v>2759</v>
      </c>
      <c r="BJ100" t="s" s="0">
        <v>2760</v>
      </c>
      <c r="BK100" t="s" s="197">
        <f>HYPERLINK("http://dx.doi.org/10.1186/s12938-026-01585-8","http://dx.doi.org/10.1186/s12938-026-01585-8")</f>
        <v>2761</v>
      </c>
      <c r="BL100" t="s" s="0">
        <v>82</v>
      </c>
      <c r="BM100" t="s" s="0">
        <v>1003</v>
      </c>
      <c r="BN100" t="s" s="0">
        <v>831</v>
      </c>
      <c r="BO100" t="s" s="0">
        <v>2762</v>
      </c>
      <c r="BP100" t="s" s="0">
        <v>2763</v>
      </c>
      <c r="BQ100" t="s" s="0">
        <v>2764</v>
      </c>
      <c r="BR100" t="s" s="0">
        <v>2765</v>
      </c>
      <c r="BS100" t="s" s="0">
        <v>2766</v>
      </c>
      <c r="BT100" t="s" s="198">
        <f>HYPERLINK("https://www.webofscience.com/wos/woscc/full-record/WOS:001809903500001","View Record in Web of Science")</f>
        <v>120</v>
      </c>
      <c r="BU100" t="s" s="0">
        <v>121</v>
      </c>
      <c r="BV100" t="s" s="0">
        <v>82</v>
      </c>
      <c r="BW100" t="s" s="0">
        <v>82</v>
      </c>
      <c r="BX100" t="s" s="0">
        <v>122</v>
      </c>
    </row>
    <row r="101">
      <c r="A101" t="s" s="0">
        <v>78</v>
      </c>
      <c r="B101" t="s" s="0">
        <v>78</v>
      </c>
      <c r="C101" t="s" s="0">
        <v>102</v>
      </c>
      <c r="D101" t="s" s="0">
        <v>78</v>
      </c>
      <c r="E101" t="s" s="0">
        <v>2767</v>
      </c>
      <c r="F101" t="s" s="0">
        <v>2768</v>
      </c>
      <c r="G101" t="s" s="0">
        <v>2769</v>
      </c>
      <c r="H101" t="s" s="0">
        <v>82</v>
      </c>
      <c r="I101" t="s" s="0">
        <v>83</v>
      </c>
      <c r="J101" t="s" s="0">
        <v>2770</v>
      </c>
      <c r="K101" t="s" s="0">
        <v>2771</v>
      </c>
      <c r="L101" t="s" s="0">
        <v>2772</v>
      </c>
      <c r="M101" t="s" s="0">
        <v>2773</v>
      </c>
      <c r="N101" t="s" s="0">
        <v>2774</v>
      </c>
      <c r="O101" t="s" s="0">
        <v>2775</v>
      </c>
      <c r="P101" t="s" s="0">
        <v>2776</v>
      </c>
      <c r="Q101" t="s" s="0">
        <v>91</v>
      </c>
      <c r="R101" t="s" s="0">
        <v>82</v>
      </c>
      <c r="S101" t="s" s="0">
        <v>82</v>
      </c>
      <c r="T101" t="s" s="0">
        <v>82</v>
      </c>
      <c r="U101" t="s" s="0">
        <v>82</v>
      </c>
      <c r="V101" t="s" s="0">
        <v>2777</v>
      </c>
      <c r="W101" t="s" s="0">
        <v>2778</v>
      </c>
      <c r="X101" t="s" s="0">
        <v>82</v>
      </c>
      <c r="Y101" t="s" s="0">
        <v>82</v>
      </c>
      <c r="Z101" t="s" s="0">
        <v>94</v>
      </c>
      <c r="AA101" t="s" s="0">
        <v>95</v>
      </c>
      <c r="AB101" t="s" s="0">
        <v>82</v>
      </c>
      <c r="AC101" t="s" s="0">
        <v>82</v>
      </c>
      <c r="AD101" t="s" s="0">
        <v>82</v>
      </c>
      <c r="AE101" t="s" s="0">
        <v>82</v>
      </c>
      <c r="AF101" t="s" s="0">
        <v>82</v>
      </c>
      <c r="AG101" t="s" s="0">
        <v>2779</v>
      </c>
      <c r="AH101" t="s" s="0">
        <v>2780</v>
      </c>
      <c r="AI101" t="s" s="0">
        <v>2781</v>
      </c>
      <c r="AJ101" t="s" s="0">
        <v>2782</v>
      </c>
      <c r="AK101" t="s" s="0">
        <v>82</v>
      </c>
      <c r="AL101" t="s" s="0">
        <v>239</v>
      </c>
      <c r="AM101" t="s" s="0">
        <v>138</v>
      </c>
      <c r="AN101" t="s" s="0">
        <v>319</v>
      </c>
      <c r="AO101" t="s" s="0">
        <v>78</v>
      </c>
      <c r="AP101" t="s" s="0">
        <v>447</v>
      </c>
      <c r="AQ101" t="s" s="0">
        <v>2783</v>
      </c>
      <c r="AR101" t="s" s="0">
        <v>2784</v>
      </c>
      <c r="AS101" t="s" s="0">
        <v>2785</v>
      </c>
      <c r="AT101" t="s" s="0">
        <v>2786</v>
      </c>
      <c r="AU101" t="s" s="0">
        <v>2787</v>
      </c>
      <c r="AV101" t="s" s="0">
        <v>82</v>
      </c>
      <c r="AW101" t="s" s="0">
        <v>2788</v>
      </c>
      <c r="AX101" t="s" s="0">
        <v>2789</v>
      </c>
      <c r="AY101" t="s" s="0">
        <v>2790</v>
      </c>
      <c r="AZ101" t="s" s="0">
        <v>210</v>
      </c>
      <c r="BA101" t="s" s="0">
        <v>831</v>
      </c>
      <c r="BB101" t="s" s="0">
        <v>77</v>
      </c>
      <c r="BC101" t="s" s="0">
        <v>82</v>
      </c>
      <c r="BD101" t="s" s="0">
        <v>82</v>
      </c>
      <c r="BE101" t="s" s="0">
        <v>82</v>
      </c>
      <c r="BF101" t="s" s="0">
        <v>82</v>
      </c>
      <c r="BG101" t="s" s="0">
        <v>137</v>
      </c>
      <c r="BH101" t="s" s="0">
        <v>154</v>
      </c>
      <c r="BI101" t="s" s="0">
        <v>82</v>
      </c>
      <c r="BJ101" t="s" s="0">
        <v>2791</v>
      </c>
      <c r="BK101" t="s" s="199">
        <f>HYPERLINK("http://dx.doi.org/10.1370/afm.2902","http://dx.doi.org/10.1370/afm.2902")</f>
        <v>2792</v>
      </c>
      <c r="BL101" t="s" s="0">
        <v>82</v>
      </c>
      <c r="BM101" t="s" s="0">
        <v>82</v>
      </c>
      <c r="BN101" t="s" s="0">
        <v>136</v>
      </c>
      <c r="BO101" t="s" s="0">
        <v>2793</v>
      </c>
      <c r="BP101" t="s" s="0">
        <v>355</v>
      </c>
      <c r="BQ101" t="s" s="0">
        <v>2794</v>
      </c>
      <c r="BR101" t="s" s="0">
        <v>2795</v>
      </c>
      <c r="BS101" t="s" s="0">
        <v>2796</v>
      </c>
      <c r="BT101" t="s" s="200">
        <f>HYPERLINK("https://www.webofscience.com/wos/woscc/full-record/WOS:000942278800003","View Record in Web of Science")</f>
        <v>120</v>
      </c>
      <c r="BU101" t="s" s="0">
        <v>121</v>
      </c>
      <c r="BV101" t="s" s="0">
        <v>82</v>
      </c>
      <c r="BW101" t="s" s="0">
        <v>82</v>
      </c>
      <c r="BX101" t="s" s="0">
        <v>122</v>
      </c>
    </row>
    <row r="102">
      <c r="A102" t="s" s="0">
        <v>78</v>
      </c>
      <c r="B102" t="s" s="0">
        <v>78</v>
      </c>
      <c r="C102" t="s" s="0">
        <v>78</v>
      </c>
      <c r="D102" t="s" s="0">
        <v>78</v>
      </c>
      <c r="E102" t="s" s="0">
        <v>2797</v>
      </c>
      <c r="F102" t="s" s="0">
        <v>2798</v>
      </c>
      <c r="G102" t="s" s="0">
        <v>2799</v>
      </c>
      <c r="H102" t="s" s="0">
        <v>82</v>
      </c>
      <c r="I102" t="s" s="0">
        <v>83</v>
      </c>
      <c r="J102" t="s" s="0">
        <v>2800</v>
      </c>
      <c r="K102" t="s" s="0">
        <v>2801</v>
      </c>
      <c r="L102" t="s" s="0">
        <v>82</v>
      </c>
      <c r="M102" t="s" s="0">
        <v>82</v>
      </c>
      <c r="N102" t="s" s="0">
        <v>82</v>
      </c>
      <c r="O102" t="s" s="0">
        <v>2802</v>
      </c>
      <c r="P102" t="s" s="0">
        <v>2803</v>
      </c>
      <c r="Q102" t="s" s="0">
        <v>91</v>
      </c>
      <c r="R102" t="s" s="0">
        <v>82</v>
      </c>
      <c r="S102" t="s" s="0">
        <v>82</v>
      </c>
      <c r="T102" t="s" s="0">
        <v>82</v>
      </c>
      <c r="U102" t="s" s="0">
        <v>82</v>
      </c>
      <c r="V102" t="s" s="0">
        <v>2804</v>
      </c>
      <c r="W102" t="s" s="0">
        <v>1804</v>
      </c>
      <c r="X102" t="s" s="0">
        <v>82</v>
      </c>
      <c r="Y102" t="s" s="0">
        <v>82</v>
      </c>
      <c r="Z102" t="s" s="0">
        <v>94</v>
      </c>
      <c r="AA102" t="s" s="0">
        <v>95</v>
      </c>
      <c r="AB102" t="s" s="0">
        <v>82</v>
      </c>
      <c r="AC102" t="s" s="0">
        <v>82</v>
      </c>
      <c r="AD102" t="s" s="0">
        <v>82</v>
      </c>
      <c r="AE102" t="s" s="0">
        <v>82</v>
      </c>
      <c r="AF102" t="s" s="0">
        <v>82</v>
      </c>
      <c r="AG102" t="s" s="0">
        <v>2805</v>
      </c>
      <c r="AH102" t="s" s="0">
        <v>2806</v>
      </c>
      <c r="AI102" t="s" s="0">
        <v>82</v>
      </c>
      <c r="AJ102" t="s" s="0">
        <v>2807</v>
      </c>
      <c r="AK102" t="s" s="0">
        <v>82</v>
      </c>
      <c r="AL102" t="s" s="0">
        <v>311</v>
      </c>
      <c r="AM102" t="s" s="0">
        <v>101</v>
      </c>
      <c r="AN102" t="s" s="0">
        <v>101</v>
      </c>
      <c r="AO102" t="s" s="0">
        <v>78</v>
      </c>
      <c r="AP102" t="s" s="0">
        <v>77</v>
      </c>
      <c r="AQ102" t="s" s="0">
        <v>1710</v>
      </c>
      <c r="AR102" t="s" s="0">
        <v>1711</v>
      </c>
      <c r="AS102" t="s" s="0">
        <v>1712</v>
      </c>
      <c r="AT102" t="s" s="0">
        <v>82</v>
      </c>
      <c r="AU102" t="s" s="0">
        <v>1809</v>
      </c>
      <c r="AV102" t="s" s="0">
        <v>82</v>
      </c>
      <c r="AW102" t="s" s="0">
        <v>1810</v>
      </c>
      <c r="AX102" t="s" s="0">
        <v>1811</v>
      </c>
      <c r="AY102" t="s" s="0">
        <v>147</v>
      </c>
      <c r="AZ102" t="s" s="0">
        <v>147</v>
      </c>
      <c r="BA102" t="s" s="0">
        <v>115</v>
      </c>
      <c r="BB102" t="s" s="0">
        <v>82</v>
      </c>
      <c r="BC102" t="s" s="0">
        <v>82</v>
      </c>
      <c r="BD102" t="s" s="0">
        <v>82</v>
      </c>
      <c r="BE102" t="s" s="0">
        <v>82</v>
      </c>
      <c r="BF102" t="s" s="0">
        <v>82</v>
      </c>
      <c r="BG102" t="s" s="0">
        <v>82</v>
      </c>
      <c r="BH102" t="s" s="0">
        <v>82</v>
      </c>
      <c r="BI102" t="s" s="0">
        <v>2808</v>
      </c>
      <c r="BJ102" t="s" s="0">
        <v>2809</v>
      </c>
      <c r="BK102" t="s" s="201">
        <f>HYPERLINK("http://dx.doi.org/10.2196/75760","http://dx.doi.org/10.2196/75760")</f>
        <v>2810</v>
      </c>
      <c r="BL102" t="s" s="0">
        <v>82</v>
      </c>
      <c r="BM102" t="s" s="0">
        <v>82</v>
      </c>
      <c r="BN102" t="s" s="0">
        <v>137</v>
      </c>
      <c r="BO102" t="s" s="0">
        <v>1815</v>
      </c>
      <c r="BP102" t="s" s="0">
        <v>1815</v>
      </c>
      <c r="BQ102" t="s" s="0">
        <v>2811</v>
      </c>
      <c r="BR102" t="s" s="0">
        <v>2812</v>
      </c>
      <c r="BS102" t="s" s="0">
        <v>2813</v>
      </c>
      <c r="BT102" t="s" s="202">
        <f>HYPERLINK("https://www.webofscience.com/wos/woscc/full-record/WOS:001571762600001","View Record in Web of Science")</f>
        <v>120</v>
      </c>
      <c r="BU102" t="s" s="0">
        <v>121</v>
      </c>
      <c r="BV102" t="s" s="0">
        <v>82</v>
      </c>
      <c r="BW102" t="s" s="0">
        <v>82</v>
      </c>
      <c r="BX102" t="s" s="0">
        <v>122</v>
      </c>
    </row>
    <row r="103">
      <c r="A103" t="s" s="0">
        <v>78</v>
      </c>
      <c r="B103" t="s" s="0">
        <v>78</v>
      </c>
      <c r="C103" t="s" s="0">
        <v>78</v>
      </c>
      <c r="D103" t="s" s="0">
        <v>78</v>
      </c>
      <c r="E103" t="s" s="0">
        <v>2814</v>
      </c>
      <c r="F103" t="s" s="0">
        <v>2815</v>
      </c>
      <c r="G103" t="s" s="0">
        <v>2816</v>
      </c>
      <c r="H103" t="s" s="0">
        <v>82</v>
      </c>
      <c r="I103" t="s" s="0">
        <v>83</v>
      </c>
      <c r="J103" t="s" s="0">
        <v>2817</v>
      </c>
      <c r="K103" t="s" s="0">
        <v>2818</v>
      </c>
      <c r="L103" t="s" s="0">
        <v>2819</v>
      </c>
      <c r="M103" t="s" s="0">
        <v>2820</v>
      </c>
      <c r="N103" t="s" s="0">
        <v>2821</v>
      </c>
      <c r="O103" t="s" s="0">
        <v>2822</v>
      </c>
      <c r="P103" t="s" s="0">
        <v>2823</v>
      </c>
      <c r="Q103" t="s" s="0">
        <v>91</v>
      </c>
      <c r="R103" t="s" s="0">
        <v>82</v>
      </c>
      <c r="S103" t="s" s="0">
        <v>82</v>
      </c>
      <c r="T103" t="s" s="0">
        <v>82</v>
      </c>
      <c r="U103" t="s" s="0">
        <v>82</v>
      </c>
      <c r="V103" t="s" s="0">
        <v>2824</v>
      </c>
      <c r="W103" t="s" s="0">
        <v>2825</v>
      </c>
      <c r="X103" t="s" s="0">
        <v>82</v>
      </c>
      <c r="Y103" t="s" s="0">
        <v>82</v>
      </c>
      <c r="Z103" t="s" s="0">
        <v>94</v>
      </c>
      <c r="AA103" t="s" s="0">
        <v>95</v>
      </c>
      <c r="AB103" t="s" s="0">
        <v>82</v>
      </c>
      <c r="AC103" t="s" s="0">
        <v>82</v>
      </c>
      <c r="AD103" t="s" s="0">
        <v>82</v>
      </c>
      <c r="AE103" t="s" s="0">
        <v>82</v>
      </c>
      <c r="AF103" t="s" s="0">
        <v>82</v>
      </c>
      <c r="AG103" t="s" s="0">
        <v>2826</v>
      </c>
      <c r="AH103" t="s" s="0">
        <v>2827</v>
      </c>
      <c r="AI103" t="s" s="0">
        <v>2828</v>
      </c>
      <c r="AJ103" t="s" s="0">
        <v>82</v>
      </c>
      <c r="AK103" t="s" s="0">
        <v>82</v>
      </c>
      <c r="AL103" t="s" s="0">
        <v>273</v>
      </c>
      <c r="AM103" t="s" s="0">
        <v>78</v>
      </c>
      <c r="AN103" t="s" s="0">
        <v>78</v>
      </c>
      <c r="AO103" t="s" s="0">
        <v>78</v>
      </c>
      <c r="AP103" t="s" s="0">
        <v>78</v>
      </c>
      <c r="AQ103" t="s" s="0">
        <v>400</v>
      </c>
      <c r="AR103" t="s" s="0">
        <v>401</v>
      </c>
      <c r="AS103" t="s" s="0">
        <v>402</v>
      </c>
      <c r="AT103" t="s" s="0">
        <v>2829</v>
      </c>
      <c r="AU103" t="s" s="0">
        <v>2830</v>
      </c>
      <c r="AV103" t="s" s="0">
        <v>82</v>
      </c>
      <c r="AW103" t="s" s="0">
        <v>2831</v>
      </c>
      <c r="AX103" t="s" s="0">
        <v>2832</v>
      </c>
      <c r="AY103" t="s" s="0">
        <v>2833</v>
      </c>
      <c r="AZ103" t="s" s="0">
        <v>181</v>
      </c>
      <c r="BA103" t="s" s="0">
        <v>2834</v>
      </c>
      <c r="BB103" t="s" s="0">
        <v>82</v>
      </c>
      <c r="BC103" t="s" s="0">
        <v>82</v>
      </c>
      <c r="BD103" t="s" s="0">
        <v>82</v>
      </c>
      <c r="BE103" t="s" s="0">
        <v>82</v>
      </c>
      <c r="BF103" t="s" s="0">
        <v>82</v>
      </c>
      <c r="BG103" t="s" s="0">
        <v>82</v>
      </c>
      <c r="BH103" t="s" s="0">
        <v>82</v>
      </c>
      <c r="BI103" t="s" s="0">
        <v>2835</v>
      </c>
      <c r="BJ103" t="s" s="0">
        <v>2836</v>
      </c>
      <c r="BK103" t="s" s="203">
        <f>HYPERLINK("http://dx.doi.org/10.1016/j.cmpb.2026.109383","http://dx.doi.org/10.1016/j.cmpb.2026.109383")</f>
        <v>2837</v>
      </c>
      <c r="BL103" t="s" s="0">
        <v>82</v>
      </c>
      <c r="BM103" t="s" s="0">
        <v>82</v>
      </c>
      <c r="BN103" t="s" s="0">
        <v>319</v>
      </c>
      <c r="BO103" t="s" s="0">
        <v>2838</v>
      </c>
      <c r="BP103" t="s" s="0">
        <v>2839</v>
      </c>
      <c r="BQ103" t="s" s="0">
        <v>2840</v>
      </c>
      <c r="BR103" t="s" s="0">
        <v>2841</v>
      </c>
      <c r="BS103" t="s" s="0">
        <v>2842</v>
      </c>
      <c r="BT103" t="s" s="204">
        <f>HYPERLINK("https://www.webofscience.com/wos/woscc/full-record/WOS:001759416400001","View Record in Web of Science")</f>
        <v>120</v>
      </c>
      <c r="BU103" t="s" s="0">
        <v>256</v>
      </c>
      <c r="BV103" t="s" s="0">
        <v>82</v>
      </c>
      <c r="BW103" t="s" s="0">
        <v>82</v>
      </c>
      <c r="BX103" t="s" s="0">
        <v>122</v>
      </c>
    </row>
    <row r="104">
      <c r="A104" t="s" s="0">
        <v>78</v>
      </c>
      <c r="B104" t="s" s="0">
        <v>78</v>
      </c>
      <c r="C104" t="s" s="0">
        <v>78</v>
      </c>
      <c r="D104" t="s" s="0">
        <v>78</v>
      </c>
      <c r="E104" t="s" s="0">
        <v>2843</v>
      </c>
      <c r="F104" t="s" s="0">
        <v>2844</v>
      </c>
      <c r="G104" t="s" s="0">
        <v>2845</v>
      </c>
      <c r="H104" t="s" s="0">
        <v>82</v>
      </c>
      <c r="I104" t="s" s="0">
        <v>83</v>
      </c>
      <c r="J104" t="s" s="0">
        <v>2846</v>
      </c>
      <c r="K104" t="s" s="0">
        <v>2847</v>
      </c>
      <c r="L104" t="s" s="0">
        <v>2848</v>
      </c>
      <c r="M104" t="s" s="0">
        <v>2848</v>
      </c>
      <c r="N104" t="s" s="0">
        <v>2849</v>
      </c>
      <c r="O104" t="s" s="0">
        <v>2850</v>
      </c>
      <c r="P104" t="s" s="0">
        <v>2851</v>
      </c>
      <c r="Q104" t="s" s="0">
        <v>91</v>
      </c>
      <c r="R104" t="s" s="0">
        <v>82</v>
      </c>
      <c r="S104" t="s" s="0">
        <v>82</v>
      </c>
      <c r="T104" t="s" s="0">
        <v>82</v>
      </c>
      <c r="U104" t="s" s="0">
        <v>82</v>
      </c>
      <c r="V104" t="s" s="0">
        <v>2852</v>
      </c>
      <c r="W104" t="s" s="0">
        <v>2853</v>
      </c>
      <c r="X104" t="s" s="0">
        <v>82</v>
      </c>
      <c r="Y104" t="s" s="0">
        <v>82</v>
      </c>
      <c r="Z104" t="s" s="0">
        <v>94</v>
      </c>
      <c r="AA104" t="s" s="0">
        <v>95</v>
      </c>
      <c r="AB104" t="s" s="0">
        <v>82</v>
      </c>
      <c r="AC104" t="s" s="0">
        <v>82</v>
      </c>
      <c r="AD104" t="s" s="0">
        <v>82</v>
      </c>
      <c r="AE104" t="s" s="0">
        <v>82</v>
      </c>
      <c r="AF104" t="s" s="0">
        <v>82</v>
      </c>
      <c r="AG104" t="s" s="0">
        <v>2854</v>
      </c>
      <c r="AH104" t="s" s="0">
        <v>2855</v>
      </c>
      <c r="AI104" t="s" s="0">
        <v>2856</v>
      </c>
      <c r="AJ104" t="s" s="0">
        <v>2857</v>
      </c>
      <c r="AK104" t="s" s="0">
        <v>82</v>
      </c>
      <c r="AL104" t="s" s="0">
        <v>273</v>
      </c>
      <c r="AM104" t="s" s="0">
        <v>102</v>
      </c>
      <c r="AN104" t="s" s="0">
        <v>102</v>
      </c>
      <c r="AO104" t="s" s="0">
        <v>77</v>
      </c>
      <c r="AP104" t="s" s="0">
        <v>245</v>
      </c>
      <c r="AQ104" t="s" s="0">
        <v>103</v>
      </c>
      <c r="AR104" t="s" s="0">
        <v>104</v>
      </c>
      <c r="AS104" t="s" s="0">
        <v>105</v>
      </c>
      <c r="AT104" t="s" s="0">
        <v>82</v>
      </c>
      <c r="AU104" t="s" s="0">
        <v>2858</v>
      </c>
      <c r="AV104" t="s" s="0">
        <v>82</v>
      </c>
      <c r="AW104" t="s" s="0">
        <v>2859</v>
      </c>
      <c r="AX104" t="s" s="0">
        <v>2860</v>
      </c>
      <c r="AY104" t="s" s="0">
        <v>2861</v>
      </c>
      <c r="AZ104" t="s" s="0">
        <v>147</v>
      </c>
      <c r="BA104" t="s" s="0">
        <v>353</v>
      </c>
      <c r="BB104" t="s" s="0">
        <v>77</v>
      </c>
      <c r="BC104" t="s" s="0">
        <v>82</v>
      </c>
      <c r="BD104" t="s" s="0">
        <v>82</v>
      </c>
      <c r="BE104" t="s" s="0">
        <v>82</v>
      </c>
      <c r="BF104" t="s" s="0">
        <v>82</v>
      </c>
      <c r="BG104" t="s" s="0">
        <v>82</v>
      </c>
      <c r="BH104" t="s" s="0">
        <v>82</v>
      </c>
      <c r="BI104" t="s" s="0">
        <v>375</v>
      </c>
      <c r="BJ104" t="s" s="0">
        <v>2862</v>
      </c>
      <c r="BK104" t="s" s="205">
        <f>HYPERLINK("http://dx.doi.org/10.1186/s12865-025-00686-8","http://dx.doi.org/10.1186/s12865-025-00686-8")</f>
        <v>2863</v>
      </c>
      <c r="BL104" t="s" s="0">
        <v>82</v>
      </c>
      <c r="BM104" t="s" s="0">
        <v>82</v>
      </c>
      <c r="BN104" t="s" s="0">
        <v>323</v>
      </c>
      <c r="BO104" t="s" s="0">
        <v>2864</v>
      </c>
      <c r="BP104" t="s" s="0">
        <v>2864</v>
      </c>
      <c r="BQ104" t="s" s="0">
        <v>2865</v>
      </c>
      <c r="BR104" t="s" s="0">
        <v>2866</v>
      </c>
      <c r="BS104" t="s" s="0">
        <v>2867</v>
      </c>
      <c r="BT104" t="s" s="206">
        <f>HYPERLINK("https://www.webofscience.com/wos/woscc/full-record/WOS:001420194300001","View Record in Web of Science")</f>
        <v>120</v>
      </c>
      <c r="BU104" t="s" s="0">
        <v>121</v>
      </c>
      <c r="BV104" t="s" s="0">
        <v>82</v>
      </c>
      <c r="BW104" t="s" s="0">
        <v>82</v>
      </c>
      <c r="BX104" t="s" s="0">
        <v>122</v>
      </c>
    </row>
    <row r="105">
      <c r="A105" t="s" s="0">
        <v>78</v>
      </c>
      <c r="B105" t="s" s="0">
        <v>78</v>
      </c>
      <c r="C105" t="s" s="0">
        <v>77</v>
      </c>
      <c r="D105" t="s" s="0">
        <v>78</v>
      </c>
      <c r="E105" t="s" s="0">
        <v>2868</v>
      </c>
      <c r="F105" t="s" s="0">
        <v>2869</v>
      </c>
      <c r="G105" t="s" s="0">
        <v>2870</v>
      </c>
      <c r="H105" t="s" s="0">
        <v>82</v>
      </c>
      <c r="I105" t="s" s="0">
        <v>83</v>
      </c>
      <c r="J105" t="s" s="0">
        <v>2871</v>
      </c>
      <c r="K105" t="s" s="0">
        <v>2872</v>
      </c>
      <c r="L105" t="s" s="0">
        <v>2873</v>
      </c>
      <c r="M105" t="s" s="0">
        <v>2874</v>
      </c>
      <c r="N105" t="s" s="0">
        <v>2875</v>
      </c>
      <c r="O105" t="s" s="0">
        <v>2876</v>
      </c>
      <c r="P105" t="s" s="0">
        <v>2877</v>
      </c>
      <c r="Q105" t="s" s="0">
        <v>91</v>
      </c>
      <c r="R105" t="s" s="0">
        <v>82</v>
      </c>
      <c r="S105" t="s" s="0">
        <v>82</v>
      </c>
      <c r="T105" t="s" s="0">
        <v>82</v>
      </c>
      <c r="U105" t="s" s="0">
        <v>82</v>
      </c>
      <c r="V105" t="s" s="0">
        <v>2878</v>
      </c>
      <c r="W105" t="s" s="0">
        <v>2879</v>
      </c>
      <c r="X105" t="s" s="0">
        <v>82</v>
      </c>
      <c r="Y105" t="s" s="0">
        <v>82</v>
      </c>
      <c r="Z105" t="s" s="0">
        <v>94</v>
      </c>
      <c r="AA105" t="s" s="0">
        <v>95</v>
      </c>
      <c r="AB105" t="s" s="0">
        <v>82</v>
      </c>
      <c r="AC105" t="s" s="0">
        <v>82</v>
      </c>
      <c r="AD105" t="s" s="0">
        <v>82</v>
      </c>
      <c r="AE105" t="s" s="0">
        <v>82</v>
      </c>
      <c r="AF105" t="s" s="0">
        <v>82</v>
      </c>
      <c r="AG105" t="s" s="0">
        <v>2880</v>
      </c>
      <c r="AH105" t="s" s="0">
        <v>2881</v>
      </c>
      <c r="AI105" t="s" s="0">
        <v>2882</v>
      </c>
      <c r="AJ105" t="s" s="0">
        <v>2883</v>
      </c>
      <c r="AK105" t="s" s="0">
        <v>82</v>
      </c>
      <c r="AL105" t="s" s="0">
        <v>1279</v>
      </c>
      <c r="AM105" t="s" s="0">
        <v>102</v>
      </c>
      <c r="AN105" t="s" s="0">
        <v>102</v>
      </c>
      <c r="AO105" t="s" s="0">
        <v>77</v>
      </c>
      <c r="AP105" t="s" s="0">
        <v>149</v>
      </c>
      <c r="AQ105" t="s" s="0">
        <v>2884</v>
      </c>
      <c r="AR105" t="s" s="0">
        <v>2885</v>
      </c>
      <c r="AS105" t="s" s="0">
        <v>2886</v>
      </c>
      <c r="AT105" t="s" s="0">
        <v>2887</v>
      </c>
      <c r="AU105" t="s" s="0">
        <v>2888</v>
      </c>
      <c r="AV105" t="s" s="0">
        <v>82</v>
      </c>
      <c r="AW105" t="s" s="0">
        <v>2889</v>
      </c>
      <c r="AX105" t="s" s="0">
        <v>2890</v>
      </c>
      <c r="AY105" t="s" s="0">
        <v>2891</v>
      </c>
      <c r="AZ105" t="s" s="0">
        <v>110</v>
      </c>
      <c r="BA105" t="s" s="0">
        <v>1279</v>
      </c>
      <c r="BB105" t="s" s="0">
        <v>319</v>
      </c>
      <c r="BC105" t="s" s="0">
        <v>82</v>
      </c>
      <c r="BD105" t="s" s="0">
        <v>82</v>
      </c>
      <c r="BE105" t="s" s="0">
        <v>82</v>
      </c>
      <c r="BF105" t="s" s="0">
        <v>82</v>
      </c>
      <c r="BG105" t="s" s="0">
        <v>82</v>
      </c>
      <c r="BH105" t="s" s="0">
        <v>82</v>
      </c>
      <c r="BI105" t="s" s="0">
        <v>2892</v>
      </c>
      <c r="BJ105" t="s" s="0">
        <v>2893</v>
      </c>
      <c r="BK105" t="s" s="207">
        <f>HYPERLINK("http://dx.doi.org/10.1088/1361-6579/ad7ad2","http://dx.doi.org/10.1088/1361-6579/ad7ad2")</f>
        <v>2894</v>
      </c>
      <c r="BL105" t="s" s="0">
        <v>82</v>
      </c>
      <c r="BM105" t="s" s="0">
        <v>82</v>
      </c>
      <c r="BN105" t="s" s="0">
        <v>239</v>
      </c>
      <c r="BO105" t="s" s="0">
        <v>2895</v>
      </c>
      <c r="BP105" t="s" s="0">
        <v>2896</v>
      </c>
      <c r="BQ105" t="s" s="0">
        <v>2897</v>
      </c>
      <c r="BR105" t="s" s="0">
        <v>2898</v>
      </c>
      <c r="BS105" t="s" s="0">
        <v>2899</v>
      </c>
      <c r="BT105" t="s" s="208">
        <f>HYPERLINK("https://www.webofscience.com/wos/woscc/full-record/WOS:001321520600001","View Record in Web of Science")</f>
        <v>120</v>
      </c>
      <c r="BU105" t="s" s="0">
        <v>256</v>
      </c>
      <c r="BV105" t="s" s="0">
        <v>82</v>
      </c>
      <c r="BW105" t="s" s="0">
        <v>82</v>
      </c>
      <c r="BX105" t="s" s="0">
        <v>122</v>
      </c>
    </row>
    <row r="106">
      <c r="A106" t="s" s="0">
        <v>101</v>
      </c>
      <c r="B106" t="s" s="0">
        <v>78</v>
      </c>
      <c r="C106" t="s" s="0">
        <v>102</v>
      </c>
      <c r="D106" t="s" s="0">
        <v>78</v>
      </c>
      <c r="E106" t="s" s="0">
        <v>2900</v>
      </c>
      <c r="F106" t="s" s="0">
        <v>2901</v>
      </c>
      <c r="G106" t="s" s="0">
        <v>2902</v>
      </c>
      <c r="H106" t="s" s="0">
        <v>82</v>
      </c>
      <c r="I106" t="s" s="0">
        <v>83</v>
      </c>
      <c r="J106" t="s" s="0">
        <v>2903</v>
      </c>
      <c r="K106" t="s" s="0">
        <v>2904</v>
      </c>
      <c r="L106" t="s" s="0">
        <v>82</v>
      </c>
      <c r="M106" t="s" s="0">
        <v>82</v>
      </c>
      <c r="N106" t="s" s="0">
        <v>82</v>
      </c>
      <c r="O106" t="s" s="0">
        <v>2905</v>
      </c>
      <c r="P106" t="s" s="0">
        <v>2906</v>
      </c>
      <c r="Q106" t="s" s="0">
        <v>91</v>
      </c>
      <c r="R106" t="s" s="0">
        <v>82</v>
      </c>
      <c r="S106" t="s" s="0">
        <v>82</v>
      </c>
      <c r="T106" t="s" s="0">
        <v>82</v>
      </c>
      <c r="U106" t="s" s="0">
        <v>82</v>
      </c>
      <c r="V106" t="s" s="0">
        <v>2907</v>
      </c>
      <c r="W106" t="s" s="0">
        <v>2908</v>
      </c>
      <c r="X106" t="s" s="0">
        <v>82</v>
      </c>
      <c r="Y106" t="s" s="0">
        <v>82</v>
      </c>
      <c r="Z106" t="s" s="0">
        <v>94</v>
      </c>
      <c r="AA106" t="s" s="0">
        <v>95</v>
      </c>
      <c r="AB106" t="s" s="0">
        <v>82</v>
      </c>
      <c r="AC106" t="s" s="0">
        <v>82</v>
      </c>
      <c r="AD106" t="s" s="0">
        <v>82</v>
      </c>
      <c r="AE106" t="s" s="0">
        <v>82</v>
      </c>
      <c r="AF106" t="s" s="0">
        <v>82</v>
      </c>
      <c r="AG106" t="s" s="0">
        <v>2909</v>
      </c>
      <c r="AH106" t="s" s="0">
        <v>2910</v>
      </c>
      <c r="AI106" t="s" s="0">
        <v>2911</v>
      </c>
      <c r="AJ106" t="s" s="0">
        <v>82</v>
      </c>
      <c r="AK106" t="s" s="0">
        <v>82</v>
      </c>
      <c r="AL106" t="s" s="0">
        <v>399</v>
      </c>
      <c r="AM106" t="s" s="0">
        <v>1320</v>
      </c>
      <c r="AN106" t="s" s="0">
        <v>685</v>
      </c>
      <c r="AO106" t="s" s="0">
        <v>78</v>
      </c>
      <c r="AP106" t="s" s="0">
        <v>349</v>
      </c>
      <c r="AQ106" t="s" s="0">
        <v>103</v>
      </c>
      <c r="AR106" t="s" s="0">
        <v>104</v>
      </c>
      <c r="AS106" t="s" s="0">
        <v>105</v>
      </c>
      <c r="AT106" t="s" s="0">
        <v>2912</v>
      </c>
      <c r="AU106" t="s" s="0">
        <v>2913</v>
      </c>
      <c r="AV106" t="s" s="0">
        <v>82</v>
      </c>
      <c r="AW106" t="s" s="0">
        <v>2914</v>
      </c>
      <c r="AX106" t="s" s="0">
        <v>2915</v>
      </c>
      <c r="AY106" t="s" s="0">
        <v>2916</v>
      </c>
      <c r="AZ106" t="s" s="0">
        <v>408</v>
      </c>
      <c r="BA106" t="s" s="0">
        <v>353</v>
      </c>
      <c r="BB106" t="s" s="0">
        <v>77</v>
      </c>
      <c r="BC106" t="s" s="0">
        <v>82</v>
      </c>
      <c r="BD106" t="s" s="0">
        <v>82</v>
      </c>
      <c r="BE106" t="s" s="0">
        <v>82</v>
      </c>
      <c r="BF106" t="s" s="0">
        <v>82</v>
      </c>
      <c r="BG106" t="s" s="0">
        <v>82</v>
      </c>
      <c r="BH106" t="s" s="0">
        <v>82</v>
      </c>
      <c r="BI106" t="s" s="0">
        <v>2917</v>
      </c>
      <c r="BJ106" t="s" s="0">
        <v>2918</v>
      </c>
      <c r="BK106" t="s" s="209">
        <f>HYPERLINK("http://dx.doi.org/10.1186/s13054-022-04088-9","http://dx.doi.org/10.1186/s13054-022-04088-9")</f>
        <v>2919</v>
      </c>
      <c r="BL106" t="s" s="0">
        <v>82</v>
      </c>
      <c r="BM106" t="s" s="0">
        <v>82</v>
      </c>
      <c r="BN106" t="s" s="0">
        <v>245</v>
      </c>
      <c r="BO106" t="s" s="0">
        <v>2920</v>
      </c>
      <c r="BP106" t="s" s="0">
        <v>355</v>
      </c>
      <c r="BQ106" t="s" s="0">
        <v>2921</v>
      </c>
      <c r="BR106" t="s" s="0">
        <v>2922</v>
      </c>
      <c r="BS106" t="s" s="0">
        <v>2923</v>
      </c>
      <c r="BT106" t="s" s="210">
        <f>HYPERLINK("https://www.webofscience.com/wos/woscc/full-record/WOS:000825401500001","View Record in Web of Science")</f>
        <v>120</v>
      </c>
      <c r="BU106" t="s" s="0">
        <v>121</v>
      </c>
      <c r="BV106" t="s" s="0">
        <v>82</v>
      </c>
      <c r="BW106" t="s" s="0">
        <v>82</v>
      </c>
      <c r="BX106" t="s" s="0">
        <v>122</v>
      </c>
    </row>
    <row r="107">
      <c r="A107" t="s" s="0">
        <v>77</v>
      </c>
      <c r="B107" t="s" s="0">
        <v>78</v>
      </c>
      <c r="C107" t="s" s="0">
        <v>78</v>
      </c>
      <c r="D107" t="s" s="0">
        <v>78</v>
      </c>
      <c r="E107" t="s" s="0">
        <v>2924</v>
      </c>
      <c r="F107" t="s" s="0">
        <v>2925</v>
      </c>
      <c r="G107" t="s" s="0">
        <v>2926</v>
      </c>
      <c r="H107" t="s" s="0">
        <v>82</v>
      </c>
      <c r="I107" t="s" s="0">
        <v>83</v>
      </c>
      <c r="J107" t="s" s="0">
        <v>2927</v>
      </c>
      <c r="K107" t="s" s="0">
        <v>2928</v>
      </c>
      <c r="L107" t="s" s="0">
        <v>82</v>
      </c>
      <c r="M107" t="s" s="0">
        <v>82</v>
      </c>
      <c r="N107" t="s" s="0">
        <v>82</v>
      </c>
      <c r="O107" t="s" s="0">
        <v>2929</v>
      </c>
      <c r="P107" t="s" s="0">
        <v>2776</v>
      </c>
      <c r="Q107" t="s" s="0">
        <v>91</v>
      </c>
      <c r="R107" t="s" s="0">
        <v>82</v>
      </c>
      <c r="S107" t="s" s="0">
        <v>82</v>
      </c>
      <c r="T107" t="s" s="0">
        <v>82</v>
      </c>
      <c r="U107" t="s" s="0">
        <v>82</v>
      </c>
      <c r="V107" t="s" s="0">
        <v>2930</v>
      </c>
      <c r="W107" t="s" s="0">
        <v>2931</v>
      </c>
      <c r="X107" t="s" s="0">
        <v>82</v>
      </c>
      <c r="Y107" t="s" s="0">
        <v>82</v>
      </c>
      <c r="Z107" t="s" s="0">
        <v>94</v>
      </c>
      <c r="AA107" t="s" s="0">
        <v>95</v>
      </c>
      <c r="AB107" t="s" s="0">
        <v>82</v>
      </c>
      <c r="AC107" t="s" s="0">
        <v>82</v>
      </c>
      <c r="AD107" t="s" s="0">
        <v>82</v>
      </c>
      <c r="AE107" t="s" s="0">
        <v>82</v>
      </c>
      <c r="AF107" t="s" s="0">
        <v>82</v>
      </c>
      <c r="AG107" t="s" s="0">
        <v>2932</v>
      </c>
      <c r="AH107" t="s" s="0">
        <v>2933</v>
      </c>
      <c r="AI107" t="s" s="0">
        <v>2934</v>
      </c>
      <c r="AJ107" t="s" s="0">
        <v>82</v>
      </c>
      <c r="AK107" t="s" s="0">
        <v>82</v>
      </c>
      <c r="AL107" t="s" s="0">
        <v>111</v>
      </c>
      <c r="AM107" t="s" s="0">
        <v>640</v>
      </c>
      <c r="AN107" t="s" s="0">
        <v>239</v>
      </c>
      <c r="AO107" t="s" s="0">
        <v>78</v>
      </c>
      <c r="AP107" t="s" s="0">
        <v>447</v>
      </c>
      <c r="AQ107" t="s" s="0">
        <v>832</v>
      </c>
      <c r="AR107" t="s" s="0">
        <v>833</v>
      </c>
      <c r="AS107" t="s" s="0">
        <v>834</v>
      </c>
      <c r="AT107" t="s" s="0">
        <v>2935</v>
      </c>
      <c r="AU107" t="s" s="0">
        <v>2936</v>
      </c>
      <c r="AV107" t="s" s="0">
        <v>82</v>
      </c>
      <c r="AW107" t="s" s="0">
        <v>2937</v>
      </c>
      <c r="AX107" t="s" s="0">
        <v>2938</v>
      </c>
      <c r="AY107" t="s" s="0">
        <v>2939</v>
      </c>
      <c r="AZ107" t="s" s="0">
        <v>210</v>
      </c>
      <c r="BA107" t="s" s="0">
        <v>2940</v>
      </c>
      <c r="BB107" t="s" s="0">
        <v>447</v>
      </c>
      <c r="BC107" t="s" s="0">
        <v>82</v>
      </c>
      <c r="BD107" t="s" s="0">
        <v>82</v>
      </c>
      <c r="BE107" t="s" s="0">
        <v>82</v>
      </c>
      <c r="BF107" t="s" s="0">
        <v>82</v>
      </c>
      <c r="BG107" t="s" s="0">
        <v>2834</v>
      </c>
      <c r="BH107" t="s" s="0">
        <v>2941</v>
      </c>
      <c r="BI107" t="s" s="0">
        <v>82</v>
      </c>
      <c r="BJ107" t="s" s="0">
        <v>2942</v>
      </c>
      <c r="BK107" t="s" s="211">
        <f>HYPERLINK("http://dx.doi.org/10.1097/SAP.0000000000003621","http://dx.doi.org/10.1097/SAP.0000000000003621")</f>
        <v>2943</v>
      </c>
      <c r="BL107" t="s" s="0">
        <v>82</v>
      </c>
      <c r="BM107" t="s" s="0">
        <v>82</v>
      </c>
      <c r="BN107" t="s" s="0">
        <v>221</v>
      </c>
      <c r="BO107" t="s" s="0">
        <v>950</v>
      </c>
      <c r="BP107" t="s" s="0">
        <v>950</v>
      </c>
      <c r="BQ107" t="s" s="0">
        <v>2944</v>
      </c>
      <c r="BR107" t="s" s="0">
        <v>2945</v>
      </c>
      <c r="BS107" t="s" s="0">
        <v>2946</v>
      </c>
      <c r="BT107" t="s" s="212">
        <f>HYPERLINK("https://www.webofscience.com/wos/woscc/full-record/WOS:001036179200015","View Record in Web of Science")</f>
        <v>120</v>
      </c>
      <c r="BU107" t="s" s="0">
        <v>82</v>
      </c>
      <c r="BV107" t="s" s="0">
        <v>82</v>
      </c>
      <c r="BW107" t="s" s="0">
        <v>82</v>
      </c>
      <c r="BX107" t="s" s="0">
        <v>122</v>
      </c>
    </row>
    <row r="108">
      <c r="A108" t="s" s="0">
        <v>78</v>
      </c>
      <c r="B108" t="s" s="0">
        <v>78</v>
      </c>
      <c r="C108" t="s" s="0">
        <v>78</v>
      </c>
      <c r="D108" t="s" s="0">
        <v>78</v>
      </c>
      <c r="E108" t="s" s="0">
        <v>2947</v>
      </c>
      <c r="F108" t="s" s="0">
        <v>2948</v>
      </c>
      <c r="G108" t="s" s="0">
        <v>2949</v>
      </c>
      <c r="H108" t="s" s="0">
        <v>82</v>
      </c>
      <c r="I108" t="s" s="0">
        <v>297</v>
      </c>
      <c r="J108" t="s" s="0">
        <v>2950</v>
      </c>
      <c r="K108" t="s" s="0">
        <v>82</v>
      </c>
      <c r="L108" t="s" s="0">
        <v>82</v>
      </c>
      <c r="M108" t="s" s="0">
        <v>82</v>
      </c>
      <c r="N108" t="s" s="0">
        <v>82</v>
      </c>
      <c r="O108" t="s" s="0">
        <v>2951</v>
      </c>
      <c r="P108" t="s" s="0">
        <v>2952</v>
      </c>
      <c r="Q108" t="s" s="0">
        <v>91</v>
      </c>
      <c r="R108" t="s" s="0">
        <v>82</v>
      </c>
      <c r="S108" t="s" s="0">
        <v>82</v>
      </c>
      <c r="T108" t="s" s="0">
        <v>82</v>
      </c>
      <c r="U108" t="s" s="0">
        <v>82</v>
      </c>
      <c r="V108" t="s" s="0">
        <v>2953</v>
      </c>
      <c r="W108" t="s" s="0">
        <v>2954</v>
      </c>
      <c r="X108" t="s" s="0">
        <v>82</v>
      </c>
      <c r="Y108" t="s" s="0">
        <v>82</v>
      </c>
      <c r="Z108" t="s" s="0">
        <v>94</v>
      </c>
      <c r="AA108" t="s" s="0">
        <v>95</v>
      </c>
      <c r="AB108" t="s" s="0">
        <v>82</v>
      </c>
      <c r="AC108" t="s" s="0">
        <v>82</v>
      </c>
      <c r="AD108" t="s" s="0">
        <v>82</v>
      </c>
      <c r="AE108" t="s" s="0">
        <v>82</v>
      </c>
      <c r="AF108" t="s" s="0">
        <v>82</v>
      </c>
      <c r="AG108" t="s" s="0">
        <v>2955</v>
      </c>
      <c r="AH108" t="s" s="0">
        <v>2956</v>
      </c>
      <c r="AI108" t="s" s="0">
        <v>2957</v>
      </c>
      <c r="AJ108" t="s" s="0">
        <v>82</v>
      </c>
      <c r="AK108" t="s" s="0">
        <v>82</v>
      </c>
      <c r="AL108" t="s" s="0">
        <v>640</v>
      </c>
      <c r="AM108" t="s" s="0">
        <v>78</v>
      </c>
      <c r="AN108" t="s" s="0">
        <v>78</v>
      </c>
      <c r="AO108" t="s" s="0">
        <v>78</v>
      </c>
      <c r="AP108" t="s" s="0">
        <v>78</v>
      </c>
      <c r="AQ108" t="s" s="0">
        <v>277</v>
      </c>
      <c r="AR108" t="s" s="0">
        <v>278</v>
      </c>
      <c r="AS108" t="s" s="0">
        <v>279</v>
      </c>
      <c r="AT108" t="s" s="0">
        <v>2958</v>
      </c>
      <c r="AU108" t="s" s="0">
        <v>82</v>
      </c>
      <c r="AV108" t="s" s="0">
        <v>82</v>
      </c>
      <c r="AW108" t="s" s="0">
        <v>2959</v>
      </c>
      <c r="AX108" t="s" s="0">
        <v>2960</v>
      </c>
      <c r="AY108" t="s" s="0">
        <v>1342</v>
      </c>
      <c r="AZ108" t="s" s="0">
        <v>181</v>
      </c>
      <c r="BA108" t="s" s="0">
        <v>632</v>
      </c>
      <c r="BB108" t="s" s="0">
        <v>82</v>
      </c>
      <c r="BC108" t="s" s="0">
        <v>82</v>
      </c>
      <c r="BD108" t="s" s="0">
        <v>82</v>
      </c>
      <c r="BE108" t="s" s="0">
        <v>82</v>
      </c>
      <c r="BF108" t="s" s="0">
        <v>82</v>
      </c>
      <c r="BG108" t="s" s="0">
        <v>82</v>
      </c>
      <c r="BH108" t="s" s="0">
        <v>82</v>
      </c>
      <c r="BI108" t="s" s="0">
        <v>2961</v>
      </c>
      <c r="BJ108" t="s" s="0">
        <v>2962</v>
      </c>
      <c r="BK108" t="s" s="213">
        <f>HYPERLINK("http://dx.doi.org/10.1016/j.artd.2026.102095","http://dx.doi.org/10.1016/j.artd.2026.102095")</f>
        <v>2963</v>
      </c>
      <c r="BL108" t="s" s="0">
        <v>82</v>
      </c>
      <c r="BM108" t="s" s="0">
        <v>82</v>
      </c>
      <c r="BN108" t="s" s="0">
        <v>221</v>
      </c>
      <c r="BO108" t="s" s="0">
        <v>2964</v>
      </c>
      <c r="BP108" t="s" s="0">
        <v>2964</v>
      </c>
      <c r="BQ108" t="s" s="0">
        <v>2965</v>
      </c>
      <c r="BR108" t="s" s="0">
        <v>82</v>
      </c>
      <c r="BS108" t="s" s="0">
        <v>2966</v>
      </c>
      <c r="BT108" t="s" s="214">
        <f>HYPERLINK("https://www.webofscience.com/wos/woscc/full-record/WOS:001836034400001","View Record in Web of Science")</f>
        <v>120</v>
      </c>
      <c r="BU108" t="s" s="0">
        <v>121</v>
      </c>
      <c r="BV108" t="s" s="0">
        <v>82</v>
      </c>
      <c r="BW108" t="s" s="0">
        <v>82</v>
      </c>
      <c r="BX108" t="s" s="0">
        <v>122</v>
      </c>
    </row>
    <row r="109">
      <c r="A109" t="s" s="0">
        <v>78</v>
      </c>
      <c r="B109" t="s" s="0">
        <v>78</v>
      </c>
      <c r="C109" t="s" s="0">
        <v>77</v>
      </c>
      <c r="D109" t="s" s="0">
        <v>78</v>
      </c>
      <c r="E109" t="s" s="0">
        <v>2967</v>
      </c>
      <c r="F109" t="s" s="0">
        <v>2968</v>
      </c>
      <c r="G109" t="s" s="0">
        <v>2969</v>
      </c>
      <c r="H109" t="s" s="0">
        <v>82</v>
      </c>
      <c r="I109" t="s" s="0">
        <v>83</v>
      </c>
      <c r="J109" t="s" s="0">
        <v>2970</v>
      </c>
      <c r="K109" t="s" s="0">
        <v>2971</v>
      </c>
      <c r="L109" t="s" s="0">
        <v>2972</v>
      </c>
      <c r="M109" t="s" s="0">
        <v>2973</v>
      </c>
      <c r="N109" t="s" s="0">
        <v>2974</v>
      </c>
      <c r="O109" t="s" s="0">
        <v>2975</v>
      </c>
      <c r="P109" t="s" s="0">
        <v>2976</v>
      </c>
      <c r="Q109" t="s" s="0">
        <v>91</v>
      </c>
      <c r="R109" t="s" s="0">
        <v>82</v>
      </c>
      <c r="S109" t="s" s="0">
        <v>82</v>
      </c>
      <c r="T109" t="s" s="0">
        <v>82</v>
      </c>
      <c r="U109" t="s" s="0">
        <v>82</v>
      </c>
      <c r="V109" t="s" s="0">
        <v>2977</v>
      </c>
      <c r="W109" t="s" s="0">
        <v>2978</v>
      </c>
      <c r="X109" t="s" s="0">
        <v>82</v>
      </c>
      <c r="Y109" t="s" s="0">
        <v>82</v>
      </c>
      <c r="Z109" t="s" s="0">
        <v>94</v>
      </c>
      <c r="AA109" t="s" s="0">
        <v>95</v>
      </c>
      <c r="AB109" t="s" s="0">
        <v>82</v>
      </c>
      <c r="AC109" t="s" s="0">
        <v>82</v>
      </c>
      <c r="AD109" t="s" s="0">
        <v>82</v>
      </c>
      <c r="AE109" t="s" s="0">
        <v>82</v>
      </c>
      <c r="AF109" t="s" s="0">
        <v>82</v>
      </c>
      <c r="AG109" t="s" s="0">
        <v>2979</v>
      </c>
      <c r="AH109" t="s" s="0">
        <v>2980</v>
      </c>
      <c r="AI109" t="s" s="0">
        <v>2981</v>
      </c>
      <c r="AJ109" t="s" s="0">
        <v>2982</v>
      </c>
      <c r="AK109" t="s" s="0">
        <v>82</v>
      </c>
      <c r="AL109" t="s" s="0">
        <v>344</v>
      </c>
      <c r="AM109" t="s" s="0">
        <v>319</v>
      </c>
      <c r="AN109" t="s" s="0">
        <v>245</v>
      </c>
      <c r="AO109" t="s" s="0">
        <v>78</v>
      </c>
      <c r="AP109" t="s" s="0">
        <v>101</v>
      </c>
      <c r="AQ109" t="s" s="0">
        <v>2983</v>
      </c>
      <c r="AR109" t="s" s="0">
        <v>2984</v>
      </c>
      <c r="AS109" t="s" s="0">
        <v>2985</v>
      </c>
      <c r="AT109" t="s" s="0">
        <v>2986</v>
      </c>
      <c r="AU109" t="s" s="0">
        <v>2987</v>
      </c>
      <c r="AV109" t="s" s="0">
        <v>82</v>
      </c>
      <c r="AW109" t="s" s="0">
        <v>2988</v>
      </c>
      <c r="AX109" t="s" s="0">
        <v>2989</v>
      </c>
      <c r="AY109" t="s" s="0">
        <v>2990</v>
      </c>
      <c r="AZ109" t="s" s="0">
        <v>147</v>
      </c>
      <c r="BA109" t="s" s="0">
        <v>115</v>
      </c>
      <c r="BB109" t="s" s="0">
        <v>447</v>
      </c>
      <c r="BC109" t="s" s="0">
        <v>82</v>
      </c>
      <c r="BD109" t="s" s="0">
        <v>82</v>
      </c>
      <c r="BE109" t="s" s="0">
        <v>82</v>
      </c>
      <c r="BF109" t="s" s="0">
        <v>82</v>
      </c>
      <c r="BG109" t="s" s="0">
        <v>2991</v>
      </c>
      <c r="BH109" t="s" s="0">
        <v>2992</v>
      </c>
      <c r="BI109" t="s" s="0">
        <v>82</v>
      </c>
      <c r="BJ109" t="s" s="0">
        <v>2993</v>
      </c>
      <c r="BK109" t="s" s="215">
        <f>HYPERLINK("http://dx.doi.org/10.1002/ueg2.12721","http://dx.doi.org/10.1002/ueg2.12721")</f>
        <v>2994</v>
      </c>
      <c r="BL109" t="s" s="0">
        <v>82</v>
      </c>
      <c r="BM109" t="s" s="0">
        <v>2217</v>
      </c>
      <c r="BN109" t="s" s="0">
        <v>138</v>
      </c>
      <c r="BO109" t="s" s="0">
        <v>924</v>
      </c>
      <c r="BP109" t="s" s="0">
        <v>924</v>
      </c>
      <c r="BQ109" t="s" s="0">
        <v>2995</v>
      </c>
      <c r="BR109" t="s" s="0">
        <v>2996</v>
      </c>
      <c r="BS109" t="s" s="0">
        <v>2997</v>
      </c>
      <c r="BT109" t="s" s="216">
        <f>HYPERLINK("https://www.webofscience.com/wos/woscc/full-record/WOS:001376827400001","View Record in Web of Science")</f>
        <v>120</v>
      </c>
      <c r="BU109" t="s" s="0">
        <v>256</v>
      </c>
      <c r="BV109" t="s" s="0">
        <v>82</v>
      </c>
      <c r="BW109" t="s" s="0">
        <v>82</v>
      </c>
      <c r="BX109" t="s" s="0">
        <v>122</v>
      </c>
    </row>
    <row r="110">
      <c r="A110" t="s" s="0">
        <v>78</v>
      </c>
      <c r="B110" t="s" s="0">
        <v>78</v>
      </c>
      <c r="C110" t="s" s="0">
        <v>78</v>
      </c>
      <c r="D110" t="s" s="0">
        <v>78</v>
      </c>
      <c r="E110" t="s" s="0">
        <v>2998</v>
      </c>
      <c r="F110" t="s" s="0">
        <v>2999</v>
      </c>
      <c r="G110" t="s" s="0">
        <v>3000</v>
      </c>
      <c r="H110" t="s" s="0">
        <v>82</v>
      </c>
      <c r="I110" t="s" s="0">
        <v>297</v>
      </c>
      <c r="J110" t="s" s="0">
        <v>3001</v>
      </c>
      <c r="K110" t="s" s="0">
        <v>3002</v>
      </c>
      <c r="L110" t="s" s="0">
        <v>82</v>
      </c>
      <c r="M110" t="s" s="0">
        <v>82</v>
      </c>
      <c r="N110" t="s" s="0">
        <v>82</v>
      </c>
      <c r="O110" t="s" s="0">
        <v>3003</v>
      </c>
      <c r="P110" t="s" s="0">
        <v>3004</v>
      </c>
      <c r="Q110" t="s" s="0">
        <v>91</v>
      </c>
      <c r="R110" t="s" s="0">
        <v>82</v>
      </c>
      <c r="S110" t="s" s="0">
        <v>82</v>
      </c>
      <c r="T110" t="s" s="0">
        <v>82</v>
      </c>
      <c r="U110" t="s" s="0">
        <v>82</v>
      </c>
      <c r="V110" t="s" s="0">
        <v>3005</v>
      </c>
      <c r="W110" t="s" s="0">
        <v>3006</v>
      </c>
      <c r="X110" t="s" s="0">
        <v>82</v>
      </c>
      <c r="Y110" t="s" s="0">
        <v>82</v>
      </c>
      <c r="Z110" t="s" s="0">
        <v>94</v>
      </c>
      <c r="AA110" t="s" s="0">
        <v>169</v>
      </c>
      <c r="AB110" t="s" s="0">
        <v>82</v>
      </c>
      <c r="AC110" t="s" s="0">
        <v>82</v>
      </c>
      <c r="AD110" t="s" s="0">
        <v>82</v>
      </c>
      <c r="AE110" t="s" s="0">
        <v>82</v>
      </c>
      <c r="AF110" t="s" s="0">
        <v>82</v>
      </c>
      <c r="AG110" t="s" s="0">
        <v>3007</v>
      </c>
      <c r="AH110" t="s" s="0">
        <v>3008</v>
      </c>
      <c r="AI110" t="s" s="0">
        <v>3009</v>
      </c>
      <c r="AJ110" t="s" s="0">
        <v>82</v>
      </c>
      <c r="AK110" t="s" s="0">
        <v>82</v>
      </c>
      <c r="AL110" t="s" s="0">
        <v>640</v>
      </c>
      <c r="AM110" t="s" s="0">
        <v>78</v>
      </c>
      <c r="AN110" t="s" s="0">
        <v>78</v>
      </c>
      <c r="AO110" t="s" s="0">
        <v>78</v>
      </c>
      <c r="AP110" t="s" s="0">
        <v>78</v>
      </c>
      <c r="AQ110" t="s" s="0">
        <v>3010</v>
      </c>
      <c r="AR110" t="s" s="0">
        <v>1134</v>
      </c>
      <c r="AS110" t="s" s="0">
        <v>3011</v>
      </c>
      <c r="AT110" t="s" s="0">
        <v>3012</v>
      </c>
      <c r="AU110" t="s" s="0">
        <v>82</v>
      </c>
      <c r="AV110" t="s" s="0">
        <v>82</v>
      </c>
      <c r="AW110" t="s" s="0">
        <v>3013</v>
      </c>
      <c r="AX110" t="s" s="0">
        <v>3014</v>
      </c>
      <c r="AY110" t="s" s="0">
        <v>82</v>
      </c>
      <c r="AZ110" t="s" s="0">
        <v>181</v>
      </c>
      <c r="BA110" t="s" s="0">
        <v>82</v>
      </c>
      <c r="BB110" t="s" s="0">
        <v>82</v>
      </c>
      <c r="BC110" t="s" s="0">
        <v>82</v>
      </c>
      <c r="BD110" t="s" s="0">
        <v>82</v>
      </c>
      <c r="BE110" t="s" s="0">
        <v>82</v>
      </c>
      <c r="BF110" t="s" s="0">
        <v>82</v>
      </c>
      <c r="BG110" t="s" s="0">
        <v>82</v>
      </c>
      <c r="BH110" t="s" s="0">
        <v>82</v>
      </c>
      <c r="BI110" t="s" s="0">
        <v>82</v>
      </c>
      <c r="BJ110" t="s" s="0">
        <v>3015</v>
      </c>
      <c r="BK110" t="s" s="217">
        <f>HYPERLINK("http://dx.doi.org/10.5217/ir.2025.00262","http://dx.doi.org/10.5217/ir.2025.00262")</f>
        <v>3016</v>
      </c>
      <c r="BL110" t="s" s="0">
        <v>82</v>
      </c>
      <c r="BM110" t="s" s="0">
        <v>153</v>
      </c>
      <c r="BN110" t="s" s="0">
        <v>138</v>
      </c>
      <c r="BO110" t="s" s="0">
        <v>924</v>
      </c>
      <c r="BP110" t="s" s="0">
        <v>924</v>
      </c>
      <c r="BQ110" t="s" s="0">
        <v>3017</v>
      </c>
      <c r="BR110" t="s" s="0">
        <v>3018</v>
      </c>
      <c r="BS110" t="s" s="0">
        <v>3019</v>
      </c>
      <c r="BT110" t="s" s="218">
        <f>HYPERLINK("https://www.webofscience.com/wos/woscc/full-record/WOS:001720185200001","View Record in Web of Science")</f>
        <v>120</v>
      </c>
      <c r="BU110" t="s" s="0">
        <v>1008</v>
      </c>
      <c r="BV110" t="s" s="0">
        <v>82</v>
      </c>
      <c r="BW110" t="s" s="0">
        <v>82</v>
      </c>
      <c r="BX110" t="s" s="0">
        <v>122</v>
      </c>
    </row>
    <row r="111">
      <c r="A111" t="s" s="0">
        <v>101</v>
      </c>
      <c r="B111" t="s" s="0">
        <v>78</v>
      </c>
      <c r="C111" t="s" s="0">
        <v>375</v>
      </c>
      <c r="D111" t="s" s="0">
        <v>78</v>
      </c>
      <c r="E111" t="s" s="0">
        <v>3020</v>
      </c>
      <c r="F111" t="s" s="0">
        <v>3021</v>
      </c>
      <c r="G111" t="s" s="0">
        <v>3022</v>
      </c>
      <c r="H111" t="s" s="0">
        <v>82</v>
      </c>
      <c r="I111" t="s" s="0">
        <v>83</v>
      </c>
      <c r="J111" t="s" s="0">
        <v>3023</v>
      </c>
      <c r="K111" t="s" s="0">
        <v>3024</v>
      </c>
      <c r="L111" t="s" s="0">
        <v>82</v>
      </c>
      <c r="M111" t="s" s="0">
        <v>82</v>
      </c>
      <c r="N111" t="s" s="0">
        <v>82</v>
      </c>
      <c r="O111" t="s" s="0">
        <v>3025</v>
      </c>
      <c r="P111" t="s" s="0">
        <v>3026</v>
      </c>
      <c r="Q111" t="s" s="0">
        <v>91</v>
      </c>
      <c r="R111" t="s" s="0">
        <v>82</v>
      </c>
      <c r="S111" t="s" s="0">
        <v>82</v>
      </c>
      <c r="T111" t="s" s="0">
        <v>82</v>
      </c>
      <c r="U111" t="s" s="0">
        <v>82</v>
      </c>
      <c r="V111" t="s" s="0">
        <v>3027</v>
      </c>
      <c r="W111" t="s" s="0">
        <v>2293</v>
      </c>
      <c r="X111" t="s" s="0">
        <v>82</v>
      </c>
      <c r="Y111" t="s" s="0">
        <v>82</v>
      </c>
      <c r="Z111" t="s" s="0">
        <v>94</v>
      </c>
      <c r="AA111" t="s" s="0">
        <v>95</v>
      </c>
      <c r="AB111" t="s" s="0">
        <v>82</v>
      </c>
      <c r="AC111" t="s" s="0">
        <v>82</v>
      </c>
      <c r="AD111" t="s" s="0">
        <v>82</v>
      </c>
      <c r="AE111" t="s" s="0">
        <v>82</v>
      </c>
      <c r="AF111" t="s" s="0">
        <v>82</v>
      </c>
      <c r="AG111" t="s" s="0">
        <v>3028</v>
      </c>
      <c r="AH111" t="s" s="0">
        <v>3029</v>
      </c>
      <c r="AI111" t="s" s="0">
        <v>82</v>
      </c>
      <c r="AJ111" t="s" s="0">
        <v>3030</v>
      </c>
      <c r="AK111" t="s" s="0">
        <v>82</v>
      </c>
      <c r="AL111" t="s" s="0">
        <v>831</v>
      </c>
      <c r="AM111" t="s" s="0">
        <v>3031</v>
      </c>
      <c r="AN111" t="s" s="0">
        <v>2575</v>
      </c>
      <c r="AO111" t="s" s="0">
        <v>77</v>
      </c>
      <c r="AP111" t="s" s="0">
        <v>685</v>
      </c>
      <c r="AQ111" t="s" s="0">
        <v>2051</v>
      </c>
      <c r="AR111" t="s" s="0">
        <v>203</v>
      </c>
      <c r="AS111" t="s" s="0">
        <v>2052</v>
      </c>
      <c r="AT111" t="s" s="0">
        <v>2298</v>
      </c>
      <c r="AU111" t="s" s="0">
        <v>2299</v>
      </c>
      <c r="AV111" t="s" s="0">
        <v>82</v>
      </c>
      <c r="AW111" t="s" s="0">
        <v>2300</v>
      </c>
      <c r="AX111" t="s" s="0">
        <v>2301</v>
      </c>
      <c r="AY111" t="s" s="0">
        <v>3032</v>
      </c>
      <c r="AZ111" t="s" s="0">
        <v>408</v>
      </c>
      <c r="BA111" t="s" s="0">
        <v>273</v>
      </c>
      <c r="BB111" t="s" s="0">
        <v>149</v>
      </c>
      <c r="BC111" t="s" s="0">
        <v>82</v>
      </c>
      <c r="BD111" t="s" s="0">
        <v>82</v>
      </c>
      <c r="BE111" t="s" s="0">
        <v>82</v>
      </c>
      <c r="BF111" t="s" s="0">
        <v>82</v>
      </c>
      <c r="BG111" t="s" s="0">
        <v>3033</v>
      </c>
      <c r="BH111" t="s" s="0">
        <v>3034</v>
      </c>
      <c r="BI111" t="s" s="0">
        <v>82</v>
      </c>
      <c r="BJ111" t="s" s="0">
        <v>3035</v>
      </c>
      <c r="BK111" t="s" s="219">
        <f>HYPERLINK("http://dx.doi.org/10.1007/s00330-022-08923-z","http://dx.doi.org/10.1007/s00330-022-08923-z")</f>
        <v>3036</v>
      </c>
      <c r="BL111" t="s" s="0">
        <v>82</v>
      </c>
      <c r="BM111" t="s" s="0">
        <v>2030</v>
      </c>
      <c r="BN111" t="s" s="0">
        <v>245</v>
      </c>
      <c r="BO111" t="s" s="0">
        <v>414</v>
      </c>
      <c r="BP111" t="s" s="0">
        <v>414</v>
      </c>
      <c r="BQ111" t="s" s="0">
        <v>3037</v>
      </c>
      <c r="BR111" t="s" s="0">
        <v>3038</v>
      </c>
      <c r="BS111" t="s" s="0">
        <v>3039</v>
      </c>
      <c r="BT111" t="s" s="220">
        <f>HYPERLINK("https://www.webofscience.com/wos/woscc/full-record/WOS:000813592100005","View Record in Web of Science")</f>
        <v>120</v>
      </c>
      <c r="BU111" t="s" s="0">
        <v>82</v>
      </c>
      <c r="BV111" t="s" s="0">
        <v>82</v>
      </c>
      <c r="BW111" t="s" s="0">
        <v>82</v>
      </c>
      <c r="BX111" t="s" s="0">
        <v>122</v>
      </c>
    </row>
    <row r="112">
      <c r="A112" t="s" s="0">
        <v>78</v>
      </c>
      <c r="B112" t="s" s="0">
        <v>78</v>
      </c>
      <c r="C112" t="s" s="0">
        <v>101</v>
      </c>
      <c r="D112" t="s" s="0">
        <v>78</v>
      </c>
      <c r="E112" t="s" s="0">
        <v>3040</v>
      </c>
      <c r="F112" t="s" s="0">
        <v>3041</v>
      </c>
      <c r="G112" t="s" s="0">
        <v>3042</v>
      </c>
      <c r="H112" t="s" s="0">
        <v>82</v>
      </c>
      <c r="I112" t="s" s="0">
        <v>83</v>
      </c>
      <c r="J112" t="s" s="0">
        <v>3043</v>
      </c>
      <c r="K112" t="s" s="0">
        <v>3044</v>
      </c>
      <c r="L112" t="s" s="0">
        <v>3045</v>
      </c>
      <c r="M112" t="s" s="0">
        <v>3045</v>
      </c>
      <c r="N112" t="s" s="0">
        <v>3046</v>
      </c>
      <c r="O112" t="s" s="0">
        <v>3047</v>
      </c>
      <c r="P112" t="s" s="0">
        <v>3048</v>
      </c>
      <c r="Q112" t="s" s="0">
        <v>91</v>
      </c>
      <c r="R112" t="s" s="0">
        <v>82</v>
      </c>
      <c r="S112" t="s" s="0">
        <v>82</v>
      </c>
      <c r="T112" t="s" s="0">
        <v>82</v>
      </c>
      <c r="U112" t="s" s="0">
        <v>82</v>
      </c>
      <c r="V112" t="s" s="0">
        <v>3049</v>
      </c>
      <c r="W112" t="s" s="0">
        <v>3050</v>
      </c>
      <c r="X112" t="s" s="0">
        <v>82</v>
      </c>
      <c r="Y112" t="s" s="0">
        <v>82</v>
      </c>
      <c r="Z112" t="s" s="0">
        <v>94</v>
      </c>
      <c r="AA112" t="s" s="0">
        <v>95</v>
      </c>
      <c r="AB112" t="s" s="0">
        <v>82</v>
      </c>
      <c r="AC112" t="s" s="0">
        <v>82</v>
      </c>
      <c r="AD112" t="s" s="0">
        <v>82</v>
      </c>
      <c r="AE112" t="s" s="0">
        <v>82</v>
      </c>
      <c r="AF112" t="s" s="0">
        <v>82</v>
      </c>
      <c r="AG112" t="s" s="0">
        <v>3051</v>
      </c>
      <c r="AH112" t="s" s="0">
        <v>3052</v>
      </c>
      <c r="AI112" t="s" s="0">
        <v>3053</v>
      </c>
      <c r="AJ112" t="s" s="0">
        <v>3054</v>
      </c>
      <c r="AK112" t="s" s="0">
        <v>82</v>
      </c>
      <c r="AL112" t="s" s="0">
        <v>1279</v>
      </c>
      <c r="AM112" t="s" s="0">
        <v>1320</v>
      </c>
      <c r="AN112" t="s" s="0">
        <v>1320</v>
      </c>
      <c r="AO112" t="s" s="0">
        <v>78</v>
      </c>
      <c r="AP112" t="s" s="0">
        <v>136</v>
      </c>
      <c r="AQ112" t="s" s="0">
        <v>3055</v>
      </c>
      <c r="AR112" t="s" s="0">
        <v>104</v>
      </c>
      <c r="AS112" t="s" s="0">
        <v>3056</v>
      </c>
      <c r="AT112" t="s" s="0">
        <v>3057</v>
      </c>
      <c r="AU112" t="s" s="0">
        <v>3058</v>
      </c>
      <c r="AV112" t="s" s="0">
        <v>82</v>
      </c>
      <c r="AW112" t="s" s="0">
        <v>3059</v>
      </c>
      <c r="AX112" t="s" s="0">
        <v>3060</v>
      </c>
      <c r="AY112" t="s" s="0">
        <v>2461</v>
      </c>
      <c r="AZ112" t="s" s="0">
        <v>110</v>
      </c>
      <c r="BA112" t="s" s="0">
        <v>1320</v>
      </c>
      <c r="BB112" t="s" s="0">
        <v>77</v>
      </c>
      <c r="BC112" t="s" s="0">
        <v>82</v>
      </c>
      <c r="BD112" t="s" s="0">
        <v>82</v>
      </c>
      <c r="BE112" t="s" s="0">
        <v>82</v>
      </c>
      <c r="BF112" t="s" s="0">
        <v>82</v>
      </c>
      <c r="BG112" t="s" s="0">
        <v>82</v>
      </c>
      <c r="BH112" t="s" s="0">
        <v>82</v>
      </c>
      <c r="BI112" t="s" s="0">
        <v>349</v>
      </c>
      <c r="BJ112" t="s" s="0">
        <v>3061</v>
      </c>
      <c r="BK112" t="s" s="221">
        <f>HYPERLINK("http://dx.doi.org/10.1007/s11657-024-01372-9","http://dx.doi.org/10.1007/s11657-024-01372-9")</f>
        <v>3062</v>
      </c>
      <c r="BL112" t="s" s="0">
        <v>82</v>
      </c>
      <c r="BM112" t="s" s="0">
        <v>82</v>
      </c>
      <c r="BN112" t="s" s="0">
        <v>245</v>
      </c>
      <c r="BO112" t="s" s="0">
        <v>3063</v>
      </c>
      <c r="BP112" t="s" s="0">
        <v>3063</v>
      </c>
      <c r="BQ112" t="s" s="0">
        <v>3064</v>
      </c>
      <c r="BR112" t="s" s="0">
        <v>3065</v>
      </c>
      <c r="BS112" t="s" s="0">
        <v>3066</v>
      </c>
      <c r="BT112" t="s" s="222">
        <f>HYPERLINK("https://www.webofscience.com/wos/woscc/full-record/WOS:001181240400001","View Record in Web of Science")</f>
        <v>120</v>
      </c>
      <c r="BU112" t="s" s="0">
        <v>1265</v>
      </c>
      <c r="BV112" t="s" s="0">
        <v>82</v>
      </c>
      <c r="BW112" t="s" s="0">
        <v>82</v>
      </c>
      <c r="BX112" t="s" s="0">
        <v>122</v>
      </c>
    </row>
    <row r="113">
      <c r="A113" t="s" s="0">
        <v>78</v>
      </c>
      <c r="B113" t="s" s="0">
        <v>78</v>
      </c>
      <c r="C113" t="s" s="0">
        <v>78</v>
      </c>
      <c r="D113" t="s" s="0">
        <v>78</v>
      </c>
      <c r="E113" t="s" s="0">
        <v>3067</v>
      </c>
      <c r="F113" t="s" s="0">
        <v>3068</v>
      </c>
      <c r="G113" t="s" s="0">
        <v>3069</v>
      </c>
      <c r="H113" t="s" s="0">
        <v>82</v>
      </c>
      <c r="I113" t="s" s="0">
        <v>83</v>
      </c>
      <c r="J113" t="s" s="0">
        <v>3070</v>
      </c>
      <c r="K113" t="s" s="0">
        <v>3071</v>
      </c>
      <c r="L113" t="s" s="0">
        <v>3072</v>
      </c>
      <c r="M113" t="s" s="0">
        <v>3073</v>
      </c>
      <c r="N113" t="s" s="0">
        <v>3074</v>
      </c>
      <c r="O113" t="s" s="0">
        <v>3075</v>
      </c>
      <c r="P113" t="s" s="0">
        <v>3076</v>
      </c>
      <c r="Q113" t="s" s="0">
        <v>91</v>
      </c>
      <c r="R113" t="s" s="0">
        <v>82</v>
      </c>
      <c r="S113" t="s" s="0">
        <v>82</v>
      </c>
      <c r="T113" t="s" s="0">
        <v>82</v>
      </c>
      <c r="U113" t="s" s="0">
        <v>82</v>
      </c>
      <c r="V113" t="s" s="0">
        <v>3077</v>
      </c>
      <c r="W113" t="s" s="0">
        <v>1777</v>
      </c>
      <c r="X113" t="s" s="0">
        <v>82</v>
      </c>
      <c r="Y113" t="s" s="0">
        <v>82</v>
      </c>
      <c r="Z113" t="s" s="0">
        <v>94</v>
      </c>
      <c r="AA113" t="s" s="0">
        <v>95</v>
      </c>
      <c r="AB113" t="s" s="0">
        <v>82</v>
      </c>
      <c r="AC113" t="s" s="0">
        <v>82</v>
      </c>
      <c r="AD113" t="s" s="0">
        <v>82</v>
      </c>
      <c r="AE113" t="s" s="0">
        <v>82</v>
      </c>
      <c r="AF113" t="s" s="0">
        <v>82</v>
      </c>
      <c r="AG113" t="s" s="0">
        <v>3078</v>
      </c>
      <c r="AH113" t="s" s="0">
        <v>3079</v>
      </c>
      <c r="AI113" t="s" s="0">
        <v>3080</v>
      </c>
      <c r="AJ113" t="s" s="0">
        <v>3081</v>
      </c>
      <c r="AK113" t="s" s="0">
        <v>82</v>
      </c>
      <c r="AL113" t="s" s="0">
        <v>1320</v>
      </c>
      <c r="AM113" t="s" s="0">
        <v>77</v>
      </c>
      <c r="AN113" t="s" s="0">
        <v>77</v>
      </c>
      <c r="AO113" t="s" s="0">
        <v>78</v>
      </c>
      <c r="AP113" t="s" s="0">
        <v>78</v>
      </c>
      <c r="AQ113" t="s" s="0">
        <v>832</v>
      </c>
      <c r="AR113" t="s" s="0">
        <v>833</v>
      </c>
      <c r="AS113" t="s" s="0">
        <v>834</v>
      </c>
      <c r="AT113" t="s" s="0">
        <v>1781</v>
      </c>
      <c r="AU113" t="s" s="0">
        <v>1782</v>
      </c>
      <c r="AV113" t="s" s="0">
        <v>82</v>
      </c>
      <c r="AW113" t="s" s="0">
        <v>1783</v>
      </c>
      <c r="AX113" t="s" s="0">
        <v>1784</v>
      </c>
      <c r="AY113" t="s" s="0">
        <v>1365</v>
      </c>
      <c r="AZ113" t="s" s="0">
        <v>181</v>
      </c>
      <c r="BA113" t="s" s="0">
        <v>3082</v>
      </c>
      <c r="BB113" t="s" s="0">
        <v>102</v>
      </c>
      <c r="BC113" t="s" s="0">
        <v>82</v>
      </c>
      <c r="BD113" t="s" s="0">
        <v>82</v>
      </c>
      <c r="BE113" t="s" s="0">
        <v>82</v>
      </c>
      <c r="BF113" t="s" s="0">
        <v>82</v>
      </c>
      <c r="BG113" t="s" s="0">
        <v>3083</v>
      </c>
      <c r="BH113" t="s" s="0">
        <v>3084</v>
      </c>
      <c r="BI113" t="s" s="0">
        <v>82</v>
      </c>
      <c r="BJ113" t="s" s="0">
        <v>3085</v>
      </c>
      <c r="BK113" t="s" s="223">
        <f>HYPERLINK("http://dx.doi.org/10.14309/ajg.0000000000003495","http://dx.doi.org/10.14309/ajg.0000000000003495")</f>
        <v>3086</v>
      </c>
      <c r="BL113" t="s" s="0">
        <v>82</v>
      </c>
      <c r="BM113" t="s" s="0">
        <v>82</v>
      </c>
      <c r="BN113" t="s" s="0">
        <v>136</v>
      </c>
      <c r="BO113" t="s" s="0">
        <v>924</v>
      </c>
      <c r="BP113" t="s" s="0">
        <v>924</v>
      </c>
      <c r="BQ113" t="s" s="0">
        <v>3087</v>
      </c>
      <c r="BR113" t="s" s="0">
        <v>3088</v>
      </c>
      <c r="BS113" t="s" s="0">
        <v>3089</v>
      </c>
      <c r="BT113" t="s" s="224">
        <f>HYPERLINK("https://www.webofscience.com/wos/woscc/full-record/WOS:001735069500001","View Record in Web of Science")</f>
        <v>120</v>
      </c>
      <c r="BU113" t="s" s="0">
        <v>1265</v>
      </c>
      <c r="BV113" t="s" s="0">
        <v>82</v>
      </c>
      <c r="BW113" t="s" s="0">
        <v>82</v>
      </c>
      <c r="BX113" t="s" s="0">
        <v>122</v>
      </c>
    </row>
    <row r="114">
      <c r="A114" t="s" s="0">
        <v>78</v>
      </c>
      <c r="B114" t="s" s="0">
        <v>78</v>
      </c>
      <c r="C114" t="s" s="0">
        <v>78</v>
      </c>
      <c r="D114" t="s" s="0">
        <v>78</v>
      </c>
      <c r="E114" t="s" s="0">
        <v>3090</v>
      </c>
      <c r="F114" t="s" s="0">
        <v>3091</v>
      </c>
      <c r="G114" t="s" s="0">
        <v>3092</v>
      </c>
      <c r="H114" t="s" s="0">
        <v>82</v>
      </c>
      <c r="I114" t="s" s="0">
        <v>297</v>
      </c>
      <c r="J114" t="s" s="0">
        <v>3093</v>
      </c>
      <c r="K114" t="s" s="0">
        <v>3094</v>
      </c>
      <c r="L114" t="s" s="0">
        <v>3095</v>
      </c>
      <c r="M114" t="s" s="0">
        <v>3096</v>
      </c>
      <c r="N114" t="s" s="0">
        <v>3097</v>
      </c>
      <c r="O114" t="s" s="0">
        <v>3098</v>
      </c>
      <c r="P114" t="s" s="0">
        <v>3099</v>
      </c>
      <c r="Q114" t="s" s="0">
        <v>91</v>
      </c>
      <c r="R114" t="s" s="0">
        <v>82</v>
      </c>
      <c r="S114" t="s" s="0">
        <v>82</v>
      </c>
      <c r="T114" t="s" s="0">
        <v>82</v>
      </c>
      <c r="U114" t="s" s="0">
        <v>82</v>
      </c>
      <c r="V114" t="s" s="0">
        <v>3100</v>
      </c>
      <c r="W114" t="s" s="0">
        <v>1549</v>
      </c>
      <c r="X114" t="s" s="0">
        <v>82</v>
      </c>
      <c r="Y114" t="s" s="0">
        <v>82</v>
      </c>
      <c r="Z114" t="s" s="0">
        <v>94</v>
      </c>
      <c r="AA114" t="s" s="0">
        <v>95</v>
      </c>
      <c r="AB114" t="s" s="0">
        <v>82</v>
      </c>
      <c r="AC114" t="s" s="0">
        <v>82</v>
      </c>
      <c r="AD114" t="s" s="0">
        <v>82</v>
      </c>
      <c r="AE114" t="s" s="0">
        <v>82</v>
      </c>
      <c r="AF114" t="s" s="0">
        <v>82</v>
      </c>
      <c r="AG114" t="s" s="0">
        <v>3101</v>
      </c>
      <c r="AH114" t="s" s="0">
        <v>3102</v>
      </c>
      <c r="AI114" t="s" s="0">
        <v>3103</v>
      </c>
      <c r="AJ114" t="s" s="0">
        <v>3104</v>
      </c>
      <c r="AK114" t="s" s="0">
        <v>82</v>
      </c>
      <c r="AL114" t="s" s="0">
        <v>201</v>
      </c>
      <c r="AM114" t="s" s="0">
        <v>78</v>
      </c>
      <c r="AN114" t="s" s="0">
        <v>78</v>
      </c>
      <c r="AO114" t="s" s="0">
        <v>78</v>
      </c>
      <c r="AP114" t="s" s="0">
        <v>78</v>
      </c>
      <c r="AQ114" t="s" s="0">
        <v>491</v>
      </c>
      <c r="AR114" t="s" s="0">
        <v>492</v>
      </c>
      <c r="AS114" t="s" s="0">
        <v>493</v>
      </c>
      <c r="AT114" t="s" s="0">
        <v>82</v>
      </c>
      <c r="AU114" t="s" s="0">
        <v>1553</v>
      </c>
      <c r="AV114" t="s" s="0">
        <v>82</v>
      </c>
      <c r="AW114" t="s" s="0">
        <v>1554</v>
      </c>
      <c r="AX114" t="s" s="0">
        <v>1555</v>
      </c>
      <c r="AY114" t="s" s="0">
        <v>1003</v>
      </c>
      <c r="AZ114" t="s" s="0">
        <v>181</v>
      </c>
      <c r="BA114" t="s" s="0">
        <v>101</v>
      </c>
      <c r="BB114" t="s" s="0">
        <v>101</v>
      </c>
      <c r="BC114" t="s" s="0">
        <v>82</v>
      </c>
      <c r="BD114" t="s" s="0">
        <v>82</v>
      </c>
      <c r="BE114" t="s" s="0">
        <v>82</v>
      </c>
      <c r="BF114" t="s" s="0">
        <v>82</v>
      </c>
      <c r="BG114" t="s" s="0">
        <v>82</v>
      </c>
      <c r="BH114" t="s" s="0">
        <v>82</v>
      </c>
      <c r="BI114" t="s" s="0">
        <v>3105</v>
      </c>
      <c r="BJ114" t="s" s="0">
        <v>3106</v>
      </c>
      <c r="BK114" t="s" s="225">
        <f>HYPERLINK("http://dx.doi.org/10.1093/radadv/umag020","http://dx.doi.org/10.1093/radadv/umag020")</f>
        <v>3107</v>
      </c>
      <c r="BL114" t="s" s="0">
        <v>82</v>
      </c>
      <c r="BM114" t="s" s="0">
        <v>82</v>
      </c>
      <c r="BN114" t="s" s="0">
        <v>115</v>
      </c>
      <c r="BO114" t="s" s="0">
        <v>414</v>
      </c>
      <c r="BP114" t="s" s="0">
        <v>414</v>
      </c>
      <c r="BQ114" t="s" s="0">
        <v>3108</v>
      </c>
      <c r="BR114" t="s" s="0">
        <v>3109</v>
      </c>
      <c r="BS114" t="s" s="0">
        <v>3110</v>
      </c>
      <c r="BT114" t="s" s="226">
        <f>HYPERLINK("https://www.webofscience.com/wos/woscc/full-record/WOS:001763071900001","View Record in Web of Science")</f>
        <v>120</v>
      </c>
      <c r="BU114" t="s" s="0">
        <v>121</v>
      </c>
      <c r="BV114" t="s" s="0">
        <v>82</v>
      </c>
      <c r="BW114" t="s" s="0">
        <v>82</v>
      </c>
      <c r="BX114" t="s" s="0">
        <v>122</v>
      </c>
    </row>
    <row r="115">
      <c r="A115" t="s" s="0">
        <v>78</v>
      </c>
      <c r="B115" t="s" s="0">
        <v>78</v>
      </c>
      <c r="C115" t="s" s="0">
        <v>447</v>
      </c>
      <c r="D115" t="s" s="0">
        <v>78</v>
      </c>
      <c r="E115" t="s" s="0">
        <v>3111</v>
      </c>
      <c r="F115" t="s" s="0">
        <v>3112</v>
      </c>
      <c r="G115" t="s" s="0">
        <v>3113</v>
      </c>
      <c r="H115" t="s" s="0">
        <v>82</v>
      </c>
      <c r="I115" t="s" s="0">
        <v>83</v>
      </c>
      <c r="J115" t="s" s="0">
        <v>3114</v>
      </c>
      <c r="K115" t="s" s="0">
        <v>3115</v>
      </c>
      <c r="L115" t="s" s="0">
        <v>82</v>
      </c>
      <c r="M115" t="s" s="0">
        <v>82</v>
      </c>
      <c r="N115" t="s" s="0">
        <v>82</v>
      </c>
      <c r="O115" t="s" s="0">
        <v>3116</v>
      </c>
      <c r="P115" t="s" s="0">
        <v>3117</v>
      </c>
      <c r="Q115" t="s" s="0">
        <v>91</v>
      </c>
      <c r="R115" t="s" s="0">
        <v>82</v>
      </c>
      <c r="S115" t="s" s="0">
        <v>82</v>
      </c>
      <c r="T115" t="s" s="0">
        <v>82</v>
      </c>
      <c r="U115" t="s" s="0">
        <v>82</v>
      </c>
      <c r="V115" t="s" s="0">
        <v>3118</v>
      </c>
      <c r="W115" t="s" s="0">
        <v>3119</v>
      </c>
      <c r="X115" t="s" s="0">
        <v>82</v>
      </c>
      <c r="Y115" t="s" s="0">
        <v>82</v>
      </c>
      <c r="Z115" t="s" s="0">
        <v>94</v>
      </c>
      <c r="AA115" t="s" s="0">
        <v>95</v>
      </c>
      <c r="AB115" t="s" s="0">
        <v>82</v>
      </c>
      <c r="AC115" t="s" s="0">
        <v>82</v>
      </c>
      <c r="AD115" t="s" s="0">
        <v>82</v>
      </c>
      <c r="AE115" t="s" s="0">
        <v>82</v>
      </c>
      <c r="AF115" t="s" s="0">
        <v>82</v>
      </c>
      <c r="AG115" t="s" s="0">
        <v>82</v>
      </c>
      <c r="AH115" t="s" s="0">
        <v>82</v>
      </c>
      <c r="AI115" t="s" s="0">
        <v>82</v>
      </c>
      <c r="AJ115" t="s" s="0">
        <v>3120</v>
      </c>
      <c r="AK115" t="s" s="0">
        <v>82</v>
      </c>
      <c r="AL115" t="s" s="0">
        <v>221</v>
      </c>
      <c r="AM115" t="s" s="0">
        <v>136</v>
      </c>
      <c r="AN115" t="s" s="0">
        <v>319</v>
      </c>
      <c r="AO115" t="s" s="0">
        <v>77</v>
      </c>
      <c r="AP115" t="s" s="0">
        <v>319</v>
      </c>
      <c r="AQ115" t="s" s="0">
        <v>2051</v>
      </c>
      <c r="AR115" t="s" s="0">
        <v>203</v>
      </c>
      <c r="AS115" t="s" s="0">
        <v>2052</v>
      </c>
      <c r="AT115" t="s" s="0">
        <v>3121</v>
      </c>
      <c r="AU115" t="s" s="0">
        <v>3122</v>
      </c>
      <c r="AV115" t="s" s="0">
        <v>82</v>
      </c>
      <c r="AW115" t="s" s="0">
        <v>3123</v>
      </c>
      <c r="AX115" t="s" s="0">
        <v>3124</v>
      </c>
      <c r="AY115" t="s" s="0">
        <v>3032</v>
      </c>
      <c r="AZ115" t="s" s="0">
        <v>408</v>
      </c>
      <c r="BA115" t="s" s="0">
        <v>238</v>
      </c>
      <c r="BB115" t="s" s="0">
        <v>375</v>
      </c>
      <c r="BC115" t="s" s="0">
        <v>82</v>
      </c>
      <c r="BD115" t="s" s="0">
        <v>82</v>
      </c>
      <c r="BE115" t="s" s="0">
        <v>82</v>
      </c>
      <c r="BF115" t="s" s="0">
        <v>82</v>
      </c>
      <c r="BG115" t="s" s="0">
        <v>3125</v>
      </c>
      <c r="BH115" t="s" s="0">
        <v>3126</v>
      </c>
      <c r="BI115" t="s" s="0">
        <v>82</v>
      </c>
      <c r="BJ115" t="s" s="0">
        <v>3127</v>
      </c>
      <c r="BK115" t="s" s="227">
        <f>HYPERLINK("http://dx.doi.org/10.1007/s10278-022-00670-3","http://dx.doi.org/10.1007/s10278-022-00670-3")</f>
        <v>3128</v>
      </c>
      <c r="BL115" t="s" s="0">
        <v>82</v>
      </c>
      <c r="BM115" t="s" s="0">
        <v>2030</v>
      </c>
      <c r="BN115" t="s" s="0">
        <v>102</v>
      </c>
      <c r="BO115" t="s" s="0">
        <v>414</v>
      </c>
      <c r="BP115" t="s" s="0">
        <v>414</v>
      </c>
      <c r="BQ115" t="s" s="0">
        <v>3129</v>
      </c>
      <c r="BR115" t="s" s="0">
        <v>3130</v>
      </c>
      <c r="BS115" t="s" s="0">
        <v>3131</v>
      </c>
      <c r="BT115" t="s" s="228">
        <f>HYPERLINK("https://www.webofscience.com/wos/woscc/full-record/WOS:000818660600002","View Record in Web of Science")</f>
        <v>120</v>
      </c>
      <c r="BU115" t="s" s="0">
        <v>2333</v>
      </c>
      <c r="BV115" t="s" s="0">
        <v>82</v>
      </c>
      <c r="BW115" t="s" s="0">
        <v>82</v>
      </c>
      <c r="BX115" t="s" s="0">
        <v>122</v>
      </c>
    </row>
    <row r="116">
      <c r="A116" t="s" s="0">
        <v>77</v>
      </c>
      <c r="B116" t="s" s="0">
        <v>78</v>
      </c>
      <c r="C116" t="s" s="0">
        <v>77</v>
      </c>
      <c r="D116" t="s" s="0">
        <v>78</v>
      </c>
      <c r="E116" t="s" s="0">
        <v>3132</v>
      </c>
      <c r="F116" t="s" s="0">
        <v>3133</v>
      </c>
      <c r="G116" t="s" s="0">
        <v>3134</v>
      </c>
      <c r="H116" t="s" s="0">
        <v>82</v>
      </c>
      <c r="I116" t="s" s="0">
        <v>297</v>
      </c>
      <c r="J116" t="s" s="0">
        <v>3135</v>
      </c>
      <c r="K116" t="s" s="0">
        <v>3136</v>
      </c>
      <c r="L116" t="s" s="0">
        <v>3137</v>
      </c>
      <c r="M116" t="s" s="0">
        <v>3138</v>
      </c>
      <c r="N116" t="s" s="0">
        <v>3139</v>
      </c>
      <c r="O116" t="s" s="0">
        <v>3140</v>
      </c>
      <c r="P116" t="s" s="0">
        <v>3141</v>
      </c>
      <c r="Q116" t="s" s="0">
        <v>91</v>
      </c>
      <c r="R116" t="s" s="0">
        <v>82</v>
      </c>
      <c r="S116" t="s" s="0">
        <v>82</v>
      </c>
      <c r="T116" t="s" s="0">
        <v>82</v>
      </c>
      <c r="U116" t="s" s="0">
        <v>82</v>
      </c>
      <c r="V116" t="s" s="0">
        <v>3142</v>
      </c>
      <c r="W116" t="s" s="0">
        <v>3143</v>
      </c>
      <c r="X116" t="s" s="0">
        <v>82</v>
      </c>
      <c r="Y116" t="s" s="0">
        <v>82</v>
      </c>
      <c r="Z116" t="s" s="0">
        <v>94</v>
      </c>
      <c r="AA116" t="s" s="0">
        <v>95</v>
      </c>
      <c r="AB116" t="s" s="0">
        <v>82</v>
      </c>
      <c r="AC116" t="s" s="0">
        <v>82</v>
      </c>
      <c r="AD116" t="s" s="0">
        <v>82</v>
      </c>
      <c r="AE116" t="s" s="0">
        <v>82</v>
      </c>
      <c r="AF116" t="s" s="0">
        <v>82</v>
      </c>
      <c r="AG116" t="s" s="0">
        <v>3144</v>
      </c>
      <c r="AH116" t="s" s="0">
        <v>3145</v>
      </c>
      <c r="AI116" t="s" s="0">
        <v>461</v>
      </c>
      <c r="AJ116" t="s" s="0">
        <v>3146</v>
      </c>
      <c r="AK116" t="s" s="0">
        <v>82</v>
      </c>
      <c r="AL116" t="s" s="0">
        <v>399</v>
      </c>
      <c r="AM116" t="s" s="0">
        <v>138</v>
      </c>
      <c r="AN116" t="s" s="0">
        <v>319</v>
      </c>
      <c r="AO116" t="s" s="0">
        <v>77</v>
      </c>
      <c r="AP116" t="s" s="0">
        <v>101</v>
      </c>
      <c r="AQ116" t="s" s="0">
        <v>491</v>
      </c>
      <c r="AR116" t="s" s="0">
        <v>492</v>
      </c>
      <c r="AS116" t="s" s="0">
        <v>493</v>
      </c>
      <c r="AT116" t="s" s="0">
        <v>3147</v>
      </c>
      <c r="AU116" t="s" s="0">
        <v>3148</v>
      </c>
      <c r="AV116" t="s" s="0">
        <v>82</v>
      </c>
      <c r="AW116" t="s" s="0">
        <v>3149</v>
      </c>
      <c r="AX116" t="s" s="0">
        <v>3150</v>
      </c>
      <c r="AY116" t="s" s="0">
        <v>3151</v>
      </c>
      <c r="AZ116" t="s" s="0">
        <v>110</v>
      </c>
      <c r="BA116" t="s" s="0">
        <v>138</v>
      </c>
      <c r="BB116" t="s" s="0">
        <v>77</v>
      </c>
      <c r="BC116" t="s" s="0">
        <v>82</v>
      </c>
      <c r="BD116" t="s" s="0">
        <v>82</v>
      </c>
      <c r="BE116" t="s" s="0">
        <v>82</v>
      </c>
      <c r="BF116" t="s" s="0">
        <v>82</v>
      </c>
      <c r="BG116" t="s" s="0">
        <v>640</v>
      </c>
      <c r="BH116" t="s" s="0">
        <v>353</v>
      </c>
      <c r="BI116" t="s" s="0">
        <v>82</v>
      </c>
      <c r="BJ116" t="s" s="0">
        <v>3152</v>
      </c>
      <c r="BK116" t="s" s="229">
        <f>HYPERLINK("http://dx.doi.org/10.1093/jbi/wbae058","http://dx.doi.org/10.1093/jbi/wbae058")</f>
        <v>3153</v>
      </c>
      <c r="BL116" t="s" s="0">
        <v>82</v>
      </c>
      <c r="BM116" t="s" s="0">
        <v>243</v>
      </c>
      <c r="BN116" t="s" s="0">
        <v>137</v>
      </c>
      <c r="BO116" t="s" s="0">
        <v>2164</v>
      </c>
      <c r="BP116" t="s" s="0">
        <v>2164</v>
      </c>
      <c r="BQ116" t="s" s="0">
        <v>3154</v>
      </c>
      <c r="BR116" t="s" s="0">
        <v>3155</v>
      </c>
      <c r="BS116" t="s" s="0">
        <v>3156</v>
      </c>
      <c r="BT116" t="s" s="230">
        <f>HYPERLINK("https://www.webofscience.com/wos/woscc/full-record/WOS:001330738900001","View Record in Web of Science")</f>
        <v>120</v>
      </c>
      <c r="BU116" t="s" s="0">
        <v>2333</v>
      </c>
      <c r="BV116" t="s" s="0">
        <v>82</v>
      </c>
      <c r="BW116" t="s" s="0">
        <v>82</v>
      </c>
      <c r="BX116" t="s" s="0">
        <v>122</v>
      </c>
    </row>
    <row r="117">
      <c r="A117" t="s" s="0">
        <v>102</v>
      </c>
      <c r="B117" t="s" s="0">
        <v>78</v>
      </c>
      <c r="C117" t="s" s="0">
        <v>173</v>
      </c>
      <c r="D117" t="s" s="0">
        <v>78</v>
      </c>
      <c r="E117" t="s" s="0">
        <v>3157</v>
      </c>
      <c r="F117" t="s" s="0">
        <v>3158</v>
      </c>
      <c r="G117" t="s" s="0">
        <v>3159</v>
      </c>
      <c r="H117" t="s" s="0">
        <v>82</v>
      </c>
      <c r="I117" t="s" s="0">
        <v>83</v>
      </c>
      <c r="J117" t="s" s="0">
        <v>3160</v>
      </c>
      <c r="K117" t="s" s="0">
        <v>3161</v>
      </c>
      <c r="L117" t="s" s="0">
        <v>3162</v>
      </c>
      <c r="M117" t="s" s="0">
        <v>3163</v>
      </c>
      <c r="N117" t="s" s="0">
        <v>3164</v>
      </c>
      <c r="O117" t="s" s="0">
        <v>3165</v>
      </c>
      <c r="P117" t="s" s="0">
        <v>3166</v>
      </c>
      <c r="Q117" t="s" s="0">
        <v>91</v>
      </c>
      <c r="R117" t="s" s="0">
        <v>82</v>
      </c>
      <c r="S117" t="s" s="0">
        <v>82</v>
      </c>
      <c r="T117" t="s" s="0">
        <v>82</v>
      </c>
      <c r="U117" t="s" s="0">
        <v>82</v>
      </c>
      <c r="V117" t="s" s="0">
        <v>3167</v>
      </c>
      <c r="W117" t="s" s="0">
        <v>3168</v>
      </c>
      <c r="X117" t="s" s="0">
        <v>82</v>
      </c>
      <c r="Y117" t="s" s="0">
        <v>82</v>
      </c>
      <c r="Z117" t="s" s="0">
        <v>94</v>
      </c>
      <c r="AA117" t="s" s="0">
        <v>95</v>
      </c>
      <c r="AB117" t="s" s="0">
        <v>82</v>
      </c>
      <c r="AC117" t="s" s="0">
        <v>82</v>
      </c>
      <c r="AD117" t="s" s="0">
        <v>82</v>
      </c>
      <c r="AE117" t="s" s="0">
        <v>82</v>
      </c>
      <c r="AF117" t="s" s="0">
        <v>82</v>
      </c>
      <c r="AG117" t="s" s="0">
        <v>82</v>
      </c>
      <c r="AH117" t="s" s="0">
        <v>3169</v>
      </c>
      <c r="AI117" t="s" s="0">
        <v>2430</v>
      </c>
      <c r="AJ117" t="s" s="0">
        <v>3170</v>
      </c>
      <c r="AK117" t="s" s="0">
        <v>82</v>
      </c>
      <c r="AL117" t="s" s="0">
        <v>201</v>
      </c>
      <c r="AM117" t="s" s="0">
        <v>1658</v>
      </c>
      <c r="AN117" t="s" s="0">
        <v>3171</v>
      </c>
      <c r="AO117" t="s" s="0">
        <v>77</v>
      </c>
      <c r="AP117" t="s" s="0">
        <v>349</v>
      </c>
      <c r="AQ117" t="s" s="0">
        <v>465</v>
      </c>
      <c r="AR117" t="s" s="0">
        <v>466</v>
      </c>
      <c r="AS117" t="s" s="0">
        <v>467</v>
      </c>
      <c r="AT117" t="s" s="0">
        <v>3172</v>
      </c>
      <c r="AU117" t="s" s="0">
        <v>3173</v>
      </c>
      <c r="AV117" t="s" s="0">
        <v>82</v>
      </c>
      <c r="AW117" t="s" s="0">
        <v>3174</v>
      </c>
      <c r="AX117" t="s" s="0">
        <v>3175</v>
      </c>
      <c r="AY117" t="s" s="0">
        <v>1482</v>
      </c>
      <c r="AZ117" t="s" s="0">
        <v>408</v>
      </c>
      <c r="BA117" t="s" s="0">
        <v>3176</v>
      </c>
      <c r="BB117" t="s" s="0">
        <v>136</v>
      </c>
      <c r="BC117" t="s" s="0">
        <v>82</v>
      </c>
      <c r="BD117" t="s" s="0">
        <v>82</v>
      </c>
      <c r="BE117" t="s" s="0">
        <v>82</v>
      </c>
      <c r="BF117" t="s" s="0">
        <v>82</v>
      </c>
      <c r="BG117" t="s" s="0">
        <v>3177</v>
      </c>
      <c r="BH117" t="s" s="0">
        <v>3178</v>
      </c>
      <c r="BI117" t="s" s="0">
        <v>82</v>
      </c>
      <c r="BJ117" t="s" s="0">
        <v>3179</v>
      </c>
      <c r="BK117" t="s" s="231">
        <f>HYPERLINK("http://dx.doi.org/10.1001/jamaophthalmol.2022.2135","http://dx.doi.org/10.1001/jamaophthalmol.2022.2135")</f>
        <v>3180</v>
      </c>
      <c r="BL117" t="s" s="0">
        <v>82</v>
      </c>
      <c r="BM117" t="s" s="0">
        <v>977</v>
      </c>
      <c r="BN117" t="s" s="0">
        <v>136</v>
      </c>
      <c r="BO117" t="s" s="0">
        <v>2278</v>
      </c>
      <c r="BP117" t="s" s="0">
        <v>2278</v>
      </c>
      <c r="BQ117" t="s" s="0">
        <v>3181</v>
      </c>
      <c r="BR117" t="s" s="0">
        <v>3182</v>
      </c>
      <c r="BS117" t="s" s="0">
        <v>3183</v>
      </c>
      <c r="BT117" t="s" s="232">
        <f>HYPERLINK("https://www.webofscience.com/wos/woscc/full-record/WOS:000822041800002","View Record in Web of Science")</f>
        <v>120</v>
      </c>
      <c r="BU117" t="s" s="0">
        <v>1265</v>
      </c>
      <c r="BV117" t="s" s="0">
        <v>82</v>
      </c>
      <c r="BW117" t="s" s="0">
        <v>82</v>
      </c>
      <c r="BX117" t="s" s="0">
        <v>122</v>
      </c>
    </row>
    <row r="118">
      <c r="A118" t="s" s="0">
        <v>78</v>
      </c>
      <c r="B118" t="s" s="0">
        <v>78</v>
      </c>
      <c r="C118" t="s" s="0">
        <v>78</v>
      </c>
      <c r="D118" t="s" s="0">
        <v>78</v>
      </c>
      <c r="E118" t="s" s="0">
        <v>1724</v>
      </c>
      <c r="F118" t="s" s="0">
        <v>3184</v>
      </c>
      <c r="G118" t="s" s="0">
        <v>1726</v>
      </c>
      <c r="H118" t="s" s="0">
        <v>82</v>
      </c>
      <c r="I118" t="s" s="0">
        <v>83</v>
      </c>
      <c r="J118" t="s" s="0">
        <v>3185</v>
      </c>
      <c r="K118" t="s" s="0">
        <v>1728</v>
      </c>
      <c r="L118" t="s" s="0">
        <v>82</v>
      </c>
      <c r="M118" t="s" s="0">
        <v>82</v>
      </c>
      <c r="N118" t="s" s="0">
        <v>82</v>
      </c>
      <c r="O118" t="s" s="0">
        <v>3186</v>
      </c>
      <c r="P118" t="s" s="0">
        <v>3187</v>
      </c>
      <c r="Q118" t="s" s="0">
        <v>91</v>
      </c>
      <c r="R118" t="s" s="0">
        <v>82</v>
      </c>
      <c r="S118" t="s" s="0">
        <v>82</v>
      </c>
      <c r="T118" t="s" s="0">
        <v>82</v>
      </c>
      <c r="U118" t="s" s="0">
        <v>82</v>
      </c>
      <c r="V118" t="s" s="0">
        <v>3188</v>
      </c>
      <c r="W118" t="s" s="0">
        <v>3189</v>
      </c>
      <c r="X118" t="s" s="0">
        <v>82</v>
      </c>
      <c r="Y118" t="s" s="0">
        <v>82</v>
      </c>
      <c r="Z118" t="s" s="0">
        <v>94</v>
      </c>
      <c r="AA118" t="s" s="0">
        <v>95</v>
      </c>
      <c r="AB118" t="s" s="0">
        <v>82</v>
      </c>
      <c r="AC118" t="s" s="0">
        <v>82</v>
      </c>
      <c r="AD118" t="s" s="0">
        <v>82</v>
      </c>
      <c r="AE118" t="s" s="0">
        <v>82</v>
      </c>
      <c r="AF118" t="s" s="0">
        <v>82</v>
      </c>
      <c r="AG118" t="s" s="0">
        <v>3190</v>
      </c>
      <c r="AH118" t="s" s="0">
        <v>3191</v>
      </c>
      <c r="AI118" t="s" s="0">
        <v>82</v>
      </c>
      <c r="AJ118" t="s" s="0">
        <v>82</v>
      </c>
      <c r="AK118" t="s" s="0">
        <v>82</v>
      </c>
      <c r="AL118" t="s" s="0">
        <v>353</v>
      </c>
      <c r="AM118" t="s" s="0">
        <v>101</v>
      </c>
      <c r="AN118" t="s" s="0">
        <v>101</v>
      </c>
      <c r="AO118" t="s" s="0">
        <v>78</v>
      </c>
      <c r="AP118" t="s" s="0">
        <v>78</v>
      </c>
      <c r="AQ118" t="s" s="0">
        <v>3192</v>
      </c>
      <c r="AR118" t="s" s="0">
        <v>466</v>
      </c>
      <c r="AS118" t="s" s="0">
        <v>3193</v>
      </c>
      <c r="AT118" t="s" s="0">
        <v>3194</v>
      </c>
      <c r="AU118" t="s" s="0">
        <v>3195</v>
      </c>
      <c r="AV118" t="s" s="0">
        <v>82</v>
      </c>
      <c r="AW118" t="s" s="0">
        <v>3196</v>
      </c>
      <c r="AX118" t="s" s="0">
        <v>3197</v>
      </c>
      <c r="AY118" t="s" s="0">
        <v>184</v>
      </c>
      <c r="AZ118" t="s" s="0">
        <v>181</v>
      </c>
      <c r="BA118" t="s" s="0">
        <v>1786</v>
      </c>
      <c r="BB118" t="s" s="0">
        <v>375</v>
      </c>
      <c r="BC118" t="s" s="0">
        <v>82</v>
      </c>
      <c r="BD118" t="s" s="0">
        <v>82</v>
      </c>
      <c r="BE118" t="s" s="0">
        <v>82</v>
      </c>
      <c r="BF118" t="s" s="0">
        <v>82</v>
      </c>
      <c r="BG118" t="s" s="0">
        <v>3198</v>
      </c>
      <c r="BH118" t="s" s="0">
        <v>3199</v>
      </c>
      <c r="BI118" t="s" s="0">
        <v>82</v>
      </c>
      <c r="BJ118" t="s" s="0">
        <v>3200</v>
      </c>
      <c r="BK118" t="s" s="233">
        <f>HYPERLINK("http://dx.doi.org/10.1016/j.adaj.2025.11.005","http://dx.doi.org/10.1016/j.adaj.2025.11.005")</f>
        <v>3201</v>
      </c>
      <c r="BL118" t="s" s="0">
        <v>82</v>
      </c>
      <c r="BM118" t="s" s="0">
        <v>82</v>
      </c>
      <c r="BN118" t="s" s="0">
        <v>136</v>
      </c>
      <c r="BO118" t="s" s="0">
        <v>3202</v>
      </c>
      <c r="BP118" t="s" s="0">
        <v>3202</v>
      </c>
      <c r="BQ118" t="s" s="0">
        <v>3203</v>
      </c>
      <c r="BR118" t="s" s="0">
        <v>3204</v>
      </c>
      <c r="BS118" t="s" s="0">
        <v>3205</v>
      </c>
      <c r="BT118" t="s" s="234">
        <f>HYPERLINK("https://www.webofscience.com/wos/woscc/full-record/WOS:001795003300001","View Record in Web of Science")</f>
        <v>120</v>
      </c>
      <c r="BU118" t="s" s="0">
        <v>82</v>
      </c>
      <c r="BV118" t="s" s="0">
        <v>82</v>
      </c>
      <c r="BW118" t="s" s="0">
        <v>82</v>
      </c>
      <c r="BX118" t="s" s="0">
        <v>122</v>
      </c>
    </row>
    <row r="119">
      <c r="A119" t="s" s="0">
        <v>78</v>
      </c>
      <c r="B119" t="s" s="0">
        <v>78</v>
      </c>
      <c r="C119" t="s" s="0">
        <v>78</v>
      </c>
      <c r="D119" t="s" s="0">
        <v>78</v>
      </c>
      <c r="E119" t="s" s="0">
        <v>3206</v>
      </c>
      <c r="F119" t="s" s="0">
        <v>3207</v>
      </c>
      <c r="G119" t="s" s="0">
        <v>3208</v>
      </c>
      <c r="H119" t="s" s="0">
        <v>82</v>
      </c>
      <c r="I119" t="s" s="0">
        <v>83</v>
      </c>
      <c r="J119" t="s" s="0">
        <v>3209</v>
      </c>
      <c r="K119" t="s" s="0">
        <v>3210</v>
      </c>
      <c r="L119" t="s" s="0">
        <v>82</v>
      </c>
      <c r="M119" t="s" s="0">
        <v>82</v>
      </c>
      <c r="N119" t="s" s="0">
        <v>3211</v>
      </c>
      <c r="O119" t="s" s="0">
        <v>3212</v>
      </c>
      <c r="P119" t="s" s="0">
        <v>3213</v>
      </c>
      <c r="Q119" t="s" s="0">
        <v>91</v>
      </c>
      <c r="R119" t="s" s="0">
        <v>82</v>
      </c>
      <c r="S119" t="s" s="0">
        <v>82</v>
      </c>
      <c r="T119" t="s" s="0">
        <v>82</v>
      </c>
      <c r="U119" t="s" s="0">
        <v>82</v>
      </c>
      <c r="V119" t="s" s="0">
        <v>3214</v>
      </c>
      <c r="W119" t="s" s="0">
        <v>3215</v>
      </c>
      <c r="X119" t="s" s="0">
        <v>82</v>
      </c>
      <c r="Y119" t="s" s="0">
        <v>82</v>
      </c>
      <c r="Z119" t="s" s="0">
        <v>94</v>
      </c>
      <c r="AA119" t="s" s="0">
        <v>169</v>
      </c>
      <c r="AB119" t="s" s="0">
        <v>82</v>
      </c>
      <c r="AC119" t="s" s="0">
        <v>82</v>
      </c>
      <c r="AD119" t="s" s="0">
        <v>82</v>
      </c>
      <c r="AE119" t="s" s="0">
        <v>82</v>
      </c>
      <c r="AF119" t="s" s="0">
        <v>82</v>
      </c>
      <c r="AG119" t="s" s="0">
        <v>3216</v>
      </c>
      <c r="AH119" t="s" s="0">
        <v>82</v>
      </c>
      <c r="AI119" t="s" s="0">
        <v>82</v>
      </c>
      <c r="AJ119" t="s" s="0">
        <v>82</v>
      </c>
      <c r="AK119" t="s" s="0">
        <v>82</v>
      </c>
      <c r="AL119" t="s" s="0">
        <v>137</v>
      </c>
      <c r="AM119" t="s" s="0">
        <v>78</v>
      </c>
      <c r="AN119" t="s" s="0">
        <v>78</v>
      </c>
      <c r="AO119" t="s" s="0">
        <v>78</v>
      </c>
      <c r="AP119" t="s" s="0">
        <v>78</v>
      </c>
      <c r="AQ119" t="s" s="0">
        <v>3217</v>
      </c>
      <c r="AR119" t="s" s="0">
        <v>3218</v>
      </c>
      <c r="AS119" t="s" s="0">
        <v>3219</v>
      </c>
      <c r="AT119" t="s" s="0">
        <v>3220</v>
      </c>
      <c r="AU119" t="s" s="0">
        <v>3221</v>
      </c>
      <c r="AV119" t="s" s="0">
        <v>82</v>
      </c>
      <c r="AW119" t="s" s="0">
        <v>3222</v>
      </c>
      <c r="AX119" t="s" s="0">
        <v>3223</v>
      </c>
      <c r="AY119" t="s" s="0">
        <v>82</v>
      </c>
      <c r="AZ119" t="s" s="0">
        <v>181</v>
      </c>
      <c r="BA119" t="s" s="0">
        <v>82</v>
      </c>
      <c r="BB119" t="s" s="0">
        <v>82</v>
      </c>
      <c r="BC119" t="s" s="0">
        <v>82</v>
      </c>
      <c r="BD119" t="s" s="0">
        <v>82</v>
      </c>
      <c r="BE119" t="s" s="0">
        <v>82</v>
      </c>
      <c r="BF119" t="s" s="0">
        <v>82</v>
      </c>
      <c r="BG119" t="s" s="0">
        <v>82</v>
      </c>
      <c r="BH119" t="s" s="0">
        <v>82</v>
      </c>
      <c r="BI119" t="s" s="0">
        <v>82</v>
      </c>
      <c r="BJ119" t="s" s="0">
        <v>3224</v>
      </c>
      <c r="BK119" t="s" s="235">
        <f>HYPERLINK("http://dx.doi.org/10.1007/s00540-026-03854-1","http://dx.doi.org/10.1007/s00540-026-03854-1")</f>
        <v>3225</v>
      </c>
      <c r="BL119" t="s" s="0">
        <v>82</v>
      </c>
      <c r="BM119" t="s" s="0">
        <v>3226</v>
      </c>
      <c r="BN119" t="s" s="0">
        <v>138</v>
      </c>
      <c r="BO119" t="s" s="0">
        <v>729</v>
      </c>
      <c r="BP119" t="s" s="0">
        <v>729</v>
      </c>
      <c r="BQ119" t="s" s="0">
        <v>3227</v>
      </c>
      <c r="BR119" t="s" s="0">
        <v>3228</v>
      </c>
      <c r="BS119" t="s" s="0">
        <v>3229</v>
      </c>
      <c r="BT119" t="s" s="236">
        <f>HYPERLINK("https://www.webofscience.com/wos/woscc/full-record/WOS:001826157500001","View Record in Web of Science")</f>
        <v>120</v>
      </c>
      <c r="BU119" t="s" s="0">
        <v>82</v>
      </c>
      <c r="BV119" t="s" s="0">
        <v>82</v>
      </c>
      <c r="BW119" t="s" s="0">
        <v>82</v>
      </c>
      <c r="BX119" t="s" s="0">
        <v>122</v>
      </c>
    </row>
    <row r="120">
      <c r="A120" t="s" s="0">
        <v>78</v>
      </c>
      <c r="B120" t="s" s="0">
        <v>78</v>
      </c>
      <c r="C120" t="s" s="0">
        <v>138</v>
      </c>
      <c r="D120" t="s" s="0">
        <v>78</v>
      </c>
      <c r="E120" t="s" s="0">
        <v>3230</v>
      </c>
      <c r="F120" t="s" s="0">
        <v>3231</v>
      </c>
      <c r="G120" t="s" s="0">
        <v>3232</v>
      </c>
      <c r="H120" t="s" s="0">
        <v>82</v>
      </c>
      <c r="I120" t="s" s="0">
        <v>297</v>
      </c>
      <c r="J120" t="s" s="0">
        <v>3233</v>
      </c>
      <c r="K120" t="s" s="0">
        <v>3234</v>
      </c>
      <c r="L120" t="s" s="0">
        <v>3235</v>
      </c>
      <c r="M120" t="s" s="0">
        <v>3236</v>
      </c>
      <c r="N120" t="s" s="0">
        <v>3237</v>
      </c>
      <c r="O120" t="s" s="0">
        <v>3238</v>
      </c>
      <c r="P120" t="s" s="0">
        <v>3239</v>
      </c>
      <c r="Q120" t="s" s="0">
        <v>91</v>
      </c>
      <c r="R120" t="s" s="0">
        <v>82</v>
      </c>
      <c r="S120" t="s" s="0">
        <v>82</v>
      </c>
      <c r="T120" t="s" s="0">
        <v>82</v>
      </c>
      <c r="U120" t="s" s="0">
        <v>82</v>
      </c>
      <c r="V120" t="s" s="0">
        <v>3240</v>
      </c>
      <c r="W120" t="s" s="0">
        <v>486</v>
      </c>
      <c r="X120" t="s" s="0">
        <v>82</v>
      </c>
      <c r="Y120" t="s" s="0">
        <v>82</v>
      </c>
      <c r="Z120" t="s" s="0">
        <v>94</v>
      </c>
      <c r="AA120" t="s" s="0">
        <v>95</v>
      </c>
      <c r="AB120" t="s" s="0">
        <v>82</v>
      </c>
      <c r="AC120" t="s" s="0">
        <v>82</v>
      </c>
      <c r="AD120" t="s" s="0">
        <v>82</v>
      </c>
      <c r="AE120" t="s" s="0">
        <v>82</v>
      </c>
      <c r="AF120" t="s" s="0">
        <v>82</v>
      </c>
      <c r="AG120" t="s" s="0">
        <v>3241</v>
      </c>
      <c r="AH120" t="s" s="0">
        <v>3242</v>
      </c>
      <c r="AI120" t="s" s="0">
        <v>3243</v>
      </c>
      <c r="AJ120" t="s" s="0">
        <v>3244</v>
      </c>
      <c r="AK120" t="s" s="0">
        <v>82</v>
      </c>
      <c r="AL120" t="s" s="0">
        <v>375</v>
      </c>
      <c r="AM120" t="s" s="0">
        <v>201</v>
      </c>
      <c r="AN120" t="s" s="0">
        <v>632</v>
      </c>
      <c r="AO120" t="s" s="0">
        <v>78</v>
      </c>
      <c r="AP120" t="s" s="0">
        <v>447</v>
      </c>
      <c r="AQ120" t="s" s="0">
        <v>491</v>
      </c>
      <c r="AR120" t="s" s="0">
        <v>492</v>
      </c>
      <c r="AS120" t="s" s="0">
        <v>493</v>
      </c>
      <c r="AT120" t="s" s="0">
        <v>82</v>
      </c>
      <c r="AU120" t="s" s="0">
        <v>494</v>
      </c>
      <c r="AV120" t="s" s="0">
        <v>82</v>
      </c>
      <c r="AW120" t="s" s="0">
        <v>495</v>
      </c>
      <c r="AX120" t="s" s="0">
        <v>496</v>
      </c>
      <c r="AY120" t="s" s="0">
        <v>3245</v>
      </c>
      <c r="AZ120" t="s" s="0">
        <v>408</v>
      </c>
      <c r="BA120" t="s" s="0">
        <v>101</v>
      </c>
      <c r="BB120" t="s" s="0">
        <v>102</v>
      </c>
      <c r="BC120" t="s" s="0">
        <v>82</v>
      </c>
      <c r="BD120" t="s" s="0">
        <v>82</v>
      </c>
      <c r="BE120" t="s" s="0">
        <v>82</v>
      </c>
      <c r="BF120" t="s" s="0">
        <v>82</v>
      </c>
      <c r="BG120" t="s" s="0">
        <v>3246</v>
      </c>
      <c r="BH120" t="s" s="0">
        <v>3247</v>
      </c>
      <c r="BI120" t="s" s="0">
        <v>82</v>
      </c>
      <c r="BJ120" t="s" s="0">
        <v>3248</v>
      </c>
      <c r="BK120" t="s" s="237">
        <f>HYPERLINK("http://dx.doi.org/10.1093/ehjdh/ztac065","http://dx.doi.org/10.1093/ehjdh/ztac065")</f>
        <v>3249</v>
      </c>
      <c r="BL120" t="s" s="0">
        <v>82</v>
      </c>
      <c r="BM120" t="s" s="0">
        <v>1716</v>
      </c>
      <c r="BN120" t="s" s="0">
        <v>102</v>
      </c>
      <c r="BO120" t="s" s="0">
        <v>503</v>
      </c>
      <c r="BP120" t="s" s="0">
        <v>504</v>
      </c>
      <c r="BQ120" t="s" s="0">
        <v>3250</v>
      </c>
      <c r="BR120" t="s" s="0">
        <v>3251</v>
      </c>
      <c r="BS120" t="s" s="0">
        <v>3252</v>
      </c>
      <c r="BT120" t="s" s="238">
        <f>HYPERLINK("https://www.webofscience.com/wos/woscc/full-record/WOS:001133091600002","View Record in Web of Science")</f>
        <v>120</v>
      </c>
      <c r="BU120" t="s" s="0">
        <v>121</v>
      </c>
      <c r="BV120" t="s" s="0">
        <v>82</v>
      </c>
      <c r="BW120" t="s" s="0">
        <v>82</v>
      </c>
      <c r="BX120" t="s" s="0">
        <v>122</v>
      </c>
    </row>
    <row r="121">
      <c r="A121" t="s" s="0">
        <v>447</v>
      </c>
      <c r="B121" t="s" s="0">
        <v>78</v>
      </c>
      <c r="C121" t="s" s="0">
        <v>136</v>
      </c>
      <c r="D121" t="s" s="0">
        <v>78</v>
      </c>
      <c r="E121" t="s" s="0">
        <v>3253</v>
      </c>
      <c r="F121" t="s" s="0">
        <v>3254</v>
      </c>
      <c r="G121" t="s" s="0">
        <v>3255</v>
      </c>
      <c r="H121" t="s" s="0">
        <v>82</v>
      </c>
      <c r="I121" t="s" s="0">
        <v>83</v>
      </c>
      <c r="J121" t="s" s="0">
        <v>3256</v>
      </c>
      <c r="K121" t="s" s="0">
        <v>3257</v>
      </c>
      <c r="L121" t="s" s="0">
        <v>3258</v>
      </c>
      <c r="M121" t="s" s="0">
        <v>3259</v>
      </c>
      <c r="N121" t="s" s="0">
        <v>3260</v>
      </c>
      <c r="O121" t="s" s="0">
        <v>3261</v>
      </c>
      <c r="P121" t="s" s="0">
        <v>3262</v>
      </c>
      <c r="Q121" t="s" s="0">
        <v>91</v>
      </c>
      <c r="R121" t="s" s="0">
        <v>82</v>
      </c>
      <c r="S121" t="s" s="0">
        <v>82</v>
      </c>
      <c r="T121" t="s" s="0">
        <v>82</v>
      </c>
      <c r="U121" t="s" s="0">
        <v>82</v>
      </c>
      <c r="V121" t="s" s="0">
        <v>3263</v>
      </c>
      <c r="W121" t="s" s="0">
        <v>3264</v>
      </c>
      <c r="X121" t="s" s="0">
        <v>82</v>
      </c>
      <c r="Y121" t="s" s="0">
        <v>82</v>
      </c>
      <c r="Z121" t="s" s="0">
        <v>94</v>
      </c>
      <c r="AA121" t="s" s="0">
        <v>95</v>
      </c>
      <c r="AB121" t="s" s="0">
        <v>82</v>
      </c>
      <c r="AC121" t="s" s="0">
        <v>82</v>
      </c>
      <c r="AD121" t="s" s="0">
        <v>82</v>
      </c>
      <c r="AE121" t="s" s="0">
        <v>82</v>
      </c>
      <c r="AF121" t="s" s="0">
        <v>82</v>
      </c>
      <c r="AG121" t="s" s="0">
        <v>3265</v>
      </c>
      <c r="AH121" t="s" s="0">
        <v>3266</v>
      </c>
      <c r="AI121" t="s" s="0">
        <v>3267</v>
      </c>
      <c r="AJ121" t="s" s="0">
        <v>3268</v>
      </c>
      <c r="AK121" t="s" s="0">
        <v>82</v>
      </c>
      <c r="AL121" t="s" s="0">
        <v>685</v>
      </c>
      <c r="AM121" t="s" s="0">
        <v>1186</v>
      </c>
      <c r="AN121" t="s" s="0">
        <v>273</v>
      </c>
      <c r="AO121" t="s" s="0">
        <v>78</v>
      </c>
      <c r="AP121" t="s" s="0">
        <v>447</v>
      </c>
      <c r="AQ121" t="s" s="0">
        <v>277</v>
      </c>
      <c r="AR121" t="s" s="0">
        <v>278</v>
      </c>
      <c r="AS121" t="s" s="0">
        <v>279</v>
      </c>
      <c r="AT121" t="s" s="0">
        <v>82</v>
      </c>
      <c r="AU121" t="s" s="0">
        <v>3269</v>
      </c>
      <c r="AV121" t="s" s="0">
        <v>82</v>
      </c>
      <c r="AW121" t="s" s="0">
        <v>3270</v>
      </c>
      <c r="AX121" t="s" s="0">
        <v>3271</v>
      </c>
      <c r="AY121" t="s" s="0">
        <v>243</v>
      </c>
      <c r="AZ121" t="s" s="0">
        <v>110</v>
      </c>
      <c r="BA121" t="s" s="0">
        <v>138</v>
      </c>
      <c r="BB121" t="s" s="0">
        <v>221</v>
      </c>
      <c r="BC121" t="s" s="0">
        <v>82</v>
      </c>
      <c r="BD121" t="s" s="0">
        <v>82</v>
      </c>
      <c r="BE121" t="s" s="0">
        <v>82</v>
      </c>
      <c r="BF121" t="s" s="0">
        <v>82</v>
      </c>
      <c r="BG121" t="s" s="0">
        <v>3272</v>
      </c>
      <c r="BH121" t="s" s="0">
        <v>3273</v>
      </c>
      <c r="BI121" t="s" s="0">
        <v>82</v>
      </c>
      <c r="BJ121" t="s" s="0">
        <v>3274</v>
      </c>
      <c r="BK121" t="s" s="239">
        <f>HYPERLINK("http://dx.doi.org/10.1016/j.euo.2024.01.004","http://dx.doi.org/10.1016/j.euo.2024.01.004")</f>
        <v>3275</v>
      </c>
      <c r="BL121" t="s" s="0">
        <v>82</v>
      </c>
      <c r="BM121" t="s" s="0">
        <v>82</v>
      </c>
      <c r="BN121" t="s" s="0">
        <v>245</v>
      </c>
      <c r="BO121" t="s" s="0">
        <v>3276</v>
      </c>
      <c r="BP121" t="s" s="0">
        <v>3276</v>
      </c>
      <c r="BQ121" t="s" s="0">
        <v>3277</v>
      </c>
      <c r="BR121" t="s" s="0">
        <v>3278</v>
      </c>
      <c r="BS121" t="s" s="0">
        <v>3279</v>
      </c>
      <c r="BT121" t="s" s="240">
        <f>HYPERLINK("https://www.webofscience.com/wos/woscc/full-record/WOS:001325348000001","View Record in Web of Science")</f>
        <v>120</v>
      </c>
      <c r="BU121" t="s" s="0">
        <v>1265</v>
      </c>
      <c r="BV121" t="s" s="0">
        <v>82</v>
      </c>
      <c r="BW121" t="s" s="0">
        <v>82</v>
      </c>
      <c r="BX121" t="s" s="0">
        <v>122</v>
      </c>
    </row>
    <row r="122">
      <c r="A122" t="s" s="0">
        <v>78</v>
      </c>
      <c r="B122" t="s" s="0">
        <v>78</v>
      </c>
      <c r="C122" t="s" s="0">
        <v>78</v>
      </c>
      <c r="D122" t="s" s="0">
        <v>78</v>
      </c>
      <c r="E122" t="s" s="0">
        <v>3280</v>
      </c>
      <c r="F122" t="s" s="0">
        <v>3281</v>
      </c>
      <c r="G122" t="s" s="0">
        <v>3282</v>
      </c>
      <c r="H122" t="s" s="0">
        <v>82</v>
      </c>
      <c r="I122" t="s" s="0">
        <v>83</v>
      </c>
      <c r="J122" t="s" s="0">
        <v>3283</v>
      </c>
      <c r="K122" t="s" s="0">
        <v>3284</v>
      </c>
      <c r="L122" t="s" s="0">
        <v>82</v>
      </c>
      <c r="M122" t="s" s="0">
        <v>82</v>
      </c>
      <c r="N122" t="s" s="0">
        <v>82</v>
      </c>
      <c r="O122" t="s" s="0">
        <v>3285</v>
      </c>
      <c r="P122" t="s" s="0">
        <v>3286</v>
      </c>
      <c r="Q122" t="s" s="0">
        <v>91</v>
      </c>
      <c r="R122" t="s" s="0">
        <v>82</v>
      </c>
      <c r="S122" t="s" s="0">
        <v>82</v>
      </c>
      <c r="T122" t="s" s="0">
        <v>82</v>
      </c>
      <c r="U122" t="s" s="0">
        <v>82</v>
      </c>
      <c r="V122" t="s" s="0">
        <v>3287</v>
      </c>
      <c r="W122" t="s" s="0">
        <v>3288</v>
      </c>
      <c r="X122" t="s" s="0">
        <v>82</v>
      </c>
      <c r="Y122" t="s" s="0">
        <v>82</v>
      </c>
      <c r="Z122" t="s" s="0">
        <v>94</v>
      </c>
      <c r="AA122" t="s" s="0">
        <v>169</v>
      </c>
      <c r="AB122" t="s" s="0">
        <v>82</v>
      </c>
      <c r="AC122" t="s" s="0">
        <v>82</v>
      </c>
      <c r="AD122" t="s" s="0">
        <v>82</v>
      </c>
      <c r="AE122" t="s" s="0">
        <v>82</v>
      </c>
      <c r="AF122" t="s" s="0">
        <v>82</v>
      </c>
      <c r="AG122" t="s" s="0">
        <v>3289</v>
      </c>
      <c r="AH122" t="s" s="0">
        <v>3290</v>
      </c>
      <c r="AI122" t="s" s="0">
        <v>3291</v>
      </c>
      <c r="AJ122" t="s" s="0">
        <v>3292</v>
      </c>
      <c r="AK122" t="s" s="0">
        <v>82</v>
      </c>
      <c r="AL122" t="s" s="0">
        <v>831</v>
      </c>
      <c r="AM122" t="s" s="0">
        <v>78</v>
      </c>
      <c r="AN122" t="s" s="0">
        <v>78</v>
      </c>
      <c r="AO122" t="s" s="0">
        <v>78</v>
      </c>
      <c r="AP122" t="s" s="0">
        <v>78</v>
      </c>
      <c r="AQ122" t="s" s="0">
        <v>174</v>
      </c>
      <c r="AR122" t="s" s="0">
        <v>175</v>
      </c>
      <c r="AS122" t="s" s="0">
        <v>176</v>
      </c>
      <c r="AT122" t="s" s="0">
        <v>3293</v>
      </c>
      <c r="AU122" t="s" s="0">
        <v>3294</v>
      </c>
      <c r="AV122" t="s" s="0">
        <v>82</v>
      </c>
      <c r="AW122" t="s" s="0">
        <v>3295</v>
      </c>
      <c r="AX122" t="s" s="0">
        <v>3296</v>
      </c>
      <c r="AY122" t="s" s="0">
        <v>82</v>
      </c>
      <c r="AZ122" t="s" s="0">
        <v>181</v>
      </c>
      <c r="BA122" t="s" s="0">
        <v>82</v>
      </c>
      <c r="BB122" t="s" s="0">
        <v>82</v>
      </c>
      <c r="BC122" t="s" s="0">
        <v>82</v>
      </c>
      <c r="BD122" t="s" s="0">
        <v>82</v>
      </c>
      <c r="BE122" t="s" s="0">
        <v>82</v>
      </c>
      <c r="BF122" t="s" s="0">
        <v>82</v>
      </c>
      <c r="BG122" t="s" s="0">
        <v>82</v>
      </c>
      <c r="BH122" t="s" s="0">
        <v>82</v>
      </c>
      <c r="BI122" t="s" s="0">
        <v>82</v>
      </c>
      <c r="BJ122" t="s" s="0">
        <v>3297</v>
      </c>
      <c r="BK122" t="s" s="241">
        <f>HYPERLINK("http://dx.doi.org/10.1111/vde.70105","http://dx.doi.org/10.1111/vde.70105")</f>
        <v>3298</v>
      </c>
      <c r="BL122" t="s" s="0">
        <v>82</v>
      </c>
      <c r="BM122" t="s" s="0">
        <v>3226</v>
      </c>
      <c r="BN122" t="s" s="0">
        <v>136</v>
      </c>
      <c r="BO122" t="s" s="0">
        <v>3299</v>
      </c>
      <c r="BP122" t="s" s="0">
        <v>3299</v>
      </c>
      <c r="BQ122" t="s" s="0">
        <v>3300</v>
      </c>
      <c r="BR122" t="s" s="0">
        <v>3301</v>
      </c>
      <c r="BS122" t="s" s="0">
        <v>3302</v>
      </c>
      <c r="BT122" t="s" s="242">
        <f>HYPERLINK("https://www.webofscience.com/wos/woscc/full-record/WOS:001820513100001","View Record in Web of Science")</f>
        <v>120</v>
      </c>
      <c r="BU122" t="s" s="0">
        <v>82</v>
      </c>
      <c r="BV122" t="s" s="0">
        <v>82</v>
      </c>
      <c r="BW122" t="s" s="0">
        <v>82</v>
      </c>
      <c r="BX122" t="s" s="0">
        <v>122</v>
      </c>
    </row>
    <row r="123">
      <c r="A123" t="s" s="0">
        <v>78</v>
      </c>
      <c r="B123" t="s" s="0">
        <v>78</v>
      </c>
      <c r="C123" t="s" s="0">
        <v>78</v>
      </c>
      <c r="D123" t="s" s="0">
        <v>78</v>
      </c>
      <c r="E123" t="s" s="0">
        <v>3303</v>
      </c>
      <c r="F123" t="s" s="0">
        <v>3304</v>
      </c>
      <c r="G123" t="s" s="0">
        <v>3305</v>
      </c>
      <c r="H123" t="s" s="0">
        <v>82</v>
      </c>
      <c r="I123" t="s" s="0">
        <v>297</v>
      </c>
      <c r="J123" t="s" s="0">
        <v>3306</v>
      </c>
      <c r="K123" t="s" s="0">
        <v>3307</v>
      </c>
      <c r="L123" t="s" s="0">
        <v>3308</v>
      </c>
      <c r="M123" t="s" s="0">
        <v>3308</v>
      </c>
      <c r="N123" t="s" s="0">
        <v>3309</v>
      </c>
      <c r="O123" t="s" s="0">
        <v>3310</v>
      </c>
      <c r="P123" t="s" s="0">
        <v>3311</v>
      </c>
      <c r="Q123" t="s" s="0">
        <v>91</v>
      </c>
      <c r="R123" t="s" s="0">
        <v>82</v>
      </c>
      <c r="S123" t="s" s="0">
        <v>82</v>
      </c>
      <c r="T123" t="s" s="0">
        <v>82</v>
      </c>
      <c r="U123" t="s" s="0">
        <v>82</v>
      </c>
      <c r="V123" t="s" s="0">
        <v>3312</v>
      </c>
      <c r="W123" t="s" s="0">
        <v>3313</v>
      </c>
      <c r="X123" t="s" s="0">
        <v>82</v>
      </c>
      <c r="Y123" t="s" s="0">
        <v>82</v>
      </c>
      <c r="Z123" t="s" s="0">
        <v>94</v>
      </c>
      <c r="AA123" t="s" s="0">
        <v>95</v>
      </c>
      <c r="AB123" t="s" s="0">
        <v>82</v>
      </c>
      <c r="AC123" t="s" s="0">
        <v>82</v>
      </c>
      <c r="AD123" t="s" s="0">
        <v>82</v>
      </c>
      <c r="AE123" t="s" s="0">
        <v>82</v>
      </c>
      <c r="AF123" t="s" s="0">
        <v>82</v>
      </c>
      <c r="AG123" t="s" s="0">
        <v>3314</v>
      </c>
      <c r="AH123" t="s" s="0">
        <v>3315</v>
      </c>
      <c r="AI123" t="s" s="0">
        <v>3316</v>
      </c>
      <c r="AJ123" t="s" s="0">
        <v>82</v>
      </c>
      <c r="AK123" t="s" s="0">
        <v>82</v>
      </c>
      <c r="AL123" t="s" s="0">
        <v>685</v>
      </c>
      <c r="AM123" t="s" s="0">
        <v>447</v>
      </c>
      <c r="AN123" t="s" s="0">
        <v>447</v>
      </c>
      <c r="AO123" t="s" s="0">
        <v>77</v>
      </c>
      <c r="AP123" t="s" s="0">
        <v>77</v>
      </c>
      <c r="AQ123" t="s" s="0">
        <v>3317</v>
      </c>
      <c r="AR123" t="s" s="0">
        <v>3318</v>
      </c>
      <c r="AS123" t="s" s="0">
        <v>3319</v>
      </c>
      <c r="AT123" t="s" s="0">
        <v>82</v>
      </c>
      <c r="AU123" t="s" s="0">
        <v>3320</v>
      </c>
      <c r="AV123" t="s" s="0">
        <v>82</v>
      </c>
      <c r="AW123" t="s" s="0">
        <v>3321</v>
      </c>
      <c r="AX123" t="s" s="0">
        <v>3322</v>
      </c>
      <c r="AY123" t="s" s="0">
        <v>3323</v>
      </c>
      <c r="AZ123" t="s" s="0">
        <v>147</v>
      </c>
      <c r="BA123" t="s" s="0">
        <v>319</v>
      </c>
      <c r="BB123" t="s" s="0">
        <v>77</v>
      </c>
      <c r="BC123" t="s" s="0">
        <v>82</v>
      </c>
      <c r="BD123" t="s" s="0">
        <v>82</v>
      </c>
      <c r="BE123" t="s" s="0">
        <v>82</v>
      </c>
      <c r="BF123" t="s" s="0">
        <v>82</v>
      </c>
      <c r="BG123" t="s" s="0">
        <v>82</v>
      </c>
      <c r="BH123" t="s" s="0">
        <v>82</v>
      </c>
      <c r="BI123" t="s" s="0">
        <v>717</v>
      </c>
      <c r="BJ123" t="s" s="0">
        <v>3324</v>
      </c>
      <c r="BK123" t="s" s="243">
        <f>HYPERLINK("http://dx.doi.org/10.1186/s41747-025-00619-5","http://dx.doi.org/10.1186/s41747-025-00619-5")</f>
        <v>3325</v>
      </c>
      <c r="BL123" t="s" s="0">
        <v>82</v>
      </c>
      <c r="BM123" t="s" s="0">
        <v>82</v>
      </c>
      <c r="BN123" t="s" s="0">
        <v>136</v>
      </c>
      <c r="BO123" t="s" s="0">
        <v>414</v>
      </c>
      <c r="BP123" t="s" s="0">
        <v>414</v>
      </c>
      <c r="BQ123" t="s" s="0">
        <v>3326</v>
      </c>
      <c r="BR123" t="s" s="0">
        <v>3327</v>
      </c>
      <c r="BS123" t="s" s="0">
        <v>3328</v>
      </c>
      <c r="BT123" t="s" s="244">
        <f>HYPERLINK("https://www.webofscience.com/wos/woscc/full-record/WOS:001551656800002","View Record in Web of Science")</f>
        <v>120</v>
      </c>
      <c r="BU123" t="s" s="0">
        <v>1537</v>
      </c>
      <c r="BV123" t="s" s="0">
        <v>82</v>
      </c>
      <c r="BW123" t="s" s="0">
        <v>82</v>
      </c>
      <c r="BX123" t="s" s="0">
        <v>122</v>
      </c>
    </row>
    <row r="124">
      <c r="A124" t="s" s="0">
        <v>221</v>
      </c>
      <c r="B124" t="s" s="0">
        <v>78</v>
      </c>
      <c r="C124" t="s" s="0">
        <v>138</v>
      </c>
      <c r="D124" t="s" s="0">
        <v>78</v>
      </c>
      <c r="E124" t="s" s="0">
        <v>3329</v>
      </c>
      <c r="F124" t="s" s="0">
        <v>3330</v>
      </c>
      <c r="G124" t="s" s="0">
        <v>3331</v>
      </c>
      <c r="H124" t="s" s="0">
        <v>82</v>
      </c>
      <c r="I124" t="s" s="0">
        <v>83</v>
      </c>
      <c r="J124" t="s" s="0">
        <v>3332</v>
      </c>
      <c r="K124" t="s" s="0">
        <v>3333</v>
      </c>
      <c r="L124" t="s" s="0">
        <v>3334</v>
      </c>
      <c r="M124" t="s" s="0">
        <v>3335</v>
      </c>
      <c r="N124" t="s" s="0">
        <v>3336</v>
      </c>
      <c r="O124" t="s" s="0">
        <v>3337</v>
      </c>
      <c r="P124" t="s" s="0">
        <v>3338</v>
      </c>
      <c r="Q124" t="s" s="0">
        <v>91</v>
      </c>
      <c r="R124" t="s" s="0">
        <v>82</v>
      </c>
      <c r="S124" t="s" s="0">
        <v>82</v>
      </c>
      <c r="T124" t="s" s="0">
        <v>82</v>
      </c>
      <c r="U124" t="s" s="0">
        <v>82</v>
      </c>
      <c r="V124" t="s" s="0">
        <v>3339</v>
      </c>
      <c r="W124" t="s" s="0">
        <v>3340</v>
      </c>
      <c r="X124" t="s" s="0">
        <v>82</v>
      </c>
      <c r="Y124" t="s" s="0">
        <v>82</v>
      </c>
      <c r="Z124" t="s" s="0">
        <v>94</v>
      </c>
      <c r="AA124" t="s" s="0">
        <v>95</v>
      </c>
      <c r="AB124" t="s" s="0">
        <v>82</v>
      </c>
      <c r="AC124" t="s" s="0">
        <v>82</v>
      </c>
      <c r="AD124" t="s" s="0">
        <v>82</v>
      </c>
      <c r="AE124" t="s" s="0">
        <v>82</v>
      </c>
      <c r="AF124" t="s" s="0">
        <v>82</v>
      </c>
      <c r="AG124" t="s" s="0">
        <v>3341</v>
      </c>
      <c r="AH124" t="s" s="0">
        <v>3342</v>
      </c>
      <c r="AI124" t="s" s="0">
        <v>3343</v>
      </c>
      <c r="AJ124" t="s" s="0">
        <v>3344</v>
      </c>
      <c r="AK124" t="s" s="0">
        <v>82</v>
      </c>
      <c r="AL124" t="s" s="0">
        <v>548</v>
      </c>
      <c r="AM124" t="s" s="0">
        <v>273</v>
      </c>
      <c r="AN124" t="s" s="0">
        <v>745</v>
      </c>
      <c r="AO124" t="s" s="0">
        <v>77</v>
      </c>
      <c r="AP124" t="s" s="0">
        <v>1186</v>
      </c>
      <c r="AQ124" t="s" s="0">
        <v>277</v>
      </c>
      <c r="AR124" t="s" s="0">
        <v>278</v>
      </c>
      <c r="AS124" t="s" s="0">
        <v>279</v>
      </c>
      <c r="AT124" t="s" s="0">
        <v>82</v>
      </c>
      <c r="AU124" t="s" s="0">
        <v>3345</v>
      </c>
      <c r="AV124" t="s" s="0">
        <v>82</v>
      </c>
      <c r="AW124" t="s" s="0">
        <v>3340</v>
      </c>
      <c r="AX124" t="s" s="0">
        <v>3346</v>
      </c>
      <c r="AY124" t="s" s="0">
        <v>612</v>
      </c>
      <c r="AZ124" t="s" s="0">
        <v>408</v>
      </c>
      <c r="BA124" t="s" s="0">
        <v>1526</v>
      </c>
      <c r="BB124" t="s" s="0">
        <v>82</v>
      </c>
      <c r="BC124" t="s" s="0">
        <v>82</v>
      </c>
      <c r="BD124" t="s" s="0">
        <v>82</v>
      </c>
      <c r="BE124" t="s" s="0">
        <v>82</v>
      </c>
      <c r="BF124" t="s" s="0">
        <v>82</v>
      </c>
      <c r="BG124" t="s" s="0">
        <v>82</v>
      </c>
      <c r="BH124" t="s" s="0">
        <v>82</v>
      </c>
      <c r="BI124" t="s" s="0">
        <v>3347</v>
      </c>
      <c r="BJ124" t="s" s="0">
        <v>3348</v>
      </c>
      <c r="BK124" t="s" s="245">
        <f>HYPERLINK("http://dx.doi.org/10.1016/j.eclinm.2021.101252","http://dx.doi.org/10.1016/j.eclinm.2021.101252")</f>
        <v>3349</v>
      </c>
      <c r="BL124" t="s" s="0">
        <v>82</v>
      </c>
      <c r="BM124" t="s" s="0">
        <v>612</v>
      </c>
      <c r="BN124" t="s" s="0">
        <v>323</v>
      </c>
      <c r="BO124" t="s" s="0">
        <v>354</v>
      </c>
      <c r="BP124" t="s" s="0">
        <v>355</v>
      </c>
      <c r="BQ124" t="s" s="0">
        <v>3350</v>
      </c>
      <c r="BR124" t="s" s="0">
        <v>3351</v>
      </c>
      <c r="BS124" t="s" s="0">
        <v>3352</v>
      </c>
      <c r="BT124" t="s" s="246">
        <f>HYPERLINK("https://www.webofscience.com/wos/woscc/full-record/WOS:000747850800037","View Record in Web of Science")</f>
        <v>120</v>
      </c>
      <c r="BU124" t="s" s="0">
        <v>121</v>
      </c>
      <c r="BV124" t="s" s="0">
        <v>82</v>
      </c>
      <c r="BW124" t="s" s="0">
        <v>82</v>
      </c>
      <c r="BX124" t="s" s="0">
        <v>122</v>
      </c>
    </row>
    <row r="125">
      <c r="A125" t="s" s="0">
        <v>77</v>
      </c>
      <c r="B125" t="s" s="0">
        <v>78</v>
      </c>
      <c r="C125" t="s" s="0">
        <v>77</v>
      </c>
      <c r="D125" t="s" s="0">
        <v>78</v>
      </c>
      <c r="E125" t="s" s="0">
        <v>3353</v>
      </c>
      <c r="F125" t="s" s="0">
        <v>3354</v>
      </c>
      <c r="G125" t="s" s="0">
        <v>3355</v>
      </c>
      <c r="H125" t="s" s="0">
        <v>82</v>
      </c>
      <c r="I125" t="s" s="0">
        <v>297</v>
      </c>
      <c r="J125" t="s" s="0">
        <v>3356</v>
      </c>
      <c r="K125" t="s" s="0">
        <v>3357</v>
      </c>
      <c r="L125" t="s" s="0">
        <v>82</v>
      </c>
      <c r="M125" t="s" s="0">
        <v>82</v>
      </c>
      <c r="N125" t="s" s="0">
        <v>82</v>
      </c>
      <c r="O125" t="s" s="0">
        <v>3358</v>
      </c>
      <c r="P125" t="s" s="0">
        <v>3359</v>
      </c>
      <c r="Q125" t="s" s="0">
        <v>91</v>
      </c>
      <c r="R125" t="s" s="0">
        <v>82</v>
      </c>
      <c r="S125" t="s" s="0">
        <v>82</v>
      </c>
      <c r="T125" t="s" s="0">
        <v>82</v>
      </c>
      <c r="U125" t="s" s="0">
        <v>82</v>
      </c>
      <c r="V125" t="s" s="0">
        <v>3360</v>
      </c>
      <c r="W125" t="s" s="0">
        <v>3361</v>
      </c>
      <c r="X125" t="s" s="0">
        <v>82</v>
      </c>
      <c r="Y125" t="s" s="0">
        <v>82</v>
      </c>
      <c r="Z125" t="s" s="0">
        <v>94</v>
      </c>
      <c r="AA125" t="s" s="0">
        <v>95</v>
      </c>
      <c r="AB125" t="s" s="0">
        <v>82</v>
      </c>
      <c r="AC125" t="s" s="0">
        <v>82</v>
      </c>
      <c r="AD125" t="s" s="0">
        <v>82</v>
      </c>
      <c r="AE125" t="s" s="0">
        <v>82</v>
      </c>
      <c r="AF125" t="s" s="0">
        <v>82</v>
      </c>
      <c r="AG125" t="s" s="0">
        <v>3362</v>
      </c>
      <c r="AH125" t="s" s="0">
        <v>3363</v>
      </c>
      <c r="AI125" t="s" s="0">
        <v>3364</v>
      </c>
      <c r="AJ125" t="s" s="0">
        <v>3365</v>
      </c>
      <c r="AK125" t="s" s="0">
        <v>82</v>
      </c>
      <c r="AL125" t="s" s="0">
        <v>1279</v>
      </c>
      <c r="AM125" t="s" s="0">
        <v>319</v>
      </c>
      <c r="AN125" t="s" s="0">
        <v>319</v>
      </c>
      <c r="AO125" t="s" s="0">
        <v>78</v>
      </c>
      <c r="AP125" t="s" s="0">
        <v>77</v>
      </c>
      <c r="AQ125" t="s" s="0">
        <v>1710</v>
      </c>
      <c r="AR125" t="s" s="0">
        <v>1711</v>
      </c>
      <c r="AS125" t="s" s="0">
        <v>1712</v>
      </c>
      <c r="AT125" t="s" s="0">
        <v>3366</v>
      </c>
      <c r="AU125" t="s" s="0">
        <v>82</v>
      </c>
      <c r="AV125" t="s" s="0">
        <v>82</v>
      </c>
      <c r="AW125" t="s" s="0">
        <v>3361</v>
      </c>
      <c r="AX125" t="s" s="0">
        <v>3367</v>
      </c>
      <c r="AY125" t="s" s="0">
        <v>110</v>
      </c>
      <c r="AZ125" t="s" s="0">
        <v>110</v>
      </c>
      <c r="BA125" t="s" s="0">
        <v>319</v>
      </c>
      <c r="BB125" t="s" s="0">
        <v>82</v>
      </c>
      <c r="BC125" t="s" s="0">
        <v>82</v>
      </c>
      <c r="BD125" t="s" s="0">
        <v>82</v>
      </c>
      <c r="BE125" t="s" s="0">
        <v>82</v>
      </c>
      <c r="BF125" t="s" s="0">
        <v>82</v>
      </c>
      <c r="BG125" t="s" s="0">
        <v>82</v>
      </c>
      <c r="BH125" t="s" s="0">
        <v>82</v>
      </c>
      <c r="BI125" t="s" s="0">
        <v>3368</v>
      </c>
      <c r="BJ125" t="s" s="0">
        <v>3369</v>
      </c>
      <c r="BK125" t="s" s="247">
        <f>HYPERLINK("http://dx.doi.org/10.2196/59867","http://dx.doi.org/10.2196/59867")</f>
        <v>3370</v>
      </c>
      <c r="BL125" t="s" s="0">
        <v>82</v>
      </c>
      <c r="BM125" t="s" s="0">
        <v>82</v>
      </c>
      <c r="BN125" t="s" s="0">
        <v>149</v>
      </c>
      <c r="BO125" t="s" s="0">
        <v>3371</v>
      </c>
      <c r="BP125" t="s" s="0">
        <v>3371</v>
      </c>
      <c r="BQ125" t="s" s="0">
        <v>3372</v>
      </c>
      <c r="BR125" t="s" s="0">
        <v>3373</v>
      </c>
      <c r="BS125" t="s" s="0">
        <v>3374</v>
      </c>
      <c r="BT125" t="s" s="248">
        <f>HYPERLINK("https://www.webofscience.com/wos/woscc/full-record/WOS:001376103000001","View Record in Web of Science")</f>
        <v>120</v>
      </c>
      <c r="BU125" t="s" s="0">
        <v>121</v>
      </c>
      <c r="BV125" t="s" s="0">
        <v>82</v>
      </c>
      <c r="BW125" t="s" s="0">
        <v>82</v>
      </c>
      <c r="BX125" t="s" s="0">
        <v>122</v>
      </c>
    </row>
    <row r="126">
      <c r="A126" t="s" s="0">
        <v>78</v>
      </c>
      <c r="B126" t="s" s="0">
        <v>78</v>
      </c>
      <c r="C126" t="s" s="0">
        <v>78</v>
      </c>
      <c r="D126" t="s" s="0">
        <v>78</v>
      </c>
      <c r="E126" t="s" s="0">
        <v>3375</v>
      </c>
      <c r="F126" t="s" s="0">
        <v>3376</v>
      </c>
      <c r="G126" t="s" s="0">
        <v>3377</v>
      </c>
      <c r="H126" t="s" s="0">
        <v>82</v>
      </c>
      <c r="I126" t="s" s="0">
        <v>83</v>
      </c>
      <c r="J126" t="s" s="0">
        <v>3378</v>
      </c>
      <c r="K126" t="s" s="0">
        <v>3379</v>
      </c>
      <c r="L126" t="s" s="0">
        <v>3380</v>
      </c>
      <c r="M126" t="s" s="0">
        <v>3381</v>
      </c>
      <c r="N126" t="s" s="0">
        <v>3382</v>
      </c>
      <c r="O126" t="s" s="0">
        <v>3383</v>
      </c>
      <c r="P126" t="s" s="0">
        <v>3384</v>
      </c>
      <c r="Q126" t="s" s="0">
        <v>91</v>
      </c>
      <c r="R126" t="s" s="0">
        <v>82</v>
      </c>
      <c r="S126" t="s" s="0">
        <v>82</v>
      </c>
      <c r="T126" t="s" s="0">
        <v>82</v>
      </c>
      <c r="U126" t="s" s="0">
        <v>82</v>
      </c>
      <c r="V126" t="s" s="0">
        <v>3385</v>
      </c>
      <c r="W126" t="s" s="0">
        <v>3386</v>
      </c>
      <c r="X126" t="s" s="0">
        <v>82</v>
      </c>
      <c r="Y126" t="s" s="0">
        <v>82</v>
      </c>
      <c r="Z126" t="s" s="0">
        <v>94</v>
      </c>
      <c r="AA126" t="s" s="0">
        <v>95</v>
      </c>
      <c r="AB126" t="s" s="0">
        <v>82</v>
      </c>
      <c r="AC126" t="s" s="0">
        <v>82</v>
      </c>
      <c r="AD126" t="s" s="0">
        <v>82</v>
      </c>
      <c r="AE126" t="s" s="0">
        <v>82</v>
      </c>
      <c r="AF126" t="s" s="0">
        <v>82</v>
      </c>
      <c r="AG126" t="s" s="0">
        <v>3387</v>
      </c>
      <c r="AH126" t="s" s="0">
        <v>82</v>
      </c>
      <c r="AI126" t="s" s="0">
        <v>82</v>
      </c>
      <c r="AJ126" t="s" s="0">
        <v>82</v>
      </c>
      <c r="AK126" t="s" s="0">
        <v>82</v>
      </c>
      <c r="AL126" t="s" s="0">
        <v>1161</v>
      </c>
      <c r="AM126" t="s" s="0">
        <v>78</v>
      </c>
      <c r="AN126" t="s" s="0">
        <v>78</v>
      </c>
      <c r="AO126" t="s" s="0">
        <v>77</v>
      </c>
      <c r="AP126" t="s" s="0">
        <v>77</v>
      </c>
      <c r="AQ126" t="s" s="0">
        <v>2484</v>
      </c>
      <c r="AR126" t="s" s="0">
        <v>2485</v>
      </c>
      <c r="AS126" t="s" s="0">
        <v>2486</v>
      </c>
      <c r="AT126" t="s" s="0">
        <v>3388</v>
      </c>
      <c r="AU126" t="s" s="0">
        <v>82</v>
      </c>
      <c r="AV126" t="s" s="0">
        <v>82</v>
      </c>
      <c r="AW126" t="s" s="0">
        <v>3389</v>
      </c>
      <c r="AX126" t="s" s="0">
        <v>3390</v>
      </c>
      <c r="AY126" t="s" s="0">
        <v>3391</v>
      </c>
      <c r="AZ126" t="s" s="0">
        <v>181</v>
      </c>
      <c r="BA126" t="s" s="0">
        <v>154</v>
      </c>
      <c r="BB126" t="s" s="0">
        <v>82</v>
      </c>
      <c r="BC126" t="s" s="0">
        <v>82</v>
      </c>
      <c r="BD126" t="s" s="0">
        <v>82</v>
      </c>
      <c r="BE126" t="s" s="0">
        <v>82</v>
      </c>
      <c r="BF126" t="s" s="0">
        <v>82</v>
      </c>
      <c r="BG126" t="s" s="0">
        <v>82</v>
      </c>
      <c r="BH126" t="s" s="0">
        <v>82</v>
      </c>
      <c r="BI126" t="s" s="0">
        <v>3392</v>
      </c>
      <c r="BJ126" t="s" s="0">
        <v>3393</v>
      </c>
      <c r="BK126" t="s" s="249">
        <f>HYPERLINK("http://dx.doi.org/10.3389/fnagi.2026.1867251","http://dx.doi.org/10.3389/fnagi.2026.1867251")</f>
        <v>3394</v>
      </c>
      <c r="BL126" t="s" s="0">
        <v>82</v>
      </c>
      <c r="BM126" t="s" s="0">
        <v>184</v>
      </c>
      <c r="BN126" t="s" s="0">
        <v>137</v>
      </c>
      <c r="BO126" t="s" s="0">
        <v>3395</v>
      </c>
      <c r="BP126" t="s" s="0">
        <v>3396</v>
      </c>
      <c r="BQ126" t="s" s="0">
        <v>3397</v>
      </c>
      <c r="BR126" t="s" s="0">
        <v>3398</v>
      </c>
      <c r="BS126" t="s" s="0">
        <v>3399</v>
      </c>
      <c r="BT126" t="s" s="250">
        <f>HYPERLINK("https://www.webofscience.com/wos/woscc/full-record/WOS:001794702300001","View Record in Web of Science")</f>
        <v>120</v>
      </c>
      <c r="BU126" t="s" s="0">
        <v>121</v>
      </c>
      <c r="BV126" t="s" s="0">
        <v>82</v>
      </c>
      <c r="BW126" t="s" s="0">
        <v>82</v>
      </c>
      <c r="BX126" t="s" s="0">
        <v>122</v>
      </c>
    </row>
    <row r="127">
      <c r="A127" t="s" s="0">
        <v>78</v>
      </c>
      <c r="B127" t="s" s="0">
        <v>78</v>
      </c>
      <c r="C127" t="s" s="0">
        <v>78</v>
      </c>
      <c r="D127" t="s" s="0">
        <v>78</v>
      </c>
      <c r="E127" t="s" s="0">
        <v>3400</v>
      </c>
      <c r="F127" t="s" s="0">
        <v>3401</v>
      </c>
      <c r="G127" t="s" s="0">
        <v>3402</v>
      </c>
      <c r="H127" t="s" s="0">
        <v>82</v>
      </c>
      <c r="I127" t="s" s="0">
        <v>83</v>
      </c>
      <c r="J127" t="s" s="0">
        <v>3403</v>
      </c>
      <c r="K127" t="s" s="0">
        <v>3404</v>
      </c>
      <c r="L127" t="s" s="0">
        <v>82</v>
      </c>
      <c r="M127" t="s" s="0">
        <v>82</v>
      </c>
      <c r="N127" t="s" s="0">
        <v>82</v>
      </c>
      <c r="O127" t="s" s="0">
        <v>3405</v>
      </c>
      <c r="P127" t="s" s="0">
        <v>3406</v>
      </c>
      <c r="Q127" t="s" s="0">
        <v>91</v>
      </c>
      <c r="R127" t="s" s="0">
        <v>82</v>
      </c>
      <c r="S127" t="s" s="0">
        <v>82</v>
      </c>
      <c r="T127" t="s" s="0">
        <v>82</v>
      </c>
      <c r="U127" t="s" s="0">
        <v>82</v>
      </c>
      <c r="V127" t="s" s="0">
        <v>3407</v>
      </c>
      <c r="W127" t="s" s="0">
        <v>3408</v>
      </c>
      <c r="X127" t="s" s="0">
        <v>82</v>
      </c>
      <c r="Y127" t="s" s="0">
        <v>82</v>
      </c>
      <c r="Z127" t="s" s="0">
        <v>94</v>
      </c>
      <c r="AA127" t="s" s="0">
        <v>169</v>
      </c>
      <c r="AB127" t="s" s="0">
        <v>82</v>
      </c>
      <c r="AC127" t="s" s="0">
        <v>82</v>
      </c>
      <c r="AD127" t="s" s="0">
        <v>82</v>
      </c>
      <c r="AE127" t="s" s="0">
        <v>82</v>
      </c>
      <c r="AF127" t="s" s="0">
        <v>82</v>
      </c>
      <c r="AG127" t="s" s="0">
        <v>3409</v>
      </c>
      <c r="AH127" t="s" s="0">
        <v>3410</v>
      </c>
      <c r="AI127" t="s" s="0">
        <v>3411</v>
      </c>
      <c r="AJ127" t="s" s="0">
        <v>82</v>
      </c>
      <c r="AK127" t="s" s="0">
        <v>82</v>
      </c>
      <c r="AL127" t="s" s="0">
        <v>755</v>
      </c>
      <c r="AM127" t="s" s="0">
        <v>78</v>
      </c>
      <c r="AN127" t="s" s="0">
        <v>78</v>
      </c>
      <c r="AO127" t="s" s="0">
        <v>78</v>
      </c>
      <c r="AP127" t="s" s="0">
        <v>78</v>
      </c>
      <c r="AQ127" t="s" s="0">
        <v>2602</v>
      </c>
      <c r="AR127" t="s" s="0">
        <v>2603</v>
      </c>
      <c r="AS127" t="s" s="0">
        <v>3412</v>
      </c>
      <c r="AT127" t="s" s="0">
        <v>3413</v>
      </c>
      <c r="AU127" t="s" s="0">
        <v>3414</v>
      </c>
      <c r="AV127" t="s" s="0">
        <v>82</v>
      </c>
      <c r="AW127" t="s" s="0">
        <v>3415</v>
      </c>
      <c r="AX127" t="s" s="0">
        <v>3416</v>
      </c>
      <c r="AY127" t="s" s="0">
        <v>82</v>
      </c>
      <c r="AZ127" t="s" s="0">
        <v>181</v>
      </c>
      <c r="BA127" t="s" s="0">
        <v>82</v>
      </c>
      <c r="BB127" t="s" s="0">
        <v>82</v>
      </c>
      <c r="BC127" t="s" s="0">
        <v>82</v>
      </c>
      <c r="BD127" t="s" s="0">
        <v>82</v>
      </c>
      <c r="BE127" t="s" s="0">
        <v>82</v>
      </c>
      <c r="BF127" t="s" s="0">
        <v>82</v>
      </c>
      <c r="BG127" t="s" s="0">
        <v>82</v>
      </c>
      <c r="BH127" t="s" s="0">
        <v>82</v>
      </c>
      <c r="BI127" t="s" s="0">
        <v>82</v>
      </c>
      <c r="BJ127" t="s" s="0">
        <v>3417</v>
      </c>
      <c r="BK127" t="s" s="251">
        <f>HYPERLINK("http://dx.doi.org/10.1007/s00062-026-01688-8","http://dx.doi.org/10.1007/s00062-026-01688-8")</f>
        <v>3418</v>
      </c>
      <c r="BL127" t="s" s="0">
        <v>82</v>
      </c>
      <c r="BM127" t="s" s="0">
        <v>184</v>
      </c>
      <c r="BN127" t="s" s="0">
        <v>323</v>
      </c>
      <c r="BO127" t="s" s="0">
        <v>3419</v>
      </c>
      <c r="BP127" t="s" s="0">
        <v>1693</v>
      </c>
      <c r="BQ127" t="s" s="0">
        <v>3420</v>
      </c>
      <c r="BR127" t="s" s="0">
        <v>3421</v>
      </c>
      <c r="BS127" t="s" s="0">
        <v>3422</v>
      </c>
      <c r="BT127" t="s" s="252">
        <f>HYPERLINK("https://www.webofscience.com/wos/woscc/full-record/WOS:001801097600001","View Record in Web of Science")</f>
        <v>120</v>
      </c>
      <c r="BU127" t="s" s="0">
        <v>159</v>
      </c>
      <c r="BV127" t="s" s="0">
        <v>82</v>
      </c>
      <c r="BW127" t="s" s="0">
        <v>82</v>
      </c>
      <c r="BX127" t="s" s="0">
        <v>122</v>
      </c>
    </row>
    <row r="128">
      <c r="A128" t="s" s="0">
        <v>78</v>
      </c>
      <c r="B128" t="s" s="0">
        <v>78</v>
      </c>
      <c r="C128" t="s" s="0">
        <v>78</v>
      </c>
      <c r="D128" t="s" s="0">
        <v>78</v>
      </c>
      <c r="E128" t="s" s="0">
        <v>3423</v>
      </c>
      <c r="F128" t="s" s="0">
        <v>3424</v>
      </c>
      <c r="G128" t="s" s="0">
        <v>3425</v>
      </c>
      <c r="H128" t="s" s="0">
        <v>82</v>
      </c>
      <c r="I128" t="s" s="0">
        <v>83</v>
      </c>
      <c r="J128" t="s" s="0">
        <v>3426</v>
      </c>
      <c r="K128" t="s" s="0">
        <v>3427</v>
      </c>
      <c r="L128" t="s" s="0">
        <v>3428</v>
      </c>
      <c r="M128" t="s" s="0">
        <v>3429</v>
      </c>
      <c r="N128" t="s" s="0">
        <v>3430</v>
      </c>
      <c r="O128" t="s" s="0">
        <v>3431</v>
      </c>
      <c r="P128" t="s" s="0">
        <v>3432</v>
      </c>
      <c r="Q128" t="s" s="0">
        <v>91</v>
      </c>
      <c r="R128" t="s" s="0">
        <v>82</v>
      </c>
      <c r="S128" t="s" s="0">
        <v>82</v>
      </c>
      <c r="T128" t="s" s="0">
        <v>82</v>
      </c>
      <c r="U128" t="s" s="0">
        <v>82</v>
      </c>
      <c r="V128" t="s" s="0">
        <v>3433</v>
      </c>
      <c r="W128" t="s" s="0">
        <v>3434</v>
      </c>
      <c r="X128" t="s" s="0">
        <v>82</v>
      </c>
      <c r="Y128" t="s" s="0">
        <v>82</v>
      </c>
      <c r="Z128" t="s" s="0">
        <v>94</v>
      </c>
      <c r="AA128" t="s" s="0">
        <v>95</v>
      </c>
      <c r="AB128" t="s" s="0">
        <v>82</v>
      </c>
      <c r="AC128" t="s" s="0">
        <v>82</v>
      </c>
      <c r="AD128" t="s" s="0">
        <v>82</v>
      </c>
      <c r="AE128" t="s" s="0">
        <v>82</v>
      </c>
      <c r="AF128" t="s" s="0">
        <v>82</v>
      </c>
      <c r="AG128" t="s" s="0">
        <v>82</v>
      </c>
      <c r="AH128" t="s" s="0">
        <v>3435</v>
      </c>
      <c r="AI128" t="s" s="0">
        <v>82</v>
      </c>
      <c r="AJ128" t="s" s="0">
        <v>82</v>
      </c>
      <c r="AK128" t="s" s="0">
        <v>82</v>
      </c>
      <c r="AL128" t="s" s="0">
        <v>548</v>
      </c>
      <c r="AM128" t="s" s="0">
        <v>78</v>
      </c>
      <c r="AN128" t="s" s="0">
        <v>78</v>
      </c>
      <c r="AO128" t="s" s="0">
        <v>78</v>
      </c>
      <c r="AP128" t="s" s="0">
        <v>78</v>
      </c>
      <c r="AQ128" t="s" s="0">
        <v>3436</v>
      </c>
      <c r="AR128" t="s" s="0">
        <v>1028</v>
      </c>
      <c r="AS128" t="s" s="0">
        <v>3437</v>
      </c>
      <c r="AT128" t="s" s="0">
        <v>82</v>
      </c>
      <c r="AU128" t="s" s="0">
        <v>3438</v>
      </c>
      <c r="AV128" t="s" s="0">
        <v>82</v>
      </c>
      <c r="AW128" t="s" s="0">
        <v>3434</v>
      </c>
      <c r="AX128" t="s" s="0">
        <v>3439</v>
      </c>
      <c r="AY128" t="s" s="0">
        <v>3440</v>
      </c>
      <c r="AZ128" t="s" s="0">
        <v>181</v>
      </c>
      <c r="BA128" t="s" s="0">
        <v>311</v>
      </c>
      <c r="BB128" t="s" s="0">
        <v>221</v>
      </c>
      <c r="BC128" t="s" s="0">
        <v>82</v>
      </c>
      <c r="BD128" t="s" s="0">
        <v>82</v>
      </c>
      <c r="BE128" t="s" s="0">
        <v>82</v>
      </c>
      <c r="BF128" t="s" s="0">
        <v>82</v>
      </c>
      <c r="BG128" t="s" s="0">
        <v>82</v>
      </c>
      <c r="BH128" t="s" s="0">
        <v>82</v>
      </c>
      <c r="BI128" t="s" s="0">
        <v>3441</v>
      </c>
      <c r="BJ128" t="s" s="0">
        <v>3442</v>
      </c>
      <c r="BK128" t="s" s="253">
        <f>HYPERLINK("http://dx.doi.org/10.1016/j.isci.2026.115634","http://dx.doi.org/10.1016/j.isci.2026.115634")</f>
        <v>3443</v>
      </c>
      <c r="BL128" t="s" s="0">
        <v>82</v>
      </c>
      <c r="BM128" t="s" s="0">
        <v>82</v>
      </c>
      <c r="BN128" t="s" s="0">
        <v>149</v>
      </c>
      <c r="BO128" t="s" s="0">
        <v>644</v>
      </c>
      <c r="BP128" t="s" s="0">
        <v>645</v>
      </c>
      <c r="BQ128" t="s" s="0">
        <v>3444</v>
      </c>
      <c r="BR128" t="s" s="0">
        <v>3445</v>
      </c>
      <c r="BS128" t="s" s="0">
        <v>3446</v>
      </c>
      <c r="BT128" t="s" s="254">
        <f>HYPERLINK("https://www.webofscience.com/wos/woscc/full-record/WOS:001757143900001","View Record in Web of Science")</f>
        <v>120</v>
      </c>
      <c r="BU128" t="s" s="0">
        <v>121</v>
      </c>
      <c r="BV128" t="s" s="0">
        <v>82</v>
      </c>
      <c r="BW128" t="s" s="0">
        <v>82</v>
      </c>
      <c r="BX128" t="s" s="0">
        <v>122</v>
      </c>
    </row>
    <row r="129">
      <c r="A129" t="s" s="0">
        <v>78</v>
      </c>
      <c r="B129" t="s" s="0">
        <v>78</v>
      </c>
      <c r="C129" t="s" s="0">
        <v>77</v>
      </c>
      <c r="D129" t="s" s="0">
        <v>78</v>
      </c>
      <c r="E129" t="s" s="0">
        <v>3447</v>
      </c>
      <c r="F129" t="s" s="0">
        <v>3448</v>
      </c>
      <c r="G129" t="s" s="0">
        <v>3449</v>
      </c>
      <c r="H129" t="s" s="0">
        <v>82</v>
      </c>
      <c r="I129" t="s" s="0">
        <v>83</v>
      </c>
      <c r="J129" t="s" s="0">
        <v>3450</v>
      </c>
      <c r="K129" t="s" s="0">
        <v>3451</v>
      </c>
      <c r="L129" t="s" s="0">
        <v>82</v>
      </c>
      <c r="M129" t="s" s="0">
        <v>82</v>
      </c>
      <c r="N129" t="s" s="0">
        <v>82</v>
      </c>
      <c r="O129" t="s" s="0">
        <v>3452</v>
      </c>
      <c r="P129" t="s" s="0">
        <v>3453</v>
      </c>
      <c r="Q129" t="s" s="0">
        <v>91</v>
      </c>
      <c r="R129" t="s" s="0">
        <v>82</v>
      </c>
      <c r="S129" t="s" s="0">
        <v>82</v>
      </c>
      <c r="T129" t="s" s="0">
        <v>82</v>
      </c>
      <c r="U129" t="s" s="0">
        <v>82</v>
      </c>
      <c r="V129" t="s" s="0">
        <v>3454</v>
      </c>
      <c r="W129" t="s" s="0">
        <v>3455</v>
      </c>
      <c r="X129" t="s" s="0">
        <v>82</v>
      </c>
      <c r="Y129" t="s" s="0">
        <v>82</v>
      </c>
      <c r="Z129" t="s" s="0">
        <v>94</v>
      </c>
      <c r="AA129" t="s" s="0">
        <v>95</v>
      </c>
      <c r="AB129" t="s" s="0">
        <v>82</v>
      </c>
      <c r="AC129" t="s" s="0">
        <v>82</v>
      </c>
      <c r="AD129" t="s" s="0">
        <v>82</v>
      </c>
      <c r="AE129" t="s" s="0">
        <v>82</v>
      </c>
      <c r="AF129" t="s" s="0">
        <v>82</v>
      </c>
      <c r="AG129" t="s" s="0">
        <v>3456</v>
      </c>
      <c r="AH129" t="s" s="0">
        <v>3457</v>
      </c>
      <c r="AI129" t="s" s="0">
        <v>3458</v>
      </c>
      <c r="AJ129" t="s" s="0">
        <v>3459</v>
      </c>
      <c r="AK129" t="s" s="0">
        <v>82</v>
      </c>
      <c r="AL129" t="s" s="0">
        <v>632</v>
      </c>
      <c r="AM129" t="s" s="0">
        <v>102</v>
      </c>
      <c r="AN129" t="s" s="0">
        <v>102</v>
      </c>
      <c r="AO129" t="s" s="0">
        <v>77</v>
      </c>
      <c r="AP129" t="s" s="0">
        <v>101</v>
      </c>
      <c r="AQ129" t="s" s="0">
        <v>600</v>
      </c>
      <c r="AR129" t="s" s="0">
        <v>601</v>
      </c>
      <c r="AS129" t="s" s="0">
        <v>602</v>
      </c>
      <c r="AT129" t="s" s="0">
        <v>3460</v>
      </c>
      <c r="AU129" t="s" s="0">
        <v>3461</v>
      </c>
      <c r="AV129" t="s" s="0">
        <v>82</v>
      </c>
      <c r="AW129" t="s" s="0">
        <v>3462</v>
      </c>
      <c r="AX129" t="s" s="0">
        <v>3463</v>
      </c>
      <c r="AY129" t="s" s="0">
        <v>2217</v>
      </c>
      <c r="AZ129" t="s" s="0">
        <v>110</v>
      </c>
      <c r="BA129" t="s" s="0">
        <v>864</v>
      </c>
      <c r="BB129" t="s" s="0">
        <v>82</v>
      </c>
      <c r="BC129" t="s" s="0">
        <v>82</v>
      </c>
      <c r="BD129" t="s" s="0">
        <v>82</v>
      </c>
      <c r="BE129" t="s" s="0">
        <v>82</v>
      </c>
      <c r="BF129" t="s" s="0">
        <v>82</v>
      </c>
      <c r="BG129" t="s" s="0">
        <v>82</v>
      </c>
      <c r="BH129" t="s" s="0">
        <v>82</v>
      </c>
      <c r="BI129" t="s" s="0">
        <v>3464</v>
      </c>
      <c r="BJ129" t="s" s="0">
        <v>3465</v>
      </c>
      <c r="BK129" t="s" s="255">
        <f>HYPERLINK("http://dx.doi.org/10.1016/j.suronc.2024.102057","http://dx.doi.org/10.1016/j.suronc.2024.102057")</f>
        <v>3466</v>
      </c>
      <c r="BL129" t="s" s="0">
        <v>82</v>
      </c>
      <c r="BM129" t="s" s="0">
        <v>2217</v>
      </c>
      <c r="BN129" t="s" s="0">
        <v>375</v>
      </c>
      <c r="BO129" t="s" s="0">
        <v>3467</v>
      </c>
      <c r="BP129" t="s" s="0">
        <v>3467</v>
      </c>
      <c r="BQ129" t="s" s="0">
        <v>3468</v>
      </c>
      <c r="BR129" t="s" s="0">
        <v>3469</v>
      </c>
      <c r="BS129" t="s" s="0">
        <v>3470</v>
      </c>
      <c r="BT129" t="s" s="256">
        <f>HYPERLINK("https://www.webofscience.com/wos/woscc/full-record/WOS:001382291400001","View Record in Web of Science")</f>
        <v>120</v>
      </c>
      <c r="BU129" t="s" s="0">
        <v>82</v>
      </c>
      <c r="BV129" t="s" s="0">
        <v>82</v>
      </c>
      <c r="BW129" t="s" s="0">
        <v>82</v>
      </c>
      <c r="BX129" t="s" s="0">
        <v>122</v>
      </c>
    </row>
    <row r="130">
      <c r="A130" t="s" s="0">
        <v>78</v>
      </c>
      <c r="B130" t="s" s="0">
        <v>78</v>
      </c>
      <c r="C130" t="s" s="0">
        <v>78</v>
      </c>
      <c r="D130" t="s" s="0">
        <v>78</v>
      </c>
      <c r="E130" t="s" s="0">
        <v>3471</v>
      </c>
      <c r="F130" t="s" s="0">
        <v>3472</v>
      </c>
      <c r="G130" t="s" s="0">
        <v>3473</v>
      </c>
      <c r="H130" t="s" s="0">
        <v>82</v>
      </c>
      <c r="I130" t="s" s="0">
        <v>83</v>
      </c>
      <c r="J130" t="s" s="0">
        <v>3474</v>
      </c>
      <c r="K130" t="s" s="0">
        <v>3475</v>
      </c>
      <c r="L130" t="s" s="0">
        <v>3476</v>
      </c>
      <c r="M130" t="s" s="0">
        <v>3477</v>
      </c>
      <c r="N130" t="s" s="0">
        <v>3478</v>
      </c>
      <c r="O130" t="s" s="0">
        <v>3479</v>
      </c>
      <c r="P130" t="s" s="0">
        <v>3480</v>
      </c>
      <c r="Q130" t="s" s="0">
        <v>91</v>
      </c>
      <c r="R130" t="s" s="0">
        <v>82</v>
      </c>
      <c r="S130" t="s" s="0">
        <v>82</v>
      </c>
      <c r="T130" t="s" s="0">
        <v>82</v>
      </c>
      <c r="U130" t="s" s="0">
        <v>82</v>
      </c>
      <c r="V130" t="s" s="0">
        <v>3481</v>
      </c>
      <c r="W130" t="s" s="0">
        <v>543</v>
      </c>
      <c r="X130" t="s" s="0">
        <v>82</v>
      </c>
      <c r="Y130" t="s" s="0">
        <v>82</v>
      </c>
      <c r="Z130" t="s" s="0">
        <v>94</v>
      </c>
      <c r="AA130" t="s" s="0">
        <v>95</v>
      </c>
      <c r="AB130" t="s" s="0">
        <v>82</v>
      </c>
      <c r="AC130" t="s" s="0">
        <v>82</v>
      </c>
      <c r="AD130" t="s" s="0">
        <v>82</v>
      </c>
      <c r="AE130" t="s" s="0">
        <v>82</v>
      </c>
      <c r="AF130" t="s" s="0">
        <v>82</v>
      </c>
      <c r="AG130" t="s" s="0">
        <v>3482</v>
      </c>
      <c r="AH130" t="s" s="0">
        <v>3483</v>
      </c>
      <c r="AI130" t="s" s="0">
        <v>82</v>
      </c>
      <c r="AJ130" t="s" s="0">
        <v>3484</v>
      </c>
      <c r="AK130" t="s" s="0">
        <v>82</v>
      </c>
      <c r="AL130" t="s" s="0">
        <v>632</v>
      </c>
      <c r="AM130" t="s" s="0">
        <v>319</v>
      </c>
      <c r="AN130" t="s" s="0">
        <v>137</v>
      </c>
      <c r="AO130" t="s" s="0">
        <v>78</v>
      </c>
      <c r="AP130" t="s" s="0">
        <v>101</v>
      </c>
      <c r="AQ130" t="s" s="0">
        <v>312</v>
      </c>
      <c r="AR130" t="s" s="0">
        <v>313</v>
      </c>
      <c r="AS130" t="s" s="0">
        <v>314</v>
      </c>
      <c r="AT130" t="s" s="0">
        <v>82</v>
      </c>
      <c r="AU130" t="s" s="0">
        <v>550</v>
      </c>
      <c r="AV130" t="s" s="0">
        <v>82</v>
      </c>
      <c r="AW130" t="s" s="0">
        <v>543</v>
      </c>
      <c r="AX130" t="s" s="0">
        <v>551</v>
      </c>
      <c r="AY130" t="s" s="0">
        <v>1196</v>
      </c>
      <c r="AZ130" t="s" s="0">
        <v>110</v>
      </c>
      <c r="BA130" t="s" s="0">
        <v>323</v>
      </c>
      <c r="BB130" t="s" s="0">
        <v>115</v>
      </c>
      <c r="BC130" t="s" s="0">
        <v>82</v>
      </c>
      <c r="BD130" t="s" s="0">
        <v>82</v>
      </c>
      <c r="BE130" t="s" s="0">
        <v>82</v>
      </c>
      <c r="BF130" t="s" s="0">
        <v>82</v>
      </c>
      <c r="BG130" t="s" s="0">
        <v>82</v>
      </c>
      <c r="BH130" t="s" s="0">
        <v>82</v>
      </c>
      <c r="BI130" t="s" s="0">
        <v>3485</v>
      </c>
      <c r="BJ130" t="s" s="0">
        <v>3486</v>
      </c>
      <c r="BK130" t="s" s="257">
        <f>HYPERLINK("http://dx.doi.org/10.3390/diagnostics14131394","http://dx.doi.org/10.3390/diagnostics14131394")</f>
        <v>3487</v>
      </c>
      <c r="BL130" t="s" s="0">
        <v>82</v>
      </c>
      <c r="BM130" t="s" s="0">
        <v>82</v>
      </c>
      <c r="BN130" t="s" s="0">
        <v>115</v>
      </c>
      <c r="BO130" t="s" s="0">
        <v>354</v>
      </c>
      <c r="BP130" t="s" s="0">
        <v>355</v>
      </c>
      <c r="BQ130" t="s" s="0">
        <v>3488</v>
      </c>
      <c r="BR130" t="s" s="0">
        <v>3489</v>
      </c>
      <c r="BS130" t="s" s="0">
        <v>3490</v>
      </c>
      <c r="BT130" t="s" s="258">
        <f>HYPERLINK("https://www.webofscience.com/wos/woscc/full-record/WOS:001270115100001","View Record in Web of Science")</f>
        <v>120</v>
      </c>
      <c r="BU130" t="s" s="0">
        <v>121</v>
      </c>
      <c r="BV130" t="s" s="0">
        <v>82</v>
      </c>
      <c r="BW130" t="s" s="0">
        <v>82</v>
      </c>
      <c r="BX130" t="s" s="0">
        <v>122</v>
      </c>
    </row>
    <row r="131">
      <c r="A131" t="s" s="0">
        <v>78</v>
      </c>
      <c r="B131" t="s" s="0">
        <v>78</v>
      </c>
      <c r="C131" t="s" s="0">
        <v>447</v>
      </c>
      <c r="D131" t="s" s="0">
        <v>77</v>
      </c>
      <c r="E131" t="s" s="0">
        <v>3491</v>
      </c>
      <c r="F131" t="s" s="0">
        <v>3492</v>
      </c>
      <c r="G131" t="s" s="0">
        <v>3493</v>
      </c>
      <c r="H131" t="s" s="0">
        <v>82</v>
      </c>
      <c r="I131" t="s" s="0">
        <v>83</v>
      </c>
      <c r="J131" t="s" s="0">
        <v>3494</v>
      </c>
      <c r="K131" t="s" s="0">
        <v>3495</v>
      </c>
      <c r="L131" t="s" s="0">
        <v>82</v>
      </c>
      <c r="M131" t="s" s="0">
        <v>82</v>
      </c>
      <c r="N131" t="s" s="0">
        <v>82</v>
      </c>
      <c r="O131" t="s" s="0">
        <v>3496</v>
      </c>
      <c r="P131" t="s" s="0">
        <v>3497</v>
      </c>
      <c r="Q131" t="s" s="0">
        <v>91</v>
      </c>
      <c r="R131" t="s" s="0">
        <v>82</v>
      </c>
      <c r="S131" t="s" s="0">
        <v>82</v>
      </c>
      <c r="T131" t="s" s="0">
        <v>82</v>
      </c>
      <c r="U131" t="s" s="0">
        <v>82</v>
      </c>
      <c r="V131" t="s" s="0">
        <v>3498</v>
      </c>
      <c r="W131" t="s" s="0">
        <v>2266</v>
      </c>
      <c r="X131" t="s" s="0">
        <v>82</v>
      </c>
      <c r="Y131" t="s" s="0">
        <v>82</v>
      </c>
      <c r="Z131" t="s" s="0">
        <v>94</v>
      </c>
      <c r="AA131" t="s" s="0">
        <v>95</v>
      </c>
      <c r="AB131" t="s" s="0">
        <v>82</v>
      </c>
      <c r="AC131" t="s" s="0">
        <v>82</v>
      </c>
      <c r="AD131" t="s" s="0">
        <v>82</v>
      </c>
      <c r="AE131" t="s" s="0">
        <v>82</v>
      </c>
      <c r="AF131" t="s" s="0">
        <v>82</v>
      </c>
      <c r="AG131" t="s" s="0">
        <v>82</v>
      </c>
      <c r="AH131" t="s" s="0">
        <v>3499</v>
      </c>
      <c r="AI131" t="s" s="0">
        <v>3500</v>
      </c>
      <c r="AJ131" t="s" s="0">
        <v>3501</v>
      </c>
      <c r="AK131" t="s" s="0">
        <v>82</v>
      </c>
      <c r="AL131" t="s" s="0">
        <v>344</v>
      </c>
      <c r="AM131" t="s" s="0">
        <v>148</v>
      </c>
      <c r="AN131" t="s" s="0">
        <v>1780</v>
      </c>
      <c r="AO131" t="s" s="0">
        <v>78</v>
      </c>
      <c r="AP131" t="s" s="0">
        <v>319</v>
      </c>
      <c r="AQ131" t="s" s="0">
        <v>2269</v>
      </c>
      <c r="AR131" t="s" s="0">
        <v>104</v>
      </c>
      <c r="AS131" t="s" s="0">
        <v>2270</v>
      </c>
      <c r="AT131" t="s" s="0">
        <v>2271</v>
      </c>
      <c r="AU131" t="s" s="0">
        <v>2272</v>
      </c>
      <c r="AV131" t="s" s="0">
        <v>82</v>
      </c>
      <c r="AW131" t="s" s="0">
        <v>2266</v>
      </c>
      <c r="AX131" t="s" s="0">
        <v>2273</v>
      </c>
      <c r="AY131" t="s" s="0">
        <v>612</v>
      </c>
      <c r="AZ131" t="s" s="0">
        <v>408</v>
      </c>
      <c r="BA131" t="s" s="0">
        <v>374</v>
      </c>
      <c r="BB131" t="s" s="0">
        <v>77</v>
      </c>
      <c r="BC131" t="s" s="0">
        <v>82</v>
      </c>
      <c r="BD131" t="s" s="0">
        <v>82</v>
      </c>
      <c r="BE131" t="s" s="0">
        <v>82</v>
      </c>
      <c r="BF131" t="s" s="0">
        <v>82</v>
      </c>
      <c r="BG131" t="s" s="0">
        <v>1628</v>
      </c>
      <c r="BH131" t="s" s="0">
        <v>3502</v>
      </c>
      <c r="BI131" t="s" s="0">
        <v>82</v>
      </c>
      <c r="BJ131" t="s" s="0">
        <v>3503</v>
      </c>
      <c r="BK131" t="s" s="259">
        <f>HYPERLINK("http://dx.doi.org/10.1038/s41433-020-01366-0","http://dx.doi.org/10.1038/s41433-020-01366-0")</f>
        <v>3504</v>
      </c>
      <c r="BL131" t="s" s="0">
        <v>82</v>
      </c>
      <c r="BM131" t="s" s="0">
        <v>3505</v>
      </c>
      <c r="BN131" t="s" s="0">
        <v>136</v>
      </c>
      <c r="BO131" t="s" s="0">
        <v>2278</v>
      </c>
      <c r="BP131" t="s" s="0">
        <v>2278</v>
      </c>
      <c r="BQ131" t="s" s="0">
        <v>3506</v>
      </c>
      <c r="BR131" t="s" s="0">
        <v>3507</v>
      </c>
      <c r="BS131" t="s" s="0">
        <v>3508</v>
      </c>
      <c r="BT131" t="s" s="260">
        <f>HYPERLINK("https://www.webofscience.com/wos/woscc/full-record/WOS:000607010200004","View Record in Web of Science")</f>
        <v>120</v>
      </c>
      <c r="BU131" t="s" s="0">
        <v>256</v>
      </c>
      <c r="BV131" t="s" s="0">
        <v>82</v>
      </c>
      <c r="BW131" t="s" s="0">
        <v>82</v>
      </c>
      <c r="BX131" t="s" s="0">
        <v>122</v>
      </c>
    </row>
    <row r="132">
      <c r="A132" t="s" s="0">
        <v>77</v>
      </c>
      <c r="B132" t="s" s="0">
        <v>78</v>
      </c>
      <c r="C132" t="s" s="0">
        <v>102</v>
      </c>
      <c r="D132" t="s" s="0">
        <v>78</v>
      </c>
      <c r="E132" t="s" s="0">
        <v>3509</v>
      </c>
      <c r="F132" t="s" s="0">
        <v>3510</v>
      </c>
      <c r="G132" t="s" s="0">
        <v>3511</v>
      </c>
      <c r="H132" t="s" s="0">
        <v>82</v>
      </c>
      <c r="I132" t="s" s="0">
        <v>83</v>
      </c>
      <c r="J132" t="s" s="0">
        <v>3512</v>
      </c>
      <c r="K132" t="s" s="0">
        <v>3513</v>
      </c>
      <c r="L132" t="s" s="0">
        <v>3514</v>
      </c>
      <c r="M132" t="s" s="0">
        <v>3515</v>
      </c>
      <c r="N132" t="s" s="0">
        <v>3516</v>
      </c>
      <c r="O132" t="s" s="0">
        <v>3517</v>
      </c>
      <c r="P132" t="s" s="0">
        <v>3518</v>
      </c>
      <c r="Q132" t="s" s="0">
        <v>91</v>
      </c>
      <c r="R132" t="s" s="0">
        <v>82</v>
      </c>
      <c r="S132" t="s" s="0">
        <v>82</v>
      </c>
      <c r="T132" t="s" s="0">
        <v>82</v>
      </c>
      <c r="U132" t="s" s="0">
        <v>82</v>
      </c>
      <c r="V132" t="s" s="0">
        <v>3519</v>
      </c>
      <c r="W132" t="s" s="0">
        <v>3340</v>
      </c>
      <c r="X132" t="s" s="0">
        <v>82</v>
      </c>
      <c r="Y132" t="s" s="0">
        <v>82</v>
      </c>
      <c r="Z132" t="s" s="0">
        <v>94</v>
      </c>
      <c r="AA132" t="s" s="0">
        <v>95</v>
      </c>
      <c r="AB132" t="s" s="0">
        <v>82</v>
      </c>
      <c r="AC132" t="s" s="0">
        <v>82</v>
      </c>
      <c r="AD132" t="s" s="0">
        <v>82</v>
      </c>
      <c r="AE132" t="s" s="0">
        <v>82</v>
      </c>
      <c r="AF132" t="s" s="0">
        <v>82</v>
      </c>
      <c r="AG132" t="s" s="0">
        <v>3520</v>
      </c>
      <c r="AH132" t="s" s="0">
        <v>3521</v>
      </c>
      <c r="AI132" t="s" s="0">
        <v>3522</v>
      </c>
      <c r="AJ132" t="s" s="0">
        <v>3523</v>
      </c>
      <c r="AK132" t="s" s="0">
        <v>82</v>
      </c>
      <c r="AL132" t="s" s="0">
        <v>1186</v>
      </c>
      <c r="AM132" t="s" s="0">
        <v>375</v>
      </c>
      <c r="AN132" t="s" s="0">
        <v>138</v>
      </c>
      <c r="AO132" t="s" s="0">
        <v>78</v>
      </c>
      <c r="AP132" t="s" s="0">
        <v>101</v>
      </c>
      <c r="AQ132" t="s" s="0">
        <v>277</v>
      </c>
      <c r="AR132" t="s" s="0">
        <v>278</v>
      </c>
      <c r="AS132" t="s" s="0">
        <v>279</v>
      </c>
      <c r="AT132" t="s" s="0">
        <v>82</v>
      </c>
      <c r="AU132" t="s" s="0">
        <v>3345</v>
      </c>
      <c r="AV132" t="s" s="0">
        <v>82</v>
      </c>
      <c r="AW132" t="s" s="0">
        <v>3340</v>
      </c>
      <c r="AX132" t="s" s="0">
        <v>3346</v>
      </c>
      <c r="AY132" t="s" s="0">
        <v>2990</v>
      </c>
      <c r="AZ132" t="s" s="0">
        <v>147</v>
      </c>
      <c r="BA132" t="s" s="0">
        <v>257</v>
      </c>
      <c r="BB132" t="s" s="0">
        <v>82</v>
      </c>
      <c r="BC132" t="s" s="0">
        <v>82</v>
      </c>
      <c r="BD132" t="s" s="0">
        <v>82</v>
      </c>
      <c r="BE132" t="s" s="0">
        <v>82</v>
      </c>
      <c r="BF132" t="s" s="0">
        <v>82</v>
      </c>
      <c r="BG132" t="s" s="0">
        <v>82</v>
      </c>
      <c r="BH132" t="s" s="0">
        <v>82</v>
      </c>
      <c r="BI132" t="s" s="0">
        <v>3524</v>
      </c>
      <c r="BJ132" t="s" s="0">
        <v>3525</v>
      </c>
      <c r="BK132" t="s" s="261">
        <f>HYPERLINK("http://dx.doi.org/10.1016/j.eclinm.2025.103108","http://dx.doi.org/10.1016/j.eclinm.2025.103108")</f>
        <v>3526</v>
      </c>
      <c r="BL132" t="s" s="0">
        <v>82</v>
      </c>
      <c r="BM132" t="s" s="0">
        <v>3527</v>
      </c>
      <c r="BN132" t="s" s="0">
        <v>149</v>
      </c>
      <c r="BO132" t="s" s="0">
        <v>354</v>
      </c>
      <c r="BP132" t="s" s="0">
        <v>355</v>
      </c>
      <c r="BQ132" t="s" s="0">
        <v>3528</v>
      </c>
      <c r="BR132" t="s" s="0">
        <v>3529</v>
      </c>
      <c r="BS132" t="s" s="0">
        <v>3530</v>
      </c>
      <c r="BT132" t="s" s="262">
        <f>HYPERLINK("https://www.webofscience.com/wos/woscc/full-record/WOS:001427397900001","View Record in Web of Science")</f>
        <v>120</v>
      </c>
      <c r="BU132" t="s" s="0">
        <v>121</v>
      </c>
      <c r="BV132" t="s" s="0">
        <v>82</v>
      </c>
      <c r="BW132" t="s" s="0">
        <v>82</v>
      </c>
      <c r="BX132" t="s" s="0">
        <v>122</v>
      </c>
    </row>
    <row r="133">
      <c r="A133" t="s" s="0">
        <v>78</v>
      </c>
      <c r="B133" t="s" s="0">
        <v>78</v>
      </c>
      <c r="C133" t="s" s="0">
        <v>447</v>
      </c>
      <c r="D133" t="s" s="0">
        <v>78</v>
      </c>
      <c r="E133" t="s" s="0">
        <v>3531</v>
      </c>
      <c r="F133" t="s" s="0">
        <v>3532</v>
      </c>
      <c r="G133" t="s" s="0">
        <v>3533</v>
      </c>
      <c r="H133" t="s" s="0">
        <v>82</v>
      </c>
      <c r="I133" t="s" s="0">
        <v>297</v>
      </c>
      <c r="J133" t="s" s="0">
        <v>3534</v>
      </c>
      <c r="K133" t="s" s="0">
        <v>3535</v>
      </c>
      <c r="L133" t="s" s="0">
        <v>3536</v>
      </c>
      <c r="M133" t="s" s="0">
        <v>3537</v>
      </c>
      <c r="N133" t="s" s="0">
        <v>3538</v>
      </c>
      <c r="O133" t="s" s="0">
        <v>3539</v>
      </c>
      <c r="P133" t="s" s="0">
        <v>3540</v>
      </c>
      <c r="Q133" t="s" s="0">
        <v>91</v>
      </c>
      <c r="R133" t="s" s="0">
        <v>82</v>
      </c>
      <c r="S133" t="s" s="0">
        <v>82</v>
      </c>
      <c r="T133" t="s" s="0">
        <v>82</v>
      </c>
      <c r="U133" t="s" s="0">
        <v>82</v>
      </c>
      <c r="V133" t="s" s="0">
        <v>3541</v>
      </c>
      <c r="W133" t="s" s="0">
        <v>3542</v>
      </c>
      <c r="X133" t="s" s="0">
        <v>82</v>
      </c>
      <c r="Y133" t="s" s="0">
        <v>82</v>
      </c>
      <c r="Z133" t="s" s="0">
        <v>94</v>
      </c>
      <c r="AA133" t="s" s="0">
        <v>95</v>
      </c>
      <c r="AB133" t="s" s="0">
        <v>82</v>
      </c>
      <c r="AC133" t="s" s="0">
        <v>82</v>
      </c>
      <c r="AD133" t="s" s="0">
        <v>82</v>
      </c>
      <c r="AE133" t="s" s="0">
        <v>82</v>
      </c>
      <c r="AF133" t="s" s="0">
        <v>82</v>
      </c>
      <c r="AG133" t="s" s="0">
        <v>3543</v>
      </c>
      <c r="AH133" t="s" s="0">
        <v>3544</v>
      </c>
      <c r="AI133" t="s" s="0">
        <v>3545</v>
      </c>
      <c r="AJ133" t="s" s="0">
        <v>3546</v>
      </c>
      <c r="AK133" t="s" s="0">
        <v>82</v>
      </c>
      <c r="AL133" t="s" s="0">
        <v>1026</v>
      </c>
      <c r="AM133" t="s" s="0">
        <v>245</v>
      </c>
      <c r="AN133" t="s" s="0">
        <v>137</v>
      </c>
      <c r="AO133" t="s" s="0">
        <v>78</v>
      </c>
      <c r="AP133" t="s" s="0">
        <v>447</v>
      </c>
      <c r="AQ133" t="s" s="0">
        <v>2484</v>
      </c>
      <c r="AR133" t="s" s="0">
        <v>2485</v>
      </c>
      <c r="AS133" t="s" s="0">
        <v>2486</v>
      </c>
      <c r="AT133" t="s" s="0">
        <v>82</v>
      </c>
      <c r="AU133" t="s" s="0">
        <v>3547</v>
      </c>
      <c r="AV133" t="s" s="0">
        <v>82</v>
      </c>
      <c r="AW133" t="s" s="0">
        <v>3548</v>
      </c>
      <c r="AX133" t="s" s="0">
        <v>3549</v>
      </c>
      <c r="AY133" t="s" s="0">
        <v>3550</v>
      </c>
      <c r="AZ133" t="s" s="0">
        <v>147</v>
      </c>
      <c r="BA133" t="s" s="0">
        <v>136</v>
      </c>
      <c r="BB133" t="s" s="0">
        <v>82</v>
      </c>
      <c r="BC133" t="s" s="0">
        <v>82</v>
      </c>
      <c r="BD133" t="s" s="0">
        <v>82</v>
      </c>
      <c r="BE133" t="s" s="0">
        <v>82</v>
      </c>
      <c r="BF133" t="s" s="0">
        <v>82</v>
      </c>
      <c r="BG133" t="s" s="0">
        <v>82</v>
      </c>
      <c r="BH133" t="s" s="0">
        <v>82</v>
      </c>
      <c r="BI133" t="s" s="0">
        <v>3551</v>
      </c>
      <c r="BJ133" t="s" s="0">
        <v>3552</v>
      </c>
      <c r="BK133" t="s" s="263">
        <f>HYPERLINK("http://dx.doi.org/10.3389/frai.2025.1512910","http://dx.doi.org/10.3389/frai.2025.1512910")</f>
        <v>3553</v>
      </c>
      <c r="BL133" t="s" s="0">
        <v>82</v>
      </c>
      <c r="BM133" t="s" s="0">
        <v>82</v>
      </c>
      <c r="BN133" t="s" s="0">
        <v>323</v>
      </c>
      <c r="BO133" t="s" s="0">
        <v>3554</v>
      </c>
      <c r="BP133" t="s" s="0">
        <v>1663</v>
      </c>
      <c r="BQ133" t="s" s="0">
        <v>3555</v>
      </c>
      <c r="BR133" t="s" s="0">
        <v>3556</v>
      </c>
      <c r="BS133" t="s" s="0">
        <v>3557</v>
      </c>
      <c r="BT133" t="s" s="264">
        <f>HYPERLINK("https://www.webofscience.com/wos/woscc/full-record/WOS:001426873400001","View Record in Web of Science")</f>
        <v>120</v>
      </c>
      <c r="BU133" t="s" s="0">
        <v>121</v>
      </c>
      <c r="BV133" t="s" s="0">
        <v>82</v>
      </c>
      <c r="BW133" t="s" s="0">
        <v>82</v>
      </c>
      <c r="BX133" t="s" s="0">
        <v>122</v>
      </c>
    </row>
    <row r="134">
      <c r="A134" t="s" s="0">
        <v>78</v>
      </c>
      <c r="B134" t="s" s="0">
        <v>78</v>
      </c>
      <c r="C134" t="s" s="0">
        <v>78</v>
      </c>
      <c r="D134" t="s" s="0">
        <v>78</v>
      </c>
      <c r="E134" t="s" s="0">
        <v>3558</v>
      </c>
      <c r="F134" t="s" s="0">
        <v>3559</v>
      </c>
      <c r="G134" t="s" s="0">
        <v>3560</v>
      </c>
      <c r="H134" t="s" s="0">
        <v>82</v>
      </c>
      <c r="I134" t="s" s="0">
        <v>83</v>
      </c>
      <c r="J134" t="s" s="0">
        <v>3561</v>
      </c>
      <c r="K134" t="s" s="0">
        <v>3562</v>
      </c>
      <c r="L134" t="s" s="0">
        <v>82</v>
      </c>
      <c r="M134" t="s" s="0">
        <v>82</v>
      </c>
      <c r="N134" t="s" s="0">
        <v>82</v>
      </c>
      <c r="O134" t="s" s="0">
        <v>3563</v>
      </c>
      <c r="P134" t="s" s="0">
        <v>82</v>
      </c>
      <c r="Q134" t="s" s="0">
        <v>91</v>
      </c>
      <c r="R134" t="s" s="0">
        <v>82</v>
      </c>
      <c r="S134" t="s" s="0">
        <v>82</v>
      </c>
      <c r="T134" t="s" s="0">
        <v>82</v>
      </c>
      <c r="U134" t="s" s="0">
        <v>82</v>
      </c>
      <c r="V134" t="s" s="0">
        <v>3564</v>
      </c>
      <c r="W134" t="s" s="0">
        <v>3565</v>
      </c>
      <c r="X134" t="s" s="0">
        <v>82</v>
      </c>
      <c r="Y134" t="s" s="0">
        <v>82</v>
      </c>
      <c r="Z134" t="s" s="0">
        <v>94</v>
      </c>
      <c r="AA134" t="s" s="0">
        <v>95</v>
      </c>
      <c r="AB134" t="s" s="0">
        <v>82</v>
      </c>
      <c r="AC134" t="s" s="0">
        <v>82</v>
      </c>
      <c r="AD134" t="s" s="0">
        <v>82</v>
      </c>
      <c r="AE134" t="s" s="0">
        <v>82</v>
      </c>
      <c r="AF134" t="s" s="0">
        <v>82</v>
      </c>
      <c r="AG134" t="s" s="0">
        <v>3566</v>
      </c>
      <c r="AH134" t="s" s="0">
        <v>3567</v>
      </c>
      <c r="AI134" t="s" s="0">
        <v>82</v>
      </c>
      <c r="AJ134" t="s" s="0">
        <v>82</v>
      </c>
      <c r="AK134" t="s" s="0">
        <v>82</v>
      </c>
      <c r="AL134" t="s" s="0">
        <v>1279</v>
      </c>
      <c r="AM134" t="s" s="0">
        <v>447</v>
      </c>
      <c r="AN134" t="s" s="0">
        <v>447</v>
      </c>
      <c r="AO134" t="s" s="0">
        <v>78</v>
      </c>
      <c r="AP134" t="s" s="0">
        <v>101</v>
      </c>
      <c r="AQ134" t="s" s="0">
        <v>2484</v>
      </c>
      <c r="AR134" t="s" s="0">
        <v>2485</v>
      </c>
      <c r="AS134" t="s" s="0">
        <v>2486</v>
      </c>
      <c r="AT134" t="s" s="0">
        <v>82</v>
      </c>
      <c r="AU134" t="s" s="0">
        <v>3568</v>
      </c>
      <c r="AV134" t="s" s="0">
        <v>82</v>
      </c>
      <c r="AW134" t="s" s="0">
        <v>3569</v>
      </c>
      <c r="AX134" t="s" s="0">
        <v>3570</v>
      </c>
      <c r="AY134" t="s" s="0">
        <v>3571</v>
      </c>
      <c r="AZ134" t="s" s="0">
        <v>147</v>
      </c>
      <c r="BA134" t="s" s="0">
        <v>149</v>
      </c>
      <c r="BB134" t="s" s="0">
        <v>82</v>
      </c>
      <c r="BC134" t="s" s="0">
        <v>82</v>
      </c>
      <c r="BD134" t="s" s="0">
        <v>82</v>
      </c>
      <c r="BE134" t="s" s="0">
        <v>82</v>
      </c>
      <c r="BF134" t="s" s="0">
        <v>82</v>
      </c>
      <c r="BG134" t="s" s="0">
        <v>82</v>
      </c>
      <c r="BH134" t="s" s="0">
        <v>82</v>
      </c>
      <c r="BI134" t="s" s="0">
        <v>3572</v>
      </c>
      <c r="BJ134" t="s" s="0">
        <v>3573</v>
      </c>
      <c r="BK134" t="s" s="265">
        <f>HYPERLINK("http://dx.doi.org/10.3389/fmed.2025.1598065","http://dx.doi.org/10.3389/fmed.2025.1598065")</f>
        <v>3574</v>
      </c>
      <c r="BL134" t="s" s="0">
        <v>82</v>
      </c>
      <c r="BM134" t="s" s="0">
        <v>82</v>
      </c>
      <c r="BN134" t="s" s="0">
        <v>640</v>
      </c>
      <c r="BO134" t="s" s="0">
        <v>354</v>
      </c>
      <c r="BP134" t="s" s="0">
        <v>355</v>
      </c>
      <c r="BQ134" t="s" s="0">
        <v>3575</v>
      </c>
      <c r="BR134" t="s" s="0">
        <v>3576</v>
      </c>
      <c r="BS134" t="s" s="0">
        <v>3577</v>
      </c>
      <c r="BT134" t="s" s="266">
        <f>HYPERLINK("https://www.webofscience.com/wos/woscc/full-record/WOS:001610111700001","View Record in Web of Science")</f>
        <v>120</v>
      </c>
      <c r="BU134" t="s" s="0">
        <v>121</v>
      </c>
      <c r="BV134" t="s" s="0">
        <v>82</v>
      </c>
      <c r="BW134" t="s" s="0">
        <v>82</v>
      </c>
      <c r="BX134" t="s" s="0">
        <v>122</v>
      </c>
    </row>
    <row r="135">
      <c r="A135" t="s" s="0">
        <v>78</v>
      </c>
      <c r="B135" t="s" s="0">
        <v>78</v>
      </c>
      <c r="C135" t="s" s="0">
        <v>77</v>
      </c>
      <c r="D135" t="s" s="0">
        <v>78</v>
      </c>
      <c r="E135" t="s" s="0">
        <v>3578</v>
      </c>
      <c r="F135" t="s" s="0">
        <v>3579</v>
      </c>
      <c r="G135" t="s" s="0">
        <v>3580</v>
      </c>
      <c r="H135" t="s" s="0">
        <v>82</v>
      </c>
      <c r="I135" t="s" s="0">
        <v>83</v>
      </c>
      <c r="J135" t="s" s="0">
        <v>3581</v>
      </c>
      <c r="K135" t="s" s="0">
        <v>3582</v>
      </c>
      <c r="L135" t="s" s="0">
        <v>82</v>
      </c>
      <c r="M135" t="s" s="0">
        <v>82</v>
      </c>
      <c r="N135" t="s" s="0">
        <v>82</v>
      </c>
      <c r="O135" t="s" s="0">
        <v>3583</v>
      </c>
      <c r="P135" t="s" s="0">
        <v>3584</v>
      </c>
      <c r="Q135" t="s" s="0">
        <v>91</v>
      </c>
      <c r="R135" t="s" s="0">
        <v>82</v>
      </c>
      <c r="S135" t="s" s="0">
        <v>82</v>
      </c>
      <c r="T135" t="s" s="0">
        <v>82</v>
      </c>
      <c r="U135" t="s" s="0">
        <v>82</v>
      </c>
      <c r="V135" t="s" s="0">
        <v>3585</v>
      </c>
      <c r="W135" t="s" s="0">
        <v>3586</v>
      </c>
      <c r="X135" t="s" s="0">
        <v>82</v>
      </c>
      <c r="Y135" t="s" s="0">
        <v>82</v>
      </c>
      <c r="Z135" t="s" s="0">
        <v>94</v>
      </c>
      <c r="AA135" t="s" s="0">
        <v>95</v>
      </c>
      <c r="AB135" t="s" s="0">
        <v>82</v>
      </c>
      <c r="AC135" t="s" s="0">
        <v>82</v>
      </c>
      <c r="AD135" t="s" s="0">
        <v>82</v>
      </c>
      <c r="AE135" t="s" s="0">
        <v>82</v>
      </c>
      <c r="AF135" t="s" s="0">
        <v>82</v>
      </c>
      <c r="AG135" t="s" s="0">
        <v>3587</v>
      </c>
      <c r="AH135" t="s" s="0">
        <v>3588</v>
      </c>
      <c r="AI135" t="s" s="0">
        <v>3589</v>
      </c>
      <c r="AJ135" t="s" s="0">
        <v>3590</v>
      </c>
      <c r="AK135" t="s" s="0">
        <v>82</v>
      </c>
      <c r="AL135" t="s" s="0">
        <v>353</v>
      </c>
      <c r="AM135" t="s" s="0">
        <v>77</v>
      </c>
      <c r="AN135" t="s" s="0">
        <v>77</v>
      </c>
      <c r="AO135" t="s" s="0">
        <v>447</v>
      </c>
      <c r="AP135" t="s" s="0">
        <v>447</v>
      </c>
      <c r="AQ135" t="s" s="0">
        <v>312</v>
      </c>
      <c r="AR135" t="s" s="0">
        <v>313</v>
      </c>
      <c r="AS135" t="s" s="0">
        <v>314</v>
      </c>
      <c r="AT135" t="s" s="0">
        <v>3591</v>
      </c>
      <c r="AU135" t="s" s="0">
        <v>3592</v>
      </c>
      <c r="AV135" t="s" s="0">
        <v>82</v>
      </c>
      <c r="AW135" t="s" s="0">
        <v>3586</v>
      </c>
      <c r="AX135" t="s" s="0">
        <v>3593</v>
      </c>
      <c r="AY135" t="s" s="0">
        <v>3594</v>
      </c>
      <c r="AZ135" t="s" s="0">
        <v>181</v>
      </c>
      <c r="BA135" t="s" s="0">
        <v>464</v>
      </c>
      <c r="BB135" t="s" s="0">
        <v>447</v>
      </c>
      <c r="BC135" t="s" s="0">
        <v>82</v>
      </c>
      <c r="BD135" t="s" s="0">
        <v>82</v>
      </c>
      <c r="BE135" t="s" s="0">
        <v>82</v>
      </c>
      <c r="BF135" t="s" s="0">
        <v>82</v>
      </c>
      <c r="BG135" t="s" s="0">
        <v>82</v>
      </c>
      <c r="BH135" t="s" s="0">
        <v>82</v>
      </c>
      <c r="BI135" t="s" s="0">
        <v>3595</v>
      </c>
      <c r="BJ135" t="s" s="0">
        <v>3596</v>
      </c>
      <c r="BK135" t="s" s="267">
        <f>HYPERLINK("http://dx.doi.org/10.3390/medicina62020421","http://dx.doi.org/10.3390/medicina62020421")</f>
        <v>3597</v>
      </c>
      <c r="BL135" t="s" s="0">
        <v>82</v>
      </c>
      <c r="BM135" t="s" s="0">
        <v>82</v>
      </c>
      <c r="BN135" t="s" s="0">
        <v>323</v>
      </c>
      <c r="BO135" t="s" s="0">
        <v>354</v>
      </c>
      <c r="BP135" t="s" s="0">
        <v>355</v>
      </c>
      <c r="BQ135" t="s" s="0">
        <v>3598</v>
      </c>
      <c r="BR135" t="s" s="0">
        <v>3599</v>
      </c>
      <c r="BS135" t="s" s="0">
        <v>3600</v>
      </c>
      <c r="BT135" t="s" s="268">
        <f>HYPERLINK("https://www.webofscience.com/wos/woscc/full-record/WOS:001700778400001","View Record in Web of Science")</f>
        <v>120</v>
      </c>
      <c r="BU135" t="s" s="0">
        <v>121</v>
      </c>
      <c r="BV135" t="s" s="0">
        <v>82</v>
      </c>
      <c r="BW135" t="s" s="0">
        <v>82</v>
      </c>
      <c r="BX135" t="s" s="0">
        <v>122</v>
      </c>
    </row>
    <row r="136">
      <c r="A136" t="s" s="0">
        <v>78</v>
      </c>
      <c r="B136" t="s" s="0">
        <v>78</v>
      </c>
      <c r="C136" t="s" s="0">
        <v>78</v>
      </c>
      <c r="D136" t="s" s="0">
        <v>78</v>
      </c>
      <c r="E136" t="s" s="0">
        <v>3601</v>
      </c>
      <c r="F136" t="s" s="0">
        <v>3602</v>
      </c>
      <c r="G136" t="s" s="0">
        <v>3603</v>
      </c>
      <c r="H136" t="s" s="0">
        <v>82</v>
      </c>
      <c r="I136" t="s" s="0">
        <v>83</v>
      </c>
      <c r="J136" t="s" s="0">
        <v>3604</v>
      </c>
      <c r="K136" t="s" s="0">
        <v>3605</v>
      </c>
      <c r="L136" t="s" s="0">
        <v>3606</v>
      </c>
      <c r="M136" t="s" s="0">
        <v>3607</v>
      </c>
      <c r="N136" t="s" s="0">
        <v>3608</v>
      </c>
      <c r="O136" t="s" s="0">
        <v>3609</v>
      </c>
      <c r="P136" t="s" s="0">
        <v>3610</v>
      </c>
      <c r="Q136" t="s" s="0">
        <v>91</v>
      </c>
      <c r="R136" t="s" s="0">
        <v>82</v>
      </c>
      <c r="S136" t="s" s="0">
        <v>82</v>
      </c>
      <c r="T136" t="s" s="0">
        <v>82</v>
      </c>
      <c r="U136" t="s" s="0">
        <v>82</v>
      </c>
      <c r="V136" t="s" s="0">
        <v>3611</v>
      </c>
      <c r="W136" t="s" s="0">
        <v>3612</v>
      </c>
      <c r="X136" t="s" s="0">
        <v>82</v>
      </c>
      <c r="Y136" t="s" s="0">
        <v>82</v>
      </c>
      <c r="Z136" t="s" s="0">
        <v>94</v>
      </c>
      <c r="AA136" t="s" s="0">
        <v>95</v>
      </c>
      <c r="AB136" t="s" s="0">
        <v>82</v>
      </c>
      <c r="AC136" t="s" s="0">
        <v>82</v>
      </c>
      <c r="AD136" t="s" s="0">
        <v>82</v>
      </c>
      <c r="AE136" t="s" s="0">
        <v>82</v>
      </c>
      <c r="AF136" t="s" s="0">
        <v>82</v>
      </c>
      <c r="AG136" t="s" s="0">
        <v>3613</v>
      </c>
      <c r="AH136" t="s" s="0">
        <v>3614</v>
      </c>
      <c r="AI136" t="s" s="0">
        <v>82</v>
      </c>
      <c r="AJ136" t="s" s="0">
        <v>3615</v>
      </c>
      <c r="AK136" t="s" s="0">
        <v>82</v>
      </c>
      <c r="AL136" t="s" s="0">
        <v>374</v>
      </c>
      <c r="AM136" t="s" s="0">
        <v>78</v>
      </c>
      <c r="AN136" t="s" s="0">
        <v>78</v>
      </c>
      <c r="AO136" t="s" s="0">
        <v>102</v>
      </c>
      <c r="AP136" t="s" s="0">
        <v>102</v>
      </c>
      <c r="AQ136" t="s" s="0">
        <v>575</v>
      </c>
      <c r="AR136" t="s" s="0">
        <v>104</v>
      </c>
      <c r="AS136" t="s" s="0">
        <v>576</v>
      </c>
      <c r="AT136" t="s" s="0">
        <v>82</v>
      </c>
      <c r="AU136" t="s" s="0">
        <v>3616</v>
      </c>
      <c r="AV136" t="s" s="0">
        <v>82</v>
      </c>
      <c r="AW136" t="s" s="0">
        <v>3617</v>
      </c>
      <c r="AX136" t="s" s="0">
        <v>3618</v>
      </c>
      <c r="AY136" t="s" s="0">
        <v>3619</v>
      </c>
      <c r="AZ136" t="s" s="0">
        <v>147</v>
      </c>
      <c r="BA136" t="s" s="0">
        <v>149</v>
      </c>
      <c r="BB136" t="s" s="0">
        <v>77</v>
      </c>
      <c r="BC136" t="s" s="0">
        <v>82</v>
      </c>
      <c r="BD136" t="s" s="0">
        <v>82</v>
      </c>
      <c r="BE136" t="s" s="0">
        <v>82</v>
      </c>
      <c r="BF136" t="s" s="0">
        <v>82</v>
      </c>
      <c r="BG136" t="s" s="0">
        <v>82</v>
      </c>
      <c r="BH136" t="s" s="0">
        <v>82</v>
      </c>
      <c r="BI136" t="s" s="0">
        <v>3620</v>
      </c>
      <c r="BJ136" t="s" s="0">
        <v>3621</v>
      </c>
      <c r="BK136" t="s" s="269">
        <f>HYPERLINK("http://dx.doi.org/10.1136/bmjresp-2025-003355","http://dx.doi.org/10.1136/bmjresp-2025-003355")</f>
        <v>3622</v>
      </c>
      <c r="BL136" t="s" s="0">
        <v>82</v>
      </c>
      <c r="BM136" t="s" s="0">
        <v>82</v>
      </c>
      <c r="BN136" t="s" s="0">
        <v>136</v>
      </c>
      <c r="BO136" t="s" s="0">
        <v>1227</v>
      </c>
      <c r="BP136" t="s" s="0">
        <v>1227</v>
      </c>
      <c r="BQ136" t="s" s="0">
        <v>3623</v>
      </c>
      <c r="BR136" t="s" s="0">
        <v>3624</v>
      </c>
      <c r="BS136" t="s" s="0">
        <v>3625</v>
      </c>
      <c r="BT136" t="s" s="270">
        <f>HYPERLINK("https://www.webofscience.com/wos/woscc/full-record/WOS:001620615800001","View Record in Web of Science")</f>
        <v>120</v>
      </c>
      <c r="BU136" t="s" s="0">
        <v>121</v>
      </c>
      <c r="BV136" t="s" s="0">
        <v>82</v>
      </c>
      <c r="BW136" t="s" s="0">
        <v>82</v>
      </c>
      <c r="BX136" t="s" s="0">
        <v>122</v>
      </c>
    </row>
    <row r="137">
      <c r="A137" t="s" s="0">
        <v>78</v>
      </c>
      <c r="B137" t="s" s="0">
        <v>78</v>
      </c>
      <c r="C137" t="s" s="0">
        <v>447</v>
      </c>
      <c r="D137" t="s" s="0">
        <v>78</v>
      </c>
      <c r="E137" t="s" s="0">
        <v>3626</v>
      </c>
      <c r="F137" t="s" s="0">
        <v>3627</v>
      </c>
      <c r="G137" t="s" s="0">
        <v>3628</v>
      </c>
      <c r="H137" t="s" s="0">
        <v>82</v>
      </c>
      <c r="I137" t="s" s="0">
        <v>83</v>
      </c>
      <c r="J137" t="s" s="0">
        <v>3629</v>
      </c>
      <c r="K137" t="s" s="0">
        <v>3630</v>
      </c>
      <c r="L137" t="s" s="0">
        <v>3631</v>
      </c>
      <c r="M137" t="s" s="0">
        <v>3632</v>
      </c>
      <c r="N137" t="s" s="0">
        <v>3633</v>
      </c>
      <c r="O137" t="s" s="0">
        <v>3634</v>
      </c>
      <c r="P137" t="s" s="0">
        <v>3635</v>
      </c>
      <c r="Q137" t="s" s="0">
        <v>91</v>
      </c>
      <c r="R137" t="s" s="0">
        <v>82</v>
      </c>
      <c r="S137" t="s" s="0">
        <v>82</v>
      </c>
      <c r="T137" t="s" s="0">
        <v>82</v>
      </c>
      <c r="U137" t="s" s="0">
        <v>82</v>
      </c>
      <c r="V137" t="s" s="0">
        <v>3636</v>
      </c>
      <c r="W137" t="s" s="0">
        <v>3637</v>
      </c>
      <c r="X137" t="s" s="0">
        <v>82</v>
      </c>
      <c r="Y137" t="s" s="0">
        <v>82</v>
      </c>
      <c r="Z137" t="s" s="0">
        <v>94</v>
      </c>
      <c r="AA137" t="s" s="0">
        <v>95</v>
      </c>
      <c r="AB137" t="s" s="0">
        <v>82</v>
      </c>
      <c r="AC137" t="s" s="0">
        <v>82</v>
      </c>
      <c r="AD137" t="s" s="0">
        <v>82</v>
      </c>
      <c r="AE137" t="s" s="0">
        <v>82</v>
      </c>
      <c r="AF137" t="s" s="0">
        <v>82</v>
      </c>
      <c r="AG137" t="s" s="0">
        <v>3638</v>
      </c>
      <c r="AH137" t="s" s="0">
        <v>3639</v>
      </c>
      <c r="AI137" t="s" s="0">
        <v>3640</v>
      </c>
      <c r="AJ137" t="s" s="0">
        <v>3641</v>
      </c>
      <c r="AK137" t="s" s="0">
        <v>82</v>
      </c>
      <c r="AL137" t="s" s="0">
        <v>828</v>
      </c>
      <c r="AM137" t="s" s="0">
        <v>101</v>
      </c>
      <c r="AN137" t="s" s="0">
        <v>101</v>
      </c>
      <c r="AO137" t="s" s="0">
        <v>77</v>
      </c>
      <c r="AP137" t="s" s="0">
        <v>319</v>
      </c>
      <c r="AQ137" t="s" s="0">
        <v>633</v>
      </c>
      <c r="AR137" t="s" s="0">
        <v>634</v>
      </c>
      <c r="AS137" t="s" s="0">
        <v>635</v>
      </c>
      <c r="AT137" t="s" s="0">
        <v>3642</v>
      </c>
      <c r="AU137" t="s" s="0">
        <v>82</v>
      </c>
      <c r="AV137" t="s" s="0">
        <v>82</v>
      </c>
      <c r="AW137" t="s" s="0">
        <v>3643</v>
      </c>
      <c r="AX137" t="s" s="0">
        <v>3644</v>
      </c>
      <c r="AY137" t="s" s="0">
        <v>3645</v>
      </c>
      <c r="AZ137" t="s" s="0">
        <v>147</v>
      </c>
      <c r="BA137" t="s" s="0">
        <v>349</v>
      </c>
      <c r="BB137" t="s" s="0">
        <v>77</v>
      </c>
      <c r="BC137" t="s" s="0">
        <v>82</v>
      </c>
      <c r="BD137" t="s" s="0">
        <v>82</v>
      </c>
      <c r="BE137" t="s" s="0">
        <v>82</v>
      </c>
      <c r="BF137" t="s" s="0">
        <v>82</v>
      </c>
      <c r="BG137" t="s" s="0">
        <v>82</v>
      </c>
      <c r="BH137" t="s" s="0">
        <v>82</v>
      </c>
      <c r="BI137" t="s" s="0">
        <v>3646</v>
      </c>
      <c r="BJ137" t="s" s="0">
        <v>3647</v>
      </c>
      <c r="BK137" t="s" s="271">
        <f>HYPERLINK("http://dx.doi.org/10.1038/s41598-025-98087-9","http://dx.doi.org/10.1038/s41598-025-98087-9")</f>
        <v>3648</v>
      </c>
      <c r="BL137" t="s" s="0">
        <v>82</v>
      </c>
      <c r="BM137" t="s" s="0">
        <v>82</v>
      </c>
      <c r="BN137" t="s" s="0">
        <v>319</v>
      </c>
      <c r="BO137" t="s" s="0">
        <v>644</v>
      </c>
      <c r="BP137" t="s" s="0">
        <v>645</v>
      </c>
      <c r="BQ137" t="s" s="0">
        <v>3649</v>
      </c>
      <c r="BR137" t="s" s="0">
        <v>3650</v>
      </c>
      <c r="BS137" t="s" s="0">
        <v>3651</v>
      </c>
      <c r="BT137" t="s" s="272">
        <f>HYPERLINK("https://www.webofscience.com/wos/woscc/full-record/WOS:001471192800029","View Record in Web of Science")</f>
        <v>120</v>
      </c>
      <c r="BU137" t="s" s="0">
        <v>121</v>
      </c>
      <c r="BV137" t="s" s="0">
        <v>82</v>
      </c>
      <c r="BW137" t="s" s="0">
        <v>82</v>
      </c>
      <c r="BX137" t="s" s="0">
        <v>122</v>
      </c>
    </row>
    <row r="138">
      <c r="A138" t="s" s="0">
        <v>78</v>
      </c>
      <c r="B138" t="s" s="0">
        <v>78</v>
      </c>
      <c r="C138" t="s" s="0">
        <v>78</v>
      </c>
      <c r="D138" t="s" s="0">
        <v>78</v>
      </c>
      <c r="E138" t="s" s="0">
        <v>3652</v>
      </c>
      <c r="F138" t="s" s="0">
        <v>3653</v>
      </c>
      <c r="G138" t="s" s="0">
        <v>3654</v>
      </c>
      <c r="H138" t="s" s="0">
        <v>82</v>
      </c>
      <c r="I138" t="s" s="0">
        <v>83</v>
      </c>
      <c r="J138" t="s" s="0">
        <v>3655</v>
      </c>
      <c r="K138" t="s" s="0">
        <v>3656</v>
      </c>
      <c r="L138" t="s" s="0">
        <v>3657</v>
      </c>
      <c r="M138" t="s" s="0">
        <v>3658</v>
      </c>
      <c r="N138" t="s" s="0">
        <v>3659</v>
      </c>
      <c r="O138" t="s" s="0">
        <v>3660</v>
      </c>
      <c r="P138" t="s" s="0">
        <v>3661</v>
      </c>
      <c r="Q138" t="s" s="0">
        <v>91</v>
      </c>
      <c r="R138" t="s" s="0">
        <v>82</v>
      </c>
      <c r="S138" t="s" s="0">
        <v>82</v>
      </c>
      <c r="T138" t="s" s="0">
        <v>82</v>
      </c>
      <c r="U138" t="s" s="0">
        <v>82</v>
      </c>
      <c r="V138" t="s" s="0">
        <v>3662</v>
      </c>
      <c r="W138" t="s" s="0">
        <v>3565</v>
      </c>
      <c r="X138" t="s" s="0">
        <v>82</v>
      </c>
      <c r="Y138" t="s" s="0">
        <v>82</v>
      </c>
      <c r="Z138" t="s" s="0">
        <v>94</v>
      </c>
      <c r="AA138" t="s" s="0">
        <v>95</v>
      </c>
      <c r="AB138" t="s" s="0">
        <v>82</v>
      </c>
      <c r="AC138" t="s" s="0">
        <v>82</v>
      </c>
      <c r="AD138" t="s" s="0">
        <v>82</v>
      </c>
      <c r="AE138" t="s" s="0">
        <v>82</v>
      </c>
      <c r="AF138" t="s" s="0">
        <v>82</v>
      </c>
      <c r="AG138" t="s" s="0">
        <v>3663</v>
      </c>
      <c r="AH138" t="s" s="0">
        <v>3664</v>
      </c>
      <c r="AI138" t="s" s="0">
        <v>82</v>
      </c>
      <c r="AJ138" t="s" s="0">
        <v>82</v>
      </c>
      <c r="AK138" t="s" s="0">
        <v>82</v>
      </c>
      <c r="AL138" t="s" s="0">
        <v>890</v>
      </c>
      <c r="AM138" t="s" s="0">
        <v>78</v>
      </c>
      <c r="AN138" t="s" s="0">
        <v>78</v>
      </c>
      <c r="AO138" t="s" s="0">
        <v>78</v>
      </c>
      <c r="AP138" t="s" s="0">
        <v>78</v>
      </c>
      <c r="AQ138" t="s" s="0">
        <v>2484</v>
      </c>
      <c r="AR138" t="s" s="0">
        <v>2485</v>
      </c>
      <c r="AS138" t="s" s="0">
        <v>2486</v>
      </c>
      <c r="AT138" t="s" s="0">
        <v>82</v>
      </c>
      <c r="AU138" t="s" s="0">
        <v>3568</v>
      </c>
      <c r="AV138" t="s" s="0">
        <v>82</v>
      </c>
      <c r="AW138" t="s" s="0">
        <v>3569</v>
      </c>
      <c r="AX138" t="s" s="0">
        <v>3570</v>
      </c>
      <c r="AY138" t="s" s="0">
        <v>3665</v>
      </c>
      <c r="AZ138" t="s" s="0">
        <v>181</v>
      </c>
      <c r="BA138" t="s" s="0">
        <v>115</v>
      </c>
      <c r="BB138" t="s" s="0">
        <v>82</v>
      </c>
      <c r="BC138" t="s" s="0">
        <v>82</v>
      </c>
      <c r="BD138" t="s" s="0">
        <v>82</v>
      </c>
      <c r="BE138" t="s" s="0">
        <v>82</v>
      </c>
      <c r="BF138" t="s" s="0">
        <v>82</v>
      </c>
      <c r="BG138" t="s" s="0">
        <v>82</v>
      </c>
      <c r="BH138" t="s" s="0">
        <v>82</v>
      </c>
      <c r="BI138" t="s" s="0">
        <v>3666</v>
      </c>
      <c r="BJ138" t="s" s="0">
        <v>3667</v>
      </c>
      <c r="BK138" t="s" s="273">
        <f>HYPERLINK("http://dx.doi.org/10.3389/fmed.2026.1888022","http://dx.doi.org/10.3389/fmed.2026.1888022")</f>
        <v>3668</v>
      </c>
      <c r="BL138" t="s" s="0">
        <v>82</v>
      </c>
      <c r="BM138" t="s" s="0">
        <v>82</v>
      </c>
      <c r="BN138" t="s" s="0">
        <v>154</v>
      </c>
      <c r="BO138" t="s" s="0">
        <v>354</v>
      </c>
      <c r="BP138" t="s" s="0">
        <v>355</v>
      </c>
      <c r="BQ138" t="s" s="0">
        <v>3669</v>
      </c>
      <c r="BR138" t="s" s="0">
        <v>82</v>
      </c>
      <c r="BS138" t="s" s="0">
        <v>3670</v>
      </c>
      <c r="BT138" t="s" s="274">
        <f>HYPERLINK("https://www.webofscience.com/wos/woscc/full-record/WOS:001840147000001","View Record in Web of Science")</f>
        <v>120</v>
      </c>
      <c r="BU138" t="s" s="0">
        <v>1008</v>
      </c>
      <c r="BV138" t="s" s="0">
        <v>82</v>
      </c>
      <c r="BW138" t="s" s="0">
        <v>82</v>
      </c>
      <c r="BX138" t="s" s="0">
        <v>122</v>
      </c>
    </row>
    <row r="139">
      <c r="A139" t="s" s="0">
        <v>78</v>
      </c>
      <c r="B139" t="s" s="0">
        <v>78</v>
      </c>
      <c r="C139" t="s" s="0">
        <v>78</v>
      </c>
      <c r="D139" t="s" s="0">
        <v>78</v>
      </c>
      <c r="E139" t="s" s="0">
        <v>3671</v>
      </c>
      <c r="F139" t="s" s="0">
        <v>3672</v>
      </c>
      <c r="G139" t="s" s="0">
        <v>3673</v>
      </c>
      <c r="H139" t="s" s="0">
        <v>82</v>
      </c>
      <c r="I139" t="s" s="0">
        <v>297</v>
      </c>
      <c r="J139" t="s" s="0">
        <v>3674</v>
      </c>
      <c r="K139" t="s" s="0">
        <v>3675</v>
      </c>
      <c r="L139" t="s" s="0">
        <v>3676</v>
      </c>
      <c r="M139" t="s" s="0">
        <v>3677</v>
      </c>
      <c r="N139" t="s" s="0">
        <v>3678</v>
      </c>
      <c r="O139" t="s" s="0">
        <v>3679</v>
      </c>
      <c r="P139" t="s" s="0">
        <v>3680</v>
      </c>
      <c r="Q139" t="s" s="0">
        <v>91</v>
      </c>
      <c r="R139" t="s" s="0">
        <v>82</v>
      </c>
      <c r="S139" t="s" s="0">
        <v>82</v>
      </c>
      <c r="T139" t="s" s="0">
        <v>82</v>
      </c>
      <c r="U139" t="s" s="0">
        <v>82</v>
      </c>
      <c r="V139" t="s" s="0">
        <v>3681</v>
      </c>
      <c r="W139" t="s" s="0">
        <v>3682</v>
      </c>
      <c r="X139" t="s" s="0">
        <v>82</v>
      </c>
      <c r="Y139" t="s" s="0">
        <v>82</v>
      </c>
      <c r="Z139" t="s" s="0">
        <v>94</v>
      </c>
      <c r="AA139" t="s" s="0">
        <v>95</v>
      </c>
      <c r="AB139" t="s" s="0">
        <v>82</v>
      </c>
      <c r="AC139" t="s" s="0">
        <v>82</v>
      </c>
      <c r="AD139" t="s" s="0">
        <v>82</v>
      </c>
      <c r="AE139" t="s" s="0">
        <v>82</v>
      </c>
      <c r="AF139" t="s" s="0">
        <v>82</v>
      </c>
      <c r="AG139" t="s" s="0">
        <v>3683</v>
      </c>
      <c r="AH139" t="s" s="0">
        <v>3684</v>
      </c>
      <c r="AI139" t="s" s="0">
        <v>3685</v>
      </c>
      <c r="AJ139" t="s" s="0">
        <v>3615</v>
      </c>
      <c r="AK139" t="s" s="0">
        <v>82</v>
      </c>
      <c r="AL139" t="s" s="0">
        <v>1780</v>
      </c>
      <c r="AM139" t="s" s="0">
        <v>245</v>
      </c>
      <c r="AN139" t="s" s="0">
        <v>245</v>
      </c>
      <c r="AO139" t="s" s="0">
        <v>78</v>
      </c>
      <c r="AP139" t="s" s="0">
        <v>447</v>
      </c>
      <c r="AQ139" t="s" s="0">
        <v>832</v>
      </c>
      <c r="AR139" t="s" s="0">
        <v>833</v>
      </c>
      <c r="AS139" t="s" s="0">
        <v>834</v>
      </c>
      <c r="AT139" t="s" s="0">
        <v>82</v>
      </c>
      <c r="AU139" t="s" s="0">
        <v>3686</v>
      </c>
      <c r="AV139" t="s" s="0">
        <v>82</v>
      </c>
      <c r="AW139" t="s" s="0">
        <v>3687</v>
      </c>
      <c r="AX139" t="s" s="0">
        <v>3688</v>
      </c>
      <c r="AY139" t="s" s="0">
        <v>1398</v>
      </c>
      <c r="AZ139" t="s" s="0">
        <v>147</v>
      </c>
      <c r="BA139" t="s" s="0">
        <v>138</v>
      </c>
      <c r="BB139" t="s" s="0">
        <v>102</v>
      </c>
      <c r="BC139" t="s" s="0">
        <v>82</v>
      </c>
      <c r="BD139" t="s" s="0">
        <v>82</v>
      </c>
      <c r="BE139" t="s" s="0">
        <v>82</v>
      </c>
      <c r="BF139" t="s" s="0">
        <v>82</v>
      </c>
      <c r="BG139" t="s" s="0">
        <v>82</v>
      </c>
      <c r="BH139" t="s" s="0">
        <v>82</v>
      </c>
      <c r="BI139" t="s" s="0">
        <v>3689</v>
      </c>
      <c r="BJ139" t="s" s="0">
        <v>3690</v>
      </c>
      <c r="BK139" t="s" s="275">
        <f>HYPERLINK("http://dx.doi.org/10.1097/CCE.0000000000001232","http://dx.doi.org/10.1097/CCE.0000000000001232")</f>
        <v>3691</v>
      </c>
      <c r="BL139" t="s" s="0">
        <v>82</v>
      </c>
      <c r="BM139" t="s" s="0">
        <v>82</v>
      </c>
      <c r="BN139" t="s" s="0">
        <v>137</v>
      </c>
      <c r="BO139" t="s" s="0">
        <v>2920</v>
      </c>
      <c r="BP139" t="s" s="0">
        <v>355</v>
      </c>
      <c r="BQ139" t="s" s="0">
        <v>3692</v>
      </c>
      <c r="BR139" t="s" s="0">
        <v>82</v>
      </c>
      <c r="BS139" t="s" s="0">
        <v>3693</v>
      </c>
      <c r="BT139" t="s" s="276">
        <f>HYPERLINK("https://www.webofscience.com/wos/woscc/full-record/WOS:001452723600001","View Record in Web of Science")</f>
        <v>120</v>
      </c>
      <c r="BU139" t="s" s="0">
        <v>121</v>
      </c>
      <c r="BV139" t="s" s="0">
        <v>82</v>
      </c>
      <c r="BW139" t="s" s="0">
        <v>82</v>
      </c>
      <c r="BX139" t="s" s="0">
        <v>122</v>
      </c>
    </row>
    <row r="140">
      <c r="A140" t="s" s="0">
        <v>78</v>
      </c>
      <c r="B140" t="s" s="0">
        <v>78</v>
      </c>
      <c r="C140" t="s" s="0">
        <v>78</v>
      </c>
      <c r="D140" t="s" s="0">
        <v>78</v>
      </c>
      <c r="E140" t="s" s="0">
        <v>3694</v>
      </c>
      <c r="F140" t="s" s="0">
        <v>3695</v>
      </c>
      <c r="G140" t="s" s="0">
        <v>3696</v>
      </c>
      <c r="H140" t="s" s="0">
        <v>82</v>
      </c>
      <c r="I140" t="s" s="0">
        <v>83</v>
      </c>
      <c r="J140" t="s" s="0">
        <v>3697</v>
      </c>
      <c r="K140" t="s" s="0">
        <v>3698</v>
      </c>
      <c r="L140" t="s" s="0">
        <v>3699</v>
      </c>
      <c r="M140" t="s" s="0">
        <v>3700</v>
      </c>
      <c r="N140" t="s" s="0">
        <v>3701</v>
      </c>
      <c r="O140" t="s" s="0">
        <v>3702</v>
      </c>
      <c r="P140" t="s" s="0">
        <v>3703</v>
      </c>
      <c r="Q140" t="s" s="0">
        <v>91</v>
      </c>
      <c r="R140" t="s" s="0">
        <v>82</v>
      </c>
      <c r="S140" t="s" s="0">
        <v>82</v>
      </c>
      <c r="T140" t="s" s="0">
        <v>82</v>
      </c>
      <c r="U140" t="s" s="0">
        <v>82</v>
      </c>
      <c r="V140" t="s" s="0">
        <v>3704</v>
      </c>
      <c r="W140" t="s" s="0">
        <v>712</v>
      </c>
      <c r="X140" t="s" s="0">
        <v>82</v>
      </c>
      <c r="Y140" t="s" s="0">
        <v>82</v>
      </c>
      <c r="Z140" t="s" s="0">
        <v>94</v>
      </c>
      <c r="AA140" t="s" s="0">
        <v>95</v>
      </c>
      <c r="AB140" t="s" s="0">
        <v>82</v>
      </c>
      <c r="AC140" t="s" s="0">
        <v>82</v>
      </c>
      <c r="AD140" t="s" s="0">
        <v>82</v>
      </c>
      <c r="AE140" t="s" s="0">
        <v>82</v>
      </c>
      <c r="AF140" t="s" s="0">
        <v>82</v>
      </c>
      <c r="AG140" t="s" s="0">
        <v>3705</v>
      </c>
      <c r="AH140" t="s" s="0">
        <v>82</v>
      </c>
      <c r="AI140" t="s" s="0">
        <v>3706</v>
      </c>
      <c r="AJ140" t="s" s="0">
        <v>3707</v>
      </c>
      <c r="AK140" t="s" s="0">
        <v>82</v>
      </c>
      <c r="AL140" t="s" s="0">
        <v>111</v>
      </c>
      <c r="AM140" t="s" s="0">
        <v>101</v>
      </c>
      <c r="AN140" t="s" s="0">
        <v>101</v>
      </c>
      <c r="AO140" t="s" s="0">
        <v>78</v>
      </c>
      <c r="AP140" t="s" s="0">
        <v>78</v>
      </c>
      <c r="AQ140" t="s" s="0">
        <v>600</v>
      </c>
      <c r="AR140" t="s" s="0">
        <v>601</v>
      </c>
      <c r="AS140" t="s" s="0">
        <v>602</v>
      </c>
      <c r="AT140" t="s" s="0">
        <v>718</v>
      </c>
      <c r="AU140" t="s" s="0">
        <v>719</v>
      </c>
      <c r="AV140" t="s" s="0">
        <v>82</v>
      </c>
      <c r="AW140" t="s" s="0">
        <v>720</v>
      </c>
      <c r="AX140" t="s" s="0">
        <v>721</v>
      </c>
      <c r="AY140" t="s" s="0">
        <v>184</v>
      </c>
      <c r="AZ140" t="s" s="0">
        <v>181</v>
      </c>
      <c r="BA140" t="s" s="0">
        <v>3708</v>
      </c>
      <c r="BB140" t="s" s="0">
        <v>375</v>
      </c>
      <c r="BC140" t="s" s="0">
        <v>82</v>
      </c>
      <c r="BD140" t="s" s="0">
        <v>82</v>
      </c>
      <c r="BE140" t="s" s="0">
        <v>82</v>
      </c>
      <c r="BF140" t="s" s="0">
        <v>82</v>
      </c>
      <c r="BG140" t="s" s="0">
        <v>3709</v>
      </c>
      <c r="BH140" t="s" s="0">
        <v>3710</v>
      </c>
      <c r="BI140" t="s" s="0">
        <v>82</v>
      </c>
      <c r="BJ140" t="s" s="0">
        <v>3711</v>
      </c>
      <c r="BK140" t="s" s="277">
        <f>HYPERLINK("http://dx.doi.org/10.1016/j.bja.2025.11.042","http://dx.doi.org/10.1016/j.bja.2025.11.042")</f>
        <v>3712</v>
      </c>
      <c r="BL140" t="s" s="0">
        <v>82</v>
      </c>
      <c r="BM140" t="s" s="0">
        <v>82</v>
      </c>
      <c r="BN140" t="s" s="0">
        <v>137</v>
      </c>
      <c r="BO140" t="s" s="0">
        <v>729</v>
      </c>
      <c r="BP140" t="s" s="0">
        <v>729</v>
      </c>
      <c r="BQ140" t="s" s="0">
        <v>3713</v>
      </c>
      <c r="BR140" t="s" s="0">
        <v>3714</v>
      </c>
      <c r="BS140" t="s" s="0">
        <v>3715</v>
      </c>
      <c r="BT140" t="s" s="278">
        <f>HYPERLINK("https://www.webofscience.com/wos/woscc/full-record/WOS:001790555400001","View Record in Web of Science")</f>
        <v>120</v>
      </c>
      <c r="BU140" t="s" s="0">
        <v>256</v>
      </c>
      <c r="BV140" t="s" s="0">
        <v>82</v>
      </c>
      <c r="BW140" t="s" s="0">
        <v>82</v>
      </c>
      <c r="BX140" t="s" s="0">
        <v>122</v>
      </c>
    </row>
    <row r="141">
      <c r="A141" t="s" s="0">
        <v>78</v>
      </c>
      <c r="B141" t="s" s="0">
        <v>78</v>
      </c>
      <c r="C141" t="s" s="0">
        <v>78</v>
      </c>
      <c r="D141" t="s" s="0">
        <v>78</v>
      </c>
      <c r="E141" t="s" s="0">
        <v>3716</v>
      </c>
      <c r="F141" t="s" s="0">
        <v>3717</v>
      </c>
      <c r="G141" t="s" s="0">
        <v>3718</v>
      </c>
      <c r="H141" t="s" s="0">
        <v>82</v>
      </c>
      <c r="I141" t="s" s="0">
        <v>83</v>
      </c>
      <c r="J141" t="s" s="0">
        <v>3719</v>
      </c>
      <c r="K141" t="s" s="0">
        <v>3720</v>
      </c>
      <c r="L141" t="s" s="0">
        <v>3721</v>
      </c>
      <c r="M141" t="s" s="0">
        <v>3722</v>
      </c>
      <c r="N141" t="s" s="0">
        <v>3723</v>
      </c>
      <c r="O141" t="s" s="0">
        <v>3724</v>
      </c>
      <c r="P141" t="s" s="0">
        <v>3725</v>
      </c>
      <c r="Q141" t="s" s="0">
        <v>91</v>
      </c>
      <c r="R141" t="s" s="0">
        <v>82</v>
      </c>
      <c r="S141" t="s" s="0">
        <v>82</v>
      </c>
      <c r="T141" t="s" s="0">
        <v>82</v>
      </c>
      <c r="U141" t="s" s="0">
        <v>82</v>
      </c>
      <c r="V141" t="s" s="0">
        <v>3726</v>
      </c>
      <c r="W141" t="s" s="0">
        <v>394</v>
      </c>
      <c r="X141" t="s" s="0">
        <v>82</v>
      </c>
      <c r="Y141" t="s" s="0">
        <v>82</v>
      </c>
      <c r="Z141" t="s" s="0">
        <v>94</v>
      </c>
      <c r="AA141" t="s" s="0">
        <v>95</v>
      </c>
      <c r="AB141" t="s" s="0">
        <v>82</v>
      </c>
      <c r="AC141" t="s" s="0">
        <v>82</v>
      </c>
      <c r="AD141" t="s" s="0">
        <v>82</v>
      </c>
      <c r="AE141" t="s" s="0">
        <v>82</v>
      </c>
      <c r="AF141" t="s" s="0">
        <v>82</v>
      </c>
      <c r="AG141" t="s" s="0">
        <v>3727</v>
      </c>
      <c r="AH141" t="s" s="0">
        <v>3728</v>
      </c>
      <c r="AI141" t="s" s="0">
        <v>82</v>
      </c>
      <c r="AJ141" t="s" s="0">
        <v>3729</v>
      </c>
      <c r="AK141" t="s" s="0">
        <v>82</v>
      </c>
      <c r="AL141" t="s" s="0">
        <v>890</v>
      </c>
      <c r="AM141" t="s" s="0">
        <v>447</v>
      </c>
      <c r="AN141" t="s" s="0">
        <v>447</v>
      </c>
      <c r="AO141" t="s" s="0">
        <v>101</v>
      </c>
      <c r="AP141" t="s" s="0">
        <v>101</v>
      </c>
      <c r="AQ141" t="s" s="0">
        <v>400</v>
      </c>
      <c r="AR141" t="s" s="0">
        <v>401</v>
      </c>
      <c r="AS141" t="s" s="0">
        <v>402</v>
      </c>
      <c r="AT141" t="s" s="0">
        <v>403</v>
      </c>
      <c r="AU141" t="s" s="0">
        <v>404</v>
      </c>
      <c r="AV141" t="s" s="0">
        <v>82</v>
      </c>
      <c r="AW141" t="s" s="0">
        <v>405</v>
      </c>
      <c r="AX141" t="s" s="0">
        <v>406</v>
      </c>
      <c r="AY141" t="s" s="0">
        <v>153</v>
      </c>
      <c r="AZ141" t="s" s="0">
        <v>181</v>
      </c>
      <c r="BA141" t="s" s="0">
        <v>3730</v>
      </c>
      <c r="BB141" t="s" s="0">
        <v>82</v>
      </c>
      <c r="BC141" t="s" s="0">
        <v>82</v>
      </c>
      <c r="BD141" t="s" s="0">
        <v>82</v>
      </c>
      <c r="BE141" t="s" s="0">
        <v>82</v>
      </c>
      <c r="BF141" t="s" s="0">
        <v>82</v>
      </c>
      <c r="BG141" t="s" s="0">
        <v>82</v>
      </c>
      <c r="BH141" t="s" s="0">
        <v>82</v>
      </c>
      <c r="BI141" t="s" s="0">
        <v>3731</v>
      </c>
      <c r="BJ141" t="s" s="0">
        <v>3732</v>
      </c>
      <c r="BK141" t="s" s="279">
        <f>HYPERLINK("http://dx.doi.org/10.1016/j.ejrad.2026.112695","http://dx.doi.org/10.1016/j.ejrad.2026.112695")</f>
        <v>3733</v>
      </c>
      <c r="BL141" t="s" s="0">
        <v>82</v>
      </c>
      <c r="BM141" t="s" s="0">
        <v>2302</v>
      </c>
      <c r="BN141" t="s" s="0">
        <v>137</v>
      </c>
      <c r="BO141" t="s" s="0">
        <v>414</v>
      </c>
      <c r="BP141" t="s" s="0">
        <v>414</v>
      </c>
      <c r="BQ141" t="s" s="0">
        <v>3734</v>
      </c>
      <c r="BR141" t="s" s="0">
        <v>3735</v>
      </c>
      <c r="BS141" t="s" s="0">
        <v>3736</v>
      </c>
      <c r="BT141" t="s" s="280">
        <f>HYPERLINK("https://www.webofscience.com/wos/woscc/full-record/WOS:001677700700001","View Record in Web of Science")</f>
        <v>120</v>
      </c>
      <c r="BU141" t="s" s="0">
        <v>82</v>
      </c>
      <c r="BV141" t="s" s="0">
        <v>82</v>
      </c>
      <c r="BW141" t="s" s="0">
        <v>82</v>
      </c>
      <c r="BX141" t="s" s="0">
        <v>122</v>
      </c>
    </row>
    <row r="142">
      <c r="A142" t="s" s="0">
        <v>78</v>
      </c>
      <c r="B142" t="s" s="0">
        <v>78</v>
      </c>
      <c r="C142" t="s" s="0">
        <v>101</v>
      </c>
      <c r="D142" t="s" s="0">
        <v>78</v>
      </c>
      <c r="E142" t="s" s="0">
        <v>3737</v>
      </c>
      <c r="F142" t="s" s="0">
        <v>3738</v>
      </c>
      <c r="G142" t="s" s="0">
        <v>3739</v>
      </c>
      <c r="H142" t="s" s="0">
        <v>82</v>
      </c>
      <c r="I142" t="s" s="0">
        <v>589</v>
      </c>
      <c r="J142" t="s" s="0">
        <v>3740</v>
      </c>
      <c r="K142" t="s" s="0">
        <v>1880</v>
      </c>
      <c r="L142" t="s" s="0">
        <v>3741</v>
      </c>
      <c r="M142" t="s" s="0">
        <v>3742</v>
      </c>
      <c r="N142" t="s" s="0">
        <v>3743</v>
      </c>
      <c r="O142" t="s" s="0">
        <v>3744</v>
      </c>
      <c r="P142" t="s" s="0">
        <v>3745</v>
      </c>
      <c r="Q142" t="s" s="0">
        <v>91</v>
      </c>
      <c r="R142" t="s" s="0">
        <v>82</v>
      </c>
      <c r="S142" t="s" s="0">
        <v>82</v>
      </c>
      <c r="T142" t="s" s="0">
        <v>82</v>
      </c>
      <c r="U142" t="s" s="0">
        <v>82</v>
      </c>
      <c r="V142" t="s" s="0">
        <v>3746</v>
      </c>
      <c r="W142" t="s" s="0">
        <v>3747</v>
      </c>
      <c r="X142" t="s" s="0">
        <v>82</v>
      </c>
      <c r="Y142" t="s" s="0">
        <v>82</v>
      </c>
      <c r="Z142" t="s" s="0">
        <v>94</v>
      </c>
      <c r="AA142" t="s" s="0">
        <v>95</v>
      </c>
      <c r="AB142" t="s" s="0">
        <v>82</v>
      </c>
      <c r="AC142" t="s" s="0">
        <v>82</v>
      </c>
      <c r="AD142" t="s" s="0">
        <v>82</v>
      </c>
      <c r="AE142" t="s" s="0">
        <v>82</v>
      </c>
      <c r="AF142" t="s" s="0">
        <v>82</v>
      </c>
      <c r="AG142" t="s" s="0">
        <v>3748</v>
      </c>
      <c r="AH142" t="s" s="0">
        <v>3749</v>
      </c>
      <c r="AI142" t="s" s="0">
        <v>3750</v>
      </c>
      <c r="AJ142" t="s" s="0">
        <v>3615</v>
      </c>
      <c r="AK142" t="s" s="0">
        <v>82</v>
      </c>
      <c r="AL142" t="s" s="0">
        <v>1658</v>
      </c>
      <c r="AM142" t="s" s="0">
        <v>149</v>
      </c>
      <c r="AN142" t="s" s="0">
        <v>115</v>
      </c>
      <c r="AO142" t="s" s="0">
        <v>101</v>
      </c>
      <c r="AP142" t="s" s="0">
        <v>640</v>
      </c>
      <c r="AQ142" t="s" s="0">
        <v>491</v>
      </c>
      <c r="AR142" t="s" s="0">
        <v>492</v>
      </c>
      <c r="AS142" t="s" s="0">
        <v>493</v>
      </c>
      <c r="AT142" t="s" s="0">
        <v>3751</v>
      </c>
      <c r="AU142" t="s" s="0">
        <v>3752</v>
      </c>
      <c r="AV142" t="s" s="0">
        <v>82</v>
      </c>
      <c r="AW142" t="s" s="0">
        <v>3753</v>
      </c>
      <c r="AX142" t="s" s="0">
        <v>3754</v>
      </c>
      <c r="AY142" t="s" s="0">
        <v>3755</v>
      </c>
      <c r="AZ142" t="s" s="0">
        <v>110</v>
      </c>
      <c r="BA142" t="s" s="0">
        <v>548</v>
      </c>
      <c r="BB142" t="s" s="0">
        <v>375</v>
      </c>
      <c r="BC142" t="s" s="0">
        <v>82</v>
      </c>
      <c r="BD142" t="s" s="0">
        <v>82</v>
      </c>
      <c r="BE142" t="s" s="0">
        <v>82</v>
      </c>
      <c r="BF142" t="s" s="0">
        <v>82</v>
      </c>
      <c r="BG142" t="s" s="0">
        <v>3756</v>
      </c>
      <c r="BH142" t="s" s="0">
        <v>3757</v>
      </c>
      <c r="BI142" t="s" s="0">
        <v>82</v>
      </c>
      <c r="BJ142" t="s" s="0">
        <v>3758</v>
      </c>
      <c r="BK142" t="s" s="281">
        <f>HYPERLINK("http://dx.doi.org/10.1093/jamia/ocae088","http://dx.doi.org/10.1093/jamia/ocae088")</f>
        <v>3759</v>
      </c>
      <c r="BL142" t="s" s="0">
        <v>82</v>
      </c>
      <c r="BM142" t="s" s="0">
        <v>668</v>
      </c>
      <c r="BN142" t="s" s="0">
        <v>319</v>
      </c>
      <c r="BO142" t="s" s="0">
        <v>3760</v>
      </c>
      <c r="BP142" t="s" s="0">
        <v>3761</v>
      </c>
      <c r="BQ142" t="s" s="0">
        <v>3762</v>
      </c>
      <c r="BR142" t="s" s="0">
        <v>3763</v>
      </c>
      <c r="BS142" t="s" s="0">
        <v>3764</v>
      </c>
      <c r="BT142" t="s" s="282">
        <f>HYPERLINK("https://www.webofscience.com/wos/woscc/full-record/WOS:001209033200001","View Record in Web of Science")</f>
        <v>120</v>
      </c>
      <c r="BU142" t="s" s="0">
        <v>1265</v>
      </c>
      <c r="BV142" t="s" s="0">
        <v>82</v>
      </c>
      <c r="BW142" t="s" s="0">
        <v>82</v>
      </c>
      <c r="BX142" t="s" s="0">
        <v>122</v>
      </c>
    </row>
    <row r="143">
      <c r="A143" t="s" s="0">
        <v>78</v>
      </c>
      <c r="B143" t="s" s="0">
        <v>78</v>
      </c>
      <c r="C143" t="s" s="0">
        <v>78</v>
      </c>
      <c r="D143" t="s" s="0">
        <v>78</v>
      </c>
      <c r="E143" t="s" s="0">
        <v>3765</v>
      </c>
      <c r="F143" t="s" s="0">
        <v>3766</v>
      </c>
      <c r="G143" t="s" s="0">
        <v>3767</v>
      </c>
      <c r="H143" t="s" s="0">
        <v>82</v>
      </c>
      <c r="I143" t="s" s="0">
        <v>83</v>
      </c>
      <c r="J143" t="s" s="0">
        <v>3768</v>
      </c>
      <c r="K143" t="s" s="0">
        <v>3769</v>
      </c>
      <c r="L143" t="s" s="0">
        <v>82</v>
      </c>
      <c r="M143" t="s" s="0">
        <v>82</v>
      </c>
      <c r="N143" t="s" s="0">
        <v>82</v>
      </c>
      <c r="O143" t="s" s="0">
        <v>3770</v>
      </c>
      <c r="P143" t="s" s="0">
        <v>3771</v>
      </c>
      <c r="Q143" t="s" s="0">
        <v>91</v>
      </c>
      <c r="R143" t="s" s="0">
        <v>82</v>
      </c>
      <c r="S143" t="s" s="0">
        <v>82</v>
      </c>
      <c r="T143" t="s" s="0">
        <v>82</v>
      </c>
      <c r="U143" t="s" s="0">
        <v>82</v>
      </c>
      <c r="V143" t="s" s="0">
        <v>3772</v>
      </c>
      <c r="W143" t="s" s="0">
        <v>3773</v>
      </c>
      <c r="X143" t="s" s="0">
        <v>82</v>
      </c>
      <c r="Y143" t="s" s="0">
        <v>82</v>
      </c>
      <c r="Z143" t="s" s="0">
        <v>94</v>
      </c>
      <c r="AA143" t="s" s="0">
        <v>95</v>
      </c>
      <c r="AB143" t="s" s="0">
        <v>82</v>
      </c>
      <c r="AC143" t="s" s="0">
        <v>82</v>
      </c>
      <c r="AD143" t="s" s="0">
        <v>82</v>
      </c>
      <c r="AE143" t="s" s="0">
        <v>82</v>
      </c>
      <c r="AF143" t="s" s="0">
        <v>82</v>
      </c>
      <c r="AG143" t="s" s="0">
        <v>3774</v>
      </c>
      <c r="AH143" t="s" s="0">
        <v>82</v>
      </c>
      <c r="AI143" t="s" s="0">
        <v>3775</v>
      </c>
      <c r="AJ143" t="s" s="0">
        <v>82</v>
      </c>
      <c r="AK143" t="s" s="0">
        <v>82</v>
      </c>
      <c r="AL143" t="s" s="0">
        <v>349</v>
      </c>
      <c r="AM143" t="s" s="0">
        <v>78</v>
      </c>
      <c r="AN143" t="s" s="0">
        <v>78</v>
      </c>
      <c r="AO143" t="s" s="0">
        <v>101</v>
      </c>
      <c r="AP143" t="s" s="0">
        <v>101</v>
      </c>
      <c r="AQ143" t="s" s="0">
        <v>3776</v>
      </c>
      <c r="AR143" t="s" s="0">
        <v>3777</v>
      </c>
      <c r="AS143" t="s" s="0">
        <v>3778</v>
      </c>
      <c r="AT143" t="s" s="0">
        <v>3779</v>
      </c>
      <c r="AU143" t="s" s="0">
        <v>3780</v>
      </c>
      <c r="AV143" t="s" s="0">
        <v>82</v>
      </c>
      <c r="AW143" t="s" s="0">
        <v>3773</v>
      </c>
      <c r="AX143" t="s" s="0">
        <v>3781</v>
      </c>
      <c r="AY143" t="s" s="0">
        <v>1003</v>
      </c>
      <c r="AZ143" t="s" s="0">
        <v>181</v>
      </c>
      <c r="BA143" t="s" s="0">
        <v>148</v>
      </c>
      <c r="BB143" t="s" s="0">
        <v>319</v>
      </c>
      <c r="BC143" t="s" s="0">
        <v>82</v>
      </c>
      <c r="BD143" t="s" s="0">
        <v>82</v>
      </c>
      <c r="BE143" t="s" s="0">
        <v>82</v>
      </c>
      <c r="BF143" t="s" s="0">
        <v>82</v>
      </c>
      <c r="BG143" t="s" s="0">
        <v>3782</v>
      </c>
      <c r="BH143" t="s" s="0">
        <v>3783</v>
      </c>
      <c r="BI143" t="s" s="0">
        <v>82</v>
      </c>
      <c r="BJ143" t="s" s="0">
        <v>3784</v>
      </c>
      <c r="BK143" t="s" s="283">
        <f>HYPERLINK("http://dx.doi.org/10.4244/EIJ-D-25-01352","http://dx.doi.org/10.4244/EIJ-D-25-01352")</f>
        <v>3785</v>
      </c>
      <c r="BL143" t="s" s="0">
        <v>82</v>
      </c>
      <c r="BM143" t="s" s="0">
        <v>82</v>
      </c>
      <c r="BN143" t="s" s="0">
        <v>319</v>
      </c>
      <c r="BO143" t="s" s="0">
        <v>503</v>
      </c>
      <c r="BP143" t="s" s="0">
        <v>504</v>
      </c>
      <c r="BQ143" t="s" s="0">
        <v>3786</v>
      </c>
      <c r="BR143" t="s" s="0">
        <v>3787</v>
      </c>
      <c r="BS143" t="s" s="0">
        <v>3788</v>
      </c>
      <c r="BT143" t="s" s="284">
        <f>HYPERLINK("https://www.webofscience.com/wos/woscc/full-record/WOS:001786335800005","View Record in Web of Science")</f>
        <v>120</v>
      </c>
      <c r="BU143" t="s" s="0">
        <v>1265</v>
      </c>
      <c r="BV143" t="s" s="0">
        <v>82</v>
      </c>
      <c r="BW143" t="s" s="0">
        <v>82</v>
      </c>
      <c r="BX143" t="s" s="0">
        <v>122</v>
      </c>
    </row>
    <row r="144">
      <c r="A144" t="s" s="0">
        <v>78</v>
      </c>
      <c r="B144" t="s" s="0">
        <v>78</v>
      </c>
      <c r="C144" t="s" s="0">
        <v>138</v>
      </c>
      <c r="D144" t="s" s="0">
        <v>78</v>
      </c>
      <c r="E144" t="s" s="0">
        <v>3789</v>
      </c>
      <c r="F144" t="s" s="0">
        <v>3790</v>
      </c>
      <c r="G144" t="s" s="0">
        <v>3791</v>
      </c>
      <c r="H144" t="s" s="0">
        <v>82</v>
      </c>
      <c r="I144" t="s" s="0">
        <v>83</v>
      </c>
      <c r="J144" t="s" s="0">
        <v>3792</v>
      </c>
      <c r="K144" t="s" s="0">
        <v>3793</v>
      </c>
      <c r="L144" t="s" s="0">
        <v>82</v>
      </c>
      <c r="M144" t="s" s="0">
        <v>82</v>
      </c>
      <c r="N144" t="s" s="0">
        <v>82</v>
      </c>
      <c r="O144" t="s" s="0">
        <v>3794</v>
      </c>
      <c r="P144" t="s" s="0">
        <v>3795</v>
      </c>
      <c r="Q144" t="s" s="0">
        <v>91</v>
      </c>
      <c r="R144" t="s" s="0">
        <v>82</v>
      </c>
      <c r="S144" t="s" s="0">
        <v>82</v>
      </c>
      <c r="T144" t="s" s="0">
        <v>82</v>
      </c>
      <c r="U144" t="s" s="0">
        <v>82</v>
      </c>
      <c r="V144" t="s" s="0">
        <v>3796</v>
      </c>
      <c r="W144" t="s" s="0">
        <v>3797</v>
      </c>
      <c r="X144" t="s" s="0">
        <v>82</v>
      </c>
      <c r="Y144" t="s" s="0">
        <v>82</v>
      </c>
      <c r="Z144" t="s" s="0">
        <v>94</v>
      </c>
      <c r="AA144" t="s" s="0">
        <v>95</v>
      </c>
      <c r="AB144" t="s" s="0">
        <v>82</v>
      </c>
      <c r="AC144" t="s" s="0">
        <v>82</v>
      </c>
      <c r="AD144" t="s" s="0">
        <v>82</v>
      </c>
      <c r="AE144" t="s" s="0">
        <v>82</v>
      </c>
      <c r="AF144" t="s" s="0">
        <v>82</v>
      </c>
      <c r="AG144" t="s" s="0">
        <v>3798</v>
      </c>
      <c r="AH144" t="s" s="0">
        <v>3799</v>
      </c>
      <c r="AI144" t="s" s="0">
        <v>82</v>
      </c>
      <c r="AJ144" t="s" s="0">
        <v>3800</v>
      </c>
      <c r="AK144" t="s" s="0">
        <v>82</v>
      </c>
      <c r="AL144" t="s" s="0">
        <v>1780</v>
      </c>
      <c r="AM144" t="s" s="0">
        <v>1780</v>
      </c>
      <c r="AN144" t="s" s="0">
        <v>273</v>
      </c>
      <c r="AO144" t="s" s="0">
        <v>77</v>
      </c>
      <c r="AP144" t="s" s="0">
        <v>640</v>
      </c>
      <c r="AQ144" t="s" s="0">
        <v>202</v>
      </c>
      <c r="AR144" t="s" s="0">
        <v>203</v>
      </c>
      <c r="AS144" t="s" s="0">
        <v>204</v>
      </c>
      <c r="AT144" t="s" s="0">
        <v>3801</v>
      </c>
      <c r="AU144" t="s" s="0">
        <v>3802</v>
      </c>
      <c r="AV144" t="s" s="0">
        <v>82</v>
      </c>
      <c r="AW144" t="s" s="0">
        <v>3803</v>
      </c>
      <c r="AX144" t="s" s="0">
        <v>3804</v>
      </c>
      <c r="AY144" t="s" s="0">
        <v>3805</v>
      </c>
      <c r="AZ144" t="s" s="0">
        <v>525</v>
      </c>
      <c r="BA144" t="s" s="0">
        <v>399</v>
      </c>
      <c r="BB144" t="s" s="0">
        <v>102</v>
      </c>
      <c r="BC144" t="s" s="0">
        <v>82</v>
      </c>
      <c r="BD144" t="s" s="0">
        <v>82</v>
      </c>
      <c r="BE144" t="s" s="0">
        <v>82</v>
      </c>
      <c r="BF144" t="s" s="0">
        <v>82</v>
      </c>
      <c r="BG144" t="s" s="0">
        <v>3806</v>
      </c>
      <c r="BH144" t="s" s="0">
        <v>3807</v>
      </c>
      <c r="BI144" t="s" s="0">
        <v>82</v>
      </c>
      <c r="BJ144" t="s" s="0">
        <v>3808</v>
      </c>
      <c r="BK144" t="s" s="285">
        <f>HYPERLINK("http://dx.doi.org/10.1016/j.acra.2019.12.012","http://dx.doi.org/10.1016/j.acra.2019.12.012")</f>
        <v>3809</v>
      </c>
      <c r="BL144" t="s" s="0">
        <v>82</v>
      </c>
      <c r="BM144" t="s" s="0">
        <v>1071</v>
      </c>
      <c r="BN144" t="s" s="0">
        <v>375</v>
      </c>
      <c r="BO144" t="s" s="0">
        <v>414</v>
      </c>
      <c r="BP144" t="s" s="0">
        <v>414</v>
      </c>
      <c r="BQ144" t="s" s="0">
        <v>3810</v>
      </c>
      <c r="BR144" t="s" s="0">
        <v>3811</v>
      </c>
      <c r="BS144" t="s" s="0">
        <v>3812</v>
      </c>
      <c r="BT144" t="s" s="286">
        <f>HYPERLINK("https://www.webofscience.com/wos/woscc/full-record/WOS:000645627000008","View Record in Web of Science")</f>
        <v>120</v>
      </c>
      <c r="BU144" t="s" s="0">
        <v>82</v>
      </c>
      <c r="BV144" t="s" s="0">
        <v>82</v>
      </c>
      <c r="BW144" t="s" s="0">
        <v>82</v>
      </c>
      <c r="BX144" t="s" s="0">
        <v>122</v>
      </c>
    </row>
    <row r="145">
      <c r="A145" t="s" s="0">
        <v>78</v>
      </c>
      <c r="B145" t="s" s="0">
        <v>78</v>
      </c>
      <c r="C145" t="s" s="0">
        <v>221</v>
      </c>
      <c r="D145" t="s" s="0">
        <v>78</v>
      </c>
      <c r="E145" t="s" s="0">
        <v>3813</v>
      </c>
      <c r="F145" t="s" s="0">
        <v>3814</v>
      </c>
      <c r="G145" t="s" s="0">
        <v>3815</v>
      </c>
      <c r="H145" t="s" s="0">
        <v>82</v>
      </c>
      <c r="I145" t="s" s="0">
        <v>83</v>
      </c>
      <c r="J145" t="s" s="0">
        <v>3816</v>
      </c>
      <c r="K145" t="s" s="0">
        <v>3817</v>
      </c>
      <c r="L145" t="s" s="0">
        <v>3818</v>
      </c>
      <c r="M145" t="s" s="0">
        <v>3819</v>
      </c>
      <c r="N145" t="s" s="0">
        <v>3820</v>
      </c>
      <c r="O145" t="s" s="0">
        <v>3821</v>
      </c>
      <c r="P145" t="s" s="0">
        <v>3822</v>
      </c>
      <c r="Q145" t="s" s="0">
        <v>91</v>
      </c>
      <c r="R145" t="s" s="0">
        <v>82</v>
      </c>
      <c r="S145" t="s" s="0">
        <v>82</v>
      </c>
      <c r="T145" t="s" s="0">
        <v>82</v>
      </c>
      <c r="U145" t="s" s="0">
        <v>82</v>
      </c>
      <c r="V145" t="s" s="0">
        <v>3823</v>
      </c>
      <c r="W145" t="s" s="0">
        <v>3637</v>
      </c>
      <c r="X145" t="s" s="0">
        <v>82</v>
      </c>
      <c r="Y145" t="s" s="0">
        <v>82</v>
      </c>
      <c r="Z145" t="s" s="0">
        <v>94</v>
      </c>
      <c r="AA145" t="s" s="0">
        <v>95</v>
      </c>
      <c r="AB145" t="s" s="0">
        <v>82</v>
      </c>
      <c r="AC145" t="s" s="0">
        <v>82</v>
      </c>
      <c r="AD145" t="s" s="0">
        <v>82</v>
      </c>
      <c r="AE145" t="s" s="0">
        <v>82</v>
      </c>
      <c r="AF145" t="s" s="0">
        <v>82</v>
      </c>
      <c r="AG145" t="s" s="0">
        <v>82</v>
      </c>
      <c r="AH145" t="s" s="0">
        <v>82</v>
      </c>
      <c r="AI145" t="s" s="0">
        <v>3824</v>
      </c>
      <c r="AJ145" t="s" s="0">
        <v>3825</v>
      </c>
      <c r="AK145" t="s" s="0">
        <v>82</v>
      </c>
      <c r="AL145" t="s" s="0">
        <v>831</v>
      </c>
      <c r="AM145" t="s" s="0">
        <v>323</v>
      </c>
      <c r="AN145" t="s" s="0">
        <v>640</v>
      </c>
      <c r="AO145" t="s" s="0">
        <v>78</v>
      </c>
      <c r="AP145" t="s" s="0">
        <v>375</v>
      </c>
      <c r="AQ145" t="s" s="0">
        <v>633</v>
      </c>
      <c r="AR145" t="s" s="0">
        <v>634</v>
      </c>
      <c r="AS145" t="s" s="0">
        <v>635</v>
      </c>
      <c r="AT145" t="s" s="0">
        <v>3642</v>
      </c>
      <c r="AU145" t="s" s="0">
        <v>82</v>
      </c>
      <c r="AV145" t="s" s="0">
        <v>82</v>
      </c>
      <c r="AW145" t="s" s="0">
        <v>3643</v>
      </c>
      <c r="AX145" t="s" s="0">
        <v>3644</v>
      </c>
      <c r="AY145" t="s" s="0">
        <v>3826</v>
      </c>
      <c r="AZ145" t="s" s="0">
        <v>408</v>
      </c>
      <c r="BA145" t="s" s="0">
        <v>149</v>
      </c>
      <c r="BB145" t="s" s="0">
        <v>77</v>
      </c>
      <c r="BC145" t="s" s="0">
        <v>82</v>
      </c>
      <c r="BD145" t="s" s="0">
        <v>82</v>
      </c>
      <c r="BE145" t="s" s="0">
        <v>82</v>
      </c>
      <c r="BF145" t="s" s="0">
        <v>82</v>
      </c>
      <c r="BG145" t="s" s="0">
        <v>82</v>
      </c>
      <c r="BH145" t="s" s="0">
        <v>82</v>
      </c>
      <c r="BI145" t="s" s="0">
        <v>3827</v>
      </c>
      <c r="BJ145" t="s" s="0">
        <v>3828</v>
      </c>
      <c r="BK145" t="s" s="287">
        <f>HYPERLINK("http://dx.doi.org/10.1038/s41598-022-05282-z","http://dx.doi.org/10.1038/s41598-022-05282-z")</f>
        <v>3829</v>
      </c>
      <c r="BL145" t="s" s="0">
        <v>82</v>
      </c>
      <c r="BM145" t="s" s="0">
        <v>82</v>
      </c>
      <c r="BN145" t="s" s="0">
        <v>138</v>
      </c>
      <c r="BO145" t="s" s="0">
        <v>644</v>
      </c>
      <c r="BP145" t="s" s="0">
        <v>645</v>
      </c>
      <c r="BQ145" t="s" s="0">
        <v>3830</v>
      </c>
      <c r="BR145" t="s" s="0">
        <v>3831</v>
      </c>
      <c r="BS145" t="s" s="0">
        <v>3832</v>
      </c>
      <c r="BT145" t="s" s="288">
        <f>HYPERLINK("https://www.webofscience.com/wos/woscc/full-record/WOS:000746700700020","View Record in Web of Science")</f>
        <v>120</v>
      </c>
      <c r="BU145" t="s" s="0">
        <v>121</v>
      </c>
      <c r="BV145" t="s" s="0">
        <v>82</v>
      </c>
      <c r="BW145" t="s" s="0">
        <v>82</v>
      </c>
      <c r="BX145" t="s" s="0">
        <v>122</v>
      </c>
    </row>
    <row r="146">
      <c r="A146" t="s" s="0">
        <v>78</v>
      </c>
      <c r="B146" t="s" s="0">
        <v>78</v>
      </c>
      <c r="C146" t="s" s="0">
        <v>78</v>
      </c>
      <c r="D146" t="s" s="0">
        <v>78</v>
      </c>
      <c r="E146" t="s" s="0">
        <v>3833</v>
      </c>
      <c r="F146" t="s" s="0">
        <v>3834</v>
      </c>
      <c r="G146" t="s" s="0">
        <v>3835</v>
      </c>
      <c r="H146" t="s" s="0">
        <v>82</v>
      </c>
      <c r="I146" t="s" s="0">
        <v>83</v>
      </c>
      <c r="J146" t="s" s="0">
        <v>3836</v>
      </c>
      <c r="K146" t="s" s="0">
        <v>3837</v>
      </c>
      <c r="L146" t="s" s="0">
        <v>3838</v>
      </c>
      <c r="M146" t="s" s="0">
        <v>3839</v>
      </c>
      <c r="N146" t="s" s="0">
        <v>3840</v>
      </c>
      <c r="O146" t="s" s="0">
        <v>3841</v>
      </c>
      <c r="P146" t="s" s="0">
        <v>3842</v>
      </c>
      <c r="Q146" t="s" s="0">
        <v>91</v>
      </c>
      <c r="R146" t="s" s="0">
        <v>82</v>
      </c>
      <c r="S146" t="s" s="0">
        <v>82</v>
      </c>
      <c r="T146" t="s" s="0">
        <v>82</v>
      </c>
      <c r="U146" t="s" s="0">
        <v>82</v>
      </c>
      <c r="V146" t="s" s="0">
        <v>3843</v>
      </c>
      <c r="W146" t="s" s="0">
        <v>3637</v>
      </c>
      <c r="X146" t="s" s="0">
        <v>82</v>
      </c>
      <c r="Y146" t="s" s="0">
        <v>82</v>
      </c>
      <c r="Z146" t="s" s="0">
        <v>94</v>
      </c>
      <c r="AA146" t="s" s="0">
        <v>95</v>
      </c>
      <c r="AB146" t="s" s="0">
        <v>82</v>
      </c>
      <c r="AC146" t="s" s="0">
        <v>82</v>
      </c>
      <c r="AD146" t="s" s="0">
        <v>82</v>
      </c>
      <c r="AE146" t="s" s="0">
        <v>82</v>
      </c>
      <c r="AF146" t="s" s="0">
        <v>82</v>
      </c>
      <c r="AG146" t="s" s="0">
        <v>3844</v>
      </c>
      <c r="AH146" t="s" s="0">
        <v>3845</v>
      </c>
      <c r="AI146" t="s" s="0">
        <v>82</v>
      </c>
      <c r="AJ146" t="s" s="0">
        <v>82</v>
      </c>
      <c r="AK146" t="s" s="0">
        <v>82</v>
      </c>
      <c r="AL146" t="s" s="0">
        <v>463</v>
      </c>
      <c r="AM146" t="s" s="0">
        <v>78</v>
      </c>
      <c r="AN146" t="s" s="0">
        <v>78</v>
      </c>
      <c r="AO146" t="s" s="0">
        <v>447</v>
      </c>
      <c r="AP146" t="s" s="0">
        <v>447</v>
      </c>
      <c r="AQ146" t="s" s="0">
        <v>633</v>
      </c>
      <c r="AR146" t="s" s="0">
        <v>634</v>
      </c>
      <c r="AS146" t="s" s="0">
        <v>635</v>
      </c>
      <c r="AT146" t="s" s="0">
        <v>3642</v>
      </c>
      <c r="AU146" t="s" s="0">
        <v>82</v>
      </c>
      <c r="AV146" t="s" s="0">
        <v>82</v>
      </c>
      <c r="AW146" t="s" s="0">
        <v>3643</v>
      </c>
      <c r="AX146" t="s" s="0">
        <v>3644</v>
      </c>
      <c r="AY146" t="s" s="0">
        <v>3846</v>
      </c>
      <c r="AZ146" t="s" s="0">
        <v>147</v>
      </c>
      <c r="BA146" t="s" s="0">
        <v>349</v>
      </c>
      <c r="BB146" t="s" s="0">
        <v>77</v>
      </c>
      <c r="BC146" t="s" s="0">
        <v>82</v>
      </c>
      <c r="BD146" t="s" s="0">
        <v>82</v>
      </c>
      <c r="BE146" t="s" s="0">
        <v>82</v>
      </c>
      <c r="BF146" t="s" s="0">
        <v>82</v>
      </c>
      <c r="BG146" t="s" s="0">
        <v>82</v>
      </c>
      <c r="BH146" t="s" s="0">
        <v>82</v>
      </c>
      <c r="BI146" t="s" s="0">
        <v>3847</v>
      </c>
      <c r="BJ146" t="s" s="0">
        <v>3848</v>
      </c>
      <c r="BK146" t="s" s="289">
        <f>HYPERLINK("http://dx.doi.org/10.1038/s41598-025-24756-4","http://dx.doi.org/10.1038/s41598-025-24756-4")</f>
        <v>3849</v>
      </c>
      <c r="BL146" t="s" s="0">
        <v>82</v>
      </c>
      <c r="BM146" t="s" s="0">
        <v>82</v>
      </c>
      <c r="BN146" t="s" s="0">
        <v>323</v>
      </c>
      <c r="BO146" t="s" s="0">
        <v>644</v>
      </c>
      <c r="BP146" t="s" s="0">
        <v>645</v>
      </c>
      <c r="BQ146" t="s" s="0">
        <v>3850</v>
      </c>
      <c r="BR146" t="s" s="0">
        <v>3851</v>
      </c>
      <c r="BS146" t="s" s="0">
        <v>3852</v>
      </c>
      <c r="BT146" t="s" s="290">
        <f>HYPERLINK("https://www.webofscience.com/wos/woscc/full-record/WOS:001620594700042","View Record in Web of Science")</f>
        <v>120</v>
      </c>
      <c r="BU146" t="s" s="0">
        <v>121</v>
      </c>
      <c r="BV146" t="s" s="0">
        <v>82</v>
      </c>
      <c r="BW146" t="s" s="0">
        <v>82</v>
      </c>
      <c r="BX146" t="s" s="0">
        <v>122</v>
      </c>
    </row>
    <row r="147">
      <c r="A147" t="s" s="0">
        <v>78</v>
      </c>
      <c r="B147" t="s" s="0">
        <v>78</v>
      </c>
      <c r="C147" t="s" s="0">
        <v>447</v>
      </c>
      <c r="D147" t="s" s="0">
        <v>78</v>
      </c>
      <c r="E147" t="s" s="0">
        <v>3853</v>
      </c>
      <c r="F147" t="s" s="0">
        <v>3854</v>
      </c>
      <c r="G147" t="s" s="0">
        <v>3855</v>
      </c>
      <c r="H147" t="s" s="0">
        <v>82</v>
      </c>
      <c r="I147" t="s" s="0">
        <v>83</v>
      </c>
      <c r="J147" t="s" s="0">
        <v>3856</v>
      </c>
      <c r="K147" t="s" s="0">
        <v>3857</v>
      </c>
      <c r="L147" t="s" s="0">
        <v>82</v>
      </c>
      <c r="M147" t="s" s="0">
        <v>82</v>
      </c>
      <c r="N147" t="s" s="0">
        <v>82</v>
      </c>
      <c r="O147" t="s" s="0">
        <v>3858</v>
      </c>
      <c r="P147" t="s" s="0">
        <v>3859</v>
      </c>
      <c r="Q147" t="s" s="0">
        <v>91</v>
      </c>
      <c r="R147" t="s" s="0">
        <v>82</v>
      </c>
      <c r="S147" t="s" s="0">
        <v>82</v>
      </c>
      <c r="T147" t="s" s="0">
        <v>82</v>
      </c>
      <c r="U147" t="s" s="0">
        <v>82</v>
      </c>
      <c r="V147" t="s" s="0">
        <v>3860</v>
      </c>
      <c r="W147" t="s" s="0">
        <v>2480</v>
      </c>
      <c r="X147" t="s" s="0">
        <v>82</v>
      </c>
      <c r="Y147" t="s" s="0">
        <v>82</v>
      </c>
      <c r="Z147" t="s" s="0">
        <v>94</v>
      </c>
      <c r="AA147" t="s" s="0">
        <v>95</v>
      </c>
      <c r="AB147" t="s" s="0">
        <v>82</v>
      </c>
      <c r="AC147" t="s" s="0">
        <v>82</v>
      </c>
      <c r="AD147" t="s" s="0">
        <v>82</v>
      </c>
      <c r="AE147" t="s" s="0">
        <v>82</v>
      </c>
      <c r="AF147" t="s" s="0">
        <v>82</v>
      </c>
      <c r="AG147" t="s" s="0">
        <v>3861</v>
      </c>
      <c r="AH147" t="s" s="0">
        <v>3862</v>
      </c>
      <c r="AI147" t="s" s="0">
        <v>82</v>
      </c>
      <c r="AJ147" t="s" s="0">
        <v>82</v>
      </c>
      <c r="AK147" t="s" s="0">
        <v>82</v>
      </c>
      <c r="AL147" t="s" s="0">
        <v>1658</v>
      </c>
      <c r="AM147" t="s" s="0">
        <v>323</v>
      </c>
      <c r="AN147" t="s" s="0">
        <v>349</v>
      </c>
      <c r="AO147" t="s" s="0">
        <v>447</v>
      </c>
      <c r="AP147" t="s" s="0">
        <v>115</v>
      </c>
      <c r="AQ147" t="s" s="0">
        <v>2484</v>
      </c>
      <c r="AR147" t="s" s="0">
        <v>2485</v>
      </c>
      <c r="AS147" t="s" s="0">
        <v>2486</v>
      </c>
      <c r="AT147" t="s" s="0">
        <v>2487</v>
      </c>
      <c r="AU147" t="s" s="0">
        <v>82</v>
      </c>
      <c r="AV147" t="s" s="0">
        <v>82</v>
      </c>
      <c r="AW147" t="s" s="0">
        <v>2488</v>
      </c>
      <c r="AX147" t="s" s="0">
        <v>2489</v>
      </c>
      <c r="AY147" t="s" s="0">
        <v>3863</v>
      </c>
      <c r="AZ147" t="s" s="0">
        <v>147</v>
      </c>
      <c r="BA147" t="s" s="0">
        <v>640</v>
      </c>
      <c r="BB147" t="s" s="0">
        <v>82</v>
      </c>
      <c r="BC147" t="s" s="0">
        <v>82</v>
      </c>
      <c r="BD147" t="s" s="0">
        <v>82</v>
      </c>
      <c r="BE147" t="s" s="0">
        <v>82</v>
      </c>
      <c r="BF147" t="s" s="0">
        <v>82</v>
      </c>
      <c r="BG147" t="s" s="0">
        <v>82</v>
      </c>
      <c r="BH147" t="s" s="0">
        <v>82</v>
      </c>
      <c r="BI147" t="s" s="0">
        <v>3864</v>
      </c>
      <c r="BJ147" t="s" s="0">
        <v>3865</v>
      </c>
      <c r="BK147" t="s" s="291">
        <f>HYPERLINK("http://dx.doi.org/10.3389/fendo.2025.1614657","http://dx.doi.org/10.3389/fendo.2025.1614657")</f>
        <v>3866</v>
      </c>
      <c r="BL147" t="s" s="0">
        <v>82</v>
      </c>
      <c r="BM147" t="s" s="0">
        <v>82</v>
      </c>
      <c r="BN147" t="s" s="0">
        <v>137</v>
      </c>
      <c r="BO147" t="s" s="0">
        <v>697</v>
      </c>
      <c r="BP147" t="s" s="0">
        <v>697</v>
      </c>
      <c r="BQ147" t="s" s="0">
        <v>3867</v>
      </c>
      <c r="BR147" t="s" s="0">
        <v>3868</v>
      </c>
      <c r="BS147" t="s" s="0">
        <v>3869</v>
      </c>
      <c r="BT147" t="s" s="292">
        <f>HYPERLINK("https://www.webofscience.com/wos/woscc/full-record/WOS:001511212400001","View Record in Web of Science")</f>
        <v>120</v>
      </c>
      <c r="BU147" t="s" s="0">
        <v>121</v>
      </c>
      <c r="BV147" t="s" s="0">
        <v>82</v>
      </c>
      <c r="BW147" t="s" s="0">
        <v>82</v>
      </c>
      <c r="BX147" t="s" s="0">
        <v>122</v>
      </c>
    </row>
    <row r="148">
      <c r="A148" t="s" s="0">
        <v>78</v>
      </c>
      <c r="B148" t="s" s="0">
        <v>78</v>
      </c>
      <c r="C148" t="s" s="0">
        <v>78</v>
      </c>
      <c r="D148" t="s" s="0">
        <v>78</v>
      </c>
      <c r="E148" t="s" s="0">
        <v>3870</v>
      </c>
      <c r="F148" t="s" s="0">
        <v>3871</v>
      </c>
      <c r="G148" t="s" s="0">
        <v>3872</v>
      </c>
      <c r="H148" t="s" s="0">
        <v>82</v>
      </c>
      <c r="I148" t="s" s="0">
        <v>83</v>
      </c>
      <c r="J148" t="s" s="0">
        <v>3873</v>
      </c>
      <c r="K148" t="s" s="0">
        <v>3874</v>
      </c>
      <c r="L148" t="s" s="0">
        <v>3875</v>
      </c>
      <c r="M148" t="s" s="0">
        <v>3876</v>
      </c>
      <c r="N148" t="s" s="0">
        <v>3877</v>
      </c>
      <c r="O148" t="s" s="0">
        <v>3878</v>
      </c>
      <c r="P148" t="s" s="0">
        <v>3879</v>
      </c>
      <c r="Q148" t="s" s="0">
        <v>91</v>
      </c>
      <c r="R148" t="s" s="0">
        <v>82</v>
      </c>
      <c r="S148" t="s" s="0">
        <v>82</v>
      </c>
      <c r="T148" t="s" s="0">
        <v>82</v>
      </c>
      <c r="U148" t="s" s="0">
        <v>82</v>
      </c>
      <c r="V148" t="s" s="0">
        <v>3880</v>
      </c>
      <c r="W148" t="s" s="0">
        <v>3565</v>
      </c>
      <c r="X148" t="s" s="0">
        <v>82</v>
      </c>
      <c r="Y148" t="s" s="0">
        <v>82</v>
      </c>
      <c r="Z148" t="s" s="0">
        <v>94</v>
      </c>
      <c r="AA148" t="s" s="0">
        <v>95</v>
      </c>
      <c r="AB148" t="s" s="0">
        <v>82</v>
      </c>
      <c r="AC148" t="s" s="0">
        <v>82</v>
      </c>
      <c r="AD148" t="s" s="0">
        <v>82</v>
      </c>
      <c r="AE148" t="s" s="0">
        <v>82</v>
      </c>
      <c r="AF148" t="s" s="0">
        <v>82</v>
      </c>
      <c r="AG148" t="s" s="0">
        <v>3881</v>
      </c>
      <c r="AH148" t="s" s="0">
        <v>3882</v>
      </c>
      <c r="AI148" t="s" s="0">
        <v>3883</v>
      </c>
      <c r="AJ148" t="s" s="0">
        <v>3884</v>
      </c>
      <c r="AK148" t="s" s="0">
        <v>82</v>
      </c>
      <c r="AL148" t="s" s="0">
        <v>353</v>
      </c>
      <c r="AM148" t="s" s="0">
        <v>447</v>
      </c>
      <c r="AN148" t="s" s="0">
        <v>447</v>
      </c>
      <c r="AO148" t="s" s="0">
        <v>102</v>
      </c>
      <c r="AP148" t="s" s="0">
        <v>375</v>
      </c>
      <c r="AQ148" t="s" s="0">
        <v>2484</v>
      </c>
      <c r="AR148" t="s" s="0">
        <v>2485</v>
      </c>
      <c r="AS148" t="s" s="0">
        <v>2486</v>
      </c>
      <c r="AT148" t="s" s="0">
        <v>82</v>
      </c>
      <c r="AU148" t="s" s="0">
        <v>3568</v>
      </c>
      <c r="AV148" t="s" s="0">
        <v>82</v>
      </c>
      <c r="AW148" t="s" s="0">
        <v>3569</v>
      </c>
      <c r="AX148" t="s" s="0">
        <v>3570</v>
      </c>
      <c r="AY148" t="s" s="0">
        <v>3885</v>
      </c>
      <c r="AZ148" t="s" s="0">
        <v>147</v>
      </c>
      <c r="BA148" t="s" s="0">
        <v>149</v>
      </c>
      <c r="BB148" t="s" s="0">
        <v>82</v>
      </c>
      <c r="BC148" t="s" s="0">
        <v>82</v>
      </c>
      <c r="BD148" t="s" s="0">
        <v>82</v>
      </c>
      <c r="BE148" t="s" s="0">
        <v>82</v>
      </c>
      <c r="BF148" t="s" s="0">
        <v>82</v>
      </c>
      <c r="BG148" t="s" s="0">
        <v>82</v>
      </c>
      <c r="BH148" t="s" s="0">
        <v>82</v>
      </c>
      <c r="BI148" t="s" s="0">
        <v>3886</v>
      </c>
      <c r="BJ148" t="s" s="0">
        <v>3887</v>
      </c>
      <c r="BK148" t="s" s="293">
        <f>HYPERLINK("http://dx.doi.org/10.3389/fmed.2025.1521660","http://dx.doi.org/10.3389/fmed.2025.1521660")</f>
        <v>3888</v>
      </c>
      <c r="BL148" t="s" s="0">
        <v>82</v>
      </c>
      <c r="BM148" t="s" s="0">
        <v>82</v>
      </c>
      <c r="BN148" t="s" s="0">
        <v>138</v>
      </c>
      <c r="BO148" t="s" s="0">
        <v>354</v>
      </c>
      <c r="BP148" t="s" s="0">
        <v>355</v>
      </c>
      <c r="BQ148" t="s" s="0">
        <v>3889</v>
      </c>
      <c r="BR148" t="s" s="0">
        <v>3890</v>
      </c>
      <c r="BS148" t="s" s="0">
        <v>3891</v>
      </c>
      <c r="BT148" t="s" s="294">
        <f>HYPERLINK("https://www.webofscience.com/wos/woscc/full-record/WOS:001424918300001","View Record in Web of Science")</f>
        <v>120</v>
      </c>
      <c r="BU148" t="s" s="0">
        <v>121</v>
      </c>
      <c r="BV148" t="s" s="0">
        <v>82</v>
      </c>
      <c r="BW148" t="s" s="0">
        <v>82</v>
      </c>
      <c r="BX148" t="s" s="0">
        <v>122</v>
      </c>
    </row>
    <row r="149">
      <c r="A149" t="s" s="0">
        <v>78</v>
      </c>
      <c r="B149" t="s" s="0">
        <v>78</v>
      </c>
      <c r="C149" t="s" s="0">
        <v>101</v>
      </c>
      <c r="D149" t="s" s="0">
        <v>77</v>
      </c>
      <c r="E149" t="s" s="0">
        <v>3892</v>
      </c>
      <c r="F149" t="s" s="0">
        <v>3893</v>
      </c>
      <c r="G149" t="s" s="0">
        <v>3894</v>
      </c>
      <c r="H149" t="s" s="0">
        <v>82</v>
      </c>
      <c r="I149" t="s" s="0">
        <v>83</v>
      </c>
      <c r="J149" t="s" s="0">
        <v>3895</v>
      </c>
      <c r="K149" t="s" s="0">
        <v>3896</v>
      </c>
      <c r="L149" t="s" s="0">
        <v>3897</v>
      </c>
      <c r="M149" t="s" s="0">
        <v>3897</v>
      </c>
      <c r="N149" t="s" s="0">
        <v>366</v>
      </c>
      <c r="O149" t="s" s="0">
        <v>3898</v>
      </c>
      <c r="P149" t="s" s="0">
        <v>3004</v>
      </c>
      <c r="Q149" t="s" s="0">
        <v>91</v>
      </c>
      <c r="R149" t="s" s="0">
        <v>82</v>
      </c>
      <c r="S149" t="s" s="0">
        <v>82</v>
      </c>
      <c r="T149" t="s" s="0">
        <v>82</v>
      </c>
      <c r="U149" t="s" s="0">
        <v>82</v>
      </c>
      <c r="V149" t="s" s="0">
        <v>3899</v>
      </c>
      <c r="W149" t="s" s="0">
        <v>3900</v>
      </c>
      <c r="X149" t="s" s="0">
        <v>82</v>
      </c>
      <c r="Y149" t="s" s="0">
        <v>82</v>
      </c>
      <c r="Z149" t="s" s="0">
        <v>94</v>
      </c>
      <c r="AA149" t="s" s="0">
        <v>95</v>
      </c>
      <c r="AB149" t="s" s="0">
        <v>82</v>
      </c>
      <c r="AC149" t="s" s="0">
        <v>82</v>
      </c>
      <c r="AD149" t="s" s="0">
        <v>82</v>
      </c>
      <c r="AE149" t="s" s="0">
        <v>82</v>
      </c>
      <c r="AF149" t="s" s="0">
        <v>82</v>
      </c>
      <c r="AG149" t="s" s="0">
        <v>3901</v>
      </c>
      <c r="AH149" t="s" s="0">
        <v>82</v>
      </c>
      <c r="AI149" t="s" s="0">
        <v>3902</v>
      </c>
      <c r="AJ149" t="s" s="0">
        <v>3903</v>
      </c>
      <c r="AK149" t="s" s="0">
        <v>82</v>
      </c>
      <c r="AL149" t="s" s="0">
        <v>1502</v>
      </c>
      <c r="AM149" t="s" s="0">
        <v>1320</v>
      </c>
      <c r="AN149" t="s" s="0">
        <v>148</v>
      </c>
      <c r="AO149" t="s" s="0">
        <v>447</v>
      </c>
      <c r="AP149" t="s" s="0">
        <v>137</v>
      </c>
      <c r="AQ149" t="s" s="0">
        <v>312</v>
      </c>
      <c r="AR149" t="s" s="0">
        <v>313</v>
      </c>
      <c r="AS149" t="s" s="0">
        <v>549</v>
      </c>
      <c r="AT149" t="s" s="0">
        <v>82</v>
      </c>
      <c r="AU149" t="s" s="0">
        <v>3904</v>
      </c>
      <c r="AV149" t="s" s="0">
        <v>82</v>
      </c>
      <c r="AW149" t="s" s="0">
        <v>3900</v>
      </c>
      <c r="AX149" t="s" s="0">
        <v>3905</v>
      </c>
      <c r="AY149" t="s" s="0">
        <v>552</v>
      </c>
      <c r="AZ149" t="s" s="0">
        <v>210</v>
      </c>
      <c r="BA149" t="s" s="0">
        <v>245</v>
      </c>
      <c r="BB149" t="s" s="0">
        <v>137</v>
      </c>
      <c r="BC149" t="s" s="0">
        <v>82</v>
      </c>
      <c r="BD149" t="s" s="0">
        <v>82</v>
      </c>
      <c r="BE149" t="s" s="0">
        <v>82</v>
      </c>
      <c r="BF149" t="s" s="0">
        <v>82</v>
      </c>
      <c r="BG149" t="s" s="0">
        <v>82</v>
      </c>
      <c r="BH149" t="s" s="0">
        <v>82</v>
      </c>
      <c r="BI149" t="s" s="0">
        <v>3906</v>
      </c>
      <c r="BJ149" t="s" s="0">
        <v>3907</v>
      </c>
      <c r="BK149" t="s" s="295">
        <f>HYPERLINK("http://dx.doi.org/10.3390/bioengineering10111333","http://dx.doi.org/10.3390/bioengineering10111333")</f>
        <v>3908</v>
      </c>
      <c r="BL149" t="s" s="0">
        <v>82</v>
      </c>
      <c r="BM149" t="s" s="0">
        <v>82</v>
      </c>
      <c r="BN149" t="s" s="0">
        <v>137</v>
      </c>
      <c r="BO149" t="s" s="0">
        <v>3909</v>
      </c>
      <c r="BP149" t="s" s="0">
        <v>3910</v>
      </c>
      <c r="BQ149" t="s" s="0">
        <v>3911</v>
      </c>
      <c r="BR149" t="s" s="0">
        <v>3912</v>
      </c>
      <c r="BS149" t="s" s="0">
        <v>3913</v>
      </c>
      <c r="BT149" t="s" s="296">
        <f>HYPERLINK("https://www.webofscience.com/wos/woscc/full-record/WOS:001118417100001","View Record in Web of Science")</f>
        <v>120</v>
      </c>
      <c r="BU149" t="s" s="0">
        <v>121</v>
      </c>
      <c r="BV149" t="s" s="0">
        <v>82</v>
      </c>
      <c r="BW149" t="s" s="0">
        <v>82</v>
      </c>
      <c r="BX149" t="s" s="0">
        <v>122</v>
      </c>
    </row>
    <row r="150">
      <c r="A150" t="s" s="0">
        <v>77</v>
      </c>
      <c r="B150" t="s" s="0">
        <v>78</v>
      </c>
      <c r="C150" t="s" s="0">
        <v>78</v>
      </c>
      <c r="D150" t="s" s="0">
        <v>78</v>
      </c>
      <c r="E150" t="s" s="0">
        <v>3914</v>
      </c>
      <c r="F150" t="s" s="0">
        <v>3915</v>
      </c>
      <c r="G150" t="s" s="0">
        <v>3916</v>
      </c>
      <c r="H150" t="s" s="0">
        <v>82</v>
      </c>
      <c r="I150" t="s" s="0">
        <v>83</v>
      </c>
      <c r="J150" t="s" s="0">
        <v>3917</v>
      </c>
      <c r="K150" t="s" s="0">
        <v>3918</v>
      </c>
      <c r="L150" t="s" s="0">
        <v>3919</v>
      </c>
      <c r="M150" t="s" s="0">
        <v>3919</v>
      </c>
      <c r="N150" t="s" s="0">
        <v>3920</v>
      </c>
      <c r="O150" t="s" s="0">
        <v>3921</v>
      </c>
      <c r="P150" t="s" s="0">
        <v>82</v>
      </c>
      <c r="Q150" t="s" s="0">
        <v>91</v>
      </c>
      <c r="R150" t="s" s="0">
        <v>82</v>
      </c>
      <c r="S150" t="s" s="0">
        <v>82</v>
      </c>
      <c r="T150" t="s" s="0">
        <v>82</v>
      </c>
      <c r="U150" t="s" s="0">
        <v>82</v>
      </c>
      <c r="V150" t="s" s="0">
        <v>3922</v>
      </c>
      <c r="W150" t="s" s="0">
        <v>3923</v>
      </c>
      <c r="X150" t="s" s="0">
        <v>82</v>
      </c>
      <c r="Y150" t="s" s="0">
        <v>82</v>
      </c>
      <c r="Z150" t="s" s="0">
        <v>94</v>
      </c>
      <c r="AA150" t="s" s="0">
        <v>95</v>
      </c>
      <c r="AB150" t="s" s="0">
        <v>82</v>
      </c>
      <c r="AC150" t="s" s="0">
        <v>82</v>
      </c>
      <c r="AD150" t="s" s="0">
        <v>82</v>
      </c>
      <c r="AE150" t="s" s="0">
        <v>82</v>
      </c>
      <c r="AF150" t="s" s="0">
        <v>82</v>
      </c>
      <c r="AG150" t="s" s="0">
        <v>3924</v>
      </c>
      <c r="AH150" t="s" s="0">
        <v>3925</v>
      </c>
      <c r="AI150" t="s" s="0">
        <v>3926</v>
      </c>
      <c r="AJ150" t="s" s="0">
        <v>3927</v>
      </c>
      <c r="AK150" t="s" s="0">
        <v>82</v>
      </c>
      <c r="AL150" t="s" s="0">
        <v>1162</v>
      </c>
      <c r="AM150" t="s" s="0">
        <v>447</v>
      </c>
      <c r="AN150" t="s" s="0">
        <v>101</v>
      </c>
      <c r="AO150" t="s" s="0">
        <v>77</v>
      </c>
      <c r="AP150" t="s" s="0">
        <v>323</v>
      </c>
      <c r="AQ150" t="s" s="0">
        <v>103</v>
      </c>
      <c r="AR150" t="s" s="0">
        <v>104</v>
      </c>
      <c r="AS150" t="s" s="0">
        <v>105</v>
      </c>
      <c r="AT150" t="s" s="0">
        <v>3928</v>
      </c>
      <c r="AU150" t="s" s="0">
        <v>82</v>
      </c>
      <c r="AV150" t="s" s="0">
        <v>82</v>
      </c>
      <c r="AW150" t="s" s="0">
        <v>3929</v>
      </c>
      <c r="AX150" t="s" s="0">
        <v>3930</v>
      </c>
      <c r="AY150" t="s" s="0">
        <v>3931</v>
      </c>
      <c r="AZ150" t="s" s="0">
        <v>110</v>
      </c>
      <c r="BA150" t="s" s="0">
        <v>640</v>
      </c>
      <c r="BB150" t="s" s="0">
        <v>77</v>
      </c>
      <c r="BC150" t="s" s="0">
        <v>82</v>
      </c>
      <c r="BD150" t="s" s="0">
        <v>82</v>
      </c>
      <c r="BE150" t="s" s="0">
        <v>82</v>
      </c>
      <c r="BF150" t="s" s="0">
        <v>82</v>
      </c>
      <c r="BG150" t="s" s="0">
        <v>82</v>
      </c>
      <c r="BH150" t="s" s="0">
        <v>82</v>
      </c>
      <c r="BI150" t="s" s="0">
        <v>1164</v>
      </c>
      <c r="BJ150" t="s" s="0">
        <v>3932</v>
      </c>
      <c r="BK150" t="s" s="297">
        <f>HYPERLINK("http://dx.doi.org/10.1186/s13321-024-00914-0","http://dx.doi.org/10.1186/s13321-024-00914-0")</f>
        <v>3933</v>
      </c>
      <c r="BL150" t="s" s="0">
        <v>82</v>
      </c>
      <c r="BM150" t="s" s="0">
        <v>82</v>
      </c>
      <c r="BN150" t="s" s="0">
        <v>154</v>
      </c>
      <c r="BO150" t="s" s="0">
        <v>3934</v>
      </c>
      <c r="BP150" t="s" s="0">
        <v>3935</v>
      </c>
      <c r="BQ150" t="s" s="0">
        <v>3936</v>
      </c>
      <c r="BR150" t="s" s="0">
        <v>3937</v>
      </c>
      <c r="BS150" t="s" s="0">
        <v>3938</v>
      </c>
      <c r="BT150" t="s" s="298">
        <f>HYPERLINK("https://www.webofscience.com/wos/woscc/full-record/WOS:001354761100002","View Record in Web of Science")</f>
        <v>120</v>
      </c>
      <c r="BU150" t="s" s="0">
        <v>121</v>
      </c>
      <c r="BV150" t="s" s="0">
        <v>82</v>
      </c>
      <c r="BW150" t="s" s="0">
        <v>82</v>
      </c>
      <c r="BX150" t="s" s="0">
        <v>122</v>
      </c>
    </row>
    <row r="151">
      <c r="A151" t="s" s="0">
        <v>77</v>
      </c>
      <c r="B151" t="s" s="0">
        <v>78</v>
      </c>
      <c r="C151" t="s" s="0">
        <v>138</v>
      </c>
      <c r="D151" t="s" s="0">
        <v>78</v>
      </c>
      <c r="E151" t="s" s="0">
        <v>3939</v>
      </c>
      <c r="F151" t="s" s="0">
        <v>3940</v>
      </c>
      <c r="G151" t="s" s="0">
        <v>3941</v>
      </c>
      <c r="H151" t="s" s="0">
        <v>82</v>
      </c>
      <c r="I151" t="s" s="0">
        <v>83</v>
      </c>
      <c r="J151" t="s" s="0">
        <v>3942</v>
      </c>
      <c r="K151" t="s" s="0">
        <v>3943</v>
      </c>
      <c r="L151" t="s" s="0">
        <v>3944</v>
      </c>
      <c r="M151" t="s" s="0">
        <v>3945</v>
      </c>
      <c r="N151" t="s" s="0">
        <v>3946</v>
      </c>
      <c r="O151" t="s" s="0">
        <v>3947</v>
      </c>
      <c r="P151" t="s" s="0">
        <v>3948</v>
      </c>
      <c r="Q151" t="s" s="0">
        <v>91</v>
      </c>
      <c r="R151" t="s" s="0">
        <v>82</v>
      </c>
      <c r="S151" t="s" s="0">
        <v>82</v>
      </c>
      <c r="T151" t="s" s="0">
        <v>82</v>
      </c>
      <c r="U151" t="s" s="0">
        <v>82</v>
      </c>
      <c r="V151" t="s" s="0">
        <v>3949</v>
      </c>
      <c r="W151" t="s" s="0">
        <v>3950</v>
      </c>
      <c r="X151" t="s" s="0">
        <v>82</v>
      </c>
      <c r="Y151" t="s" s="0">
        <v>82</v>
      </c>
      <c r="Z151" t="s" s="0">
        <v>94</v>
      </c>
      <c r="AA151" t="s" s="0">
        <v>95</v>
      </c>
      <c r="AB151" t="s" s="0">
        <v>82</v>
      </c>
      <c r="AC151" t="s" s="0">
        <v>82</v>
      </c>
      <c r="AD151" t="s" s="0">
        <v>82</v>
      </c>
      <c r="AE151" t="s" s="0">
        <v>82</v>
      </c>
      <c r="AF151" t="s" s="0">
        <v>82</v>
      </c>
      <c r="AG151" t="s" s="0">
        <v>3951</v>
      </c>
      <c r="AH151" t="s" s="0">
        <v>3952</v>
      </c>
      <c r="AI151" t="s" s="0">
        <v>3953</v>
      </c>
      <c r="AJ151" t="s" s="0">
        <v>3954</v>
      </c>
      <c r="AK151" t="s" s="0">
        <v>82</v>
      </c>
      <c r="AL151" t="s" s="0">
        <v>100</v>
      </c>
      <c r="AM151" t="s" s="0">
        <v>100</v>
      </c>
      <c r="AN151" t="s" s="0">
        <v>829</v>
      </c>
      <c r="AO151" t="s" s="0">
        <v>78</v>
      </c>
      <c r="AP151" t="s" s="0">
        <v>136</v>
      </c>
      <c r="AQ151" t="s" s="0">
        <v>277</v>
      </c>
      <c r="AR151" t="s" s="0">
        <v>278</v>
      </c>
      <c r="AS151" t="s" s="0">
        <v>279</v>
      </c>
      <c r="AT151" t="s" s="0">
        <v>3955</v>
      </c>
      <c r="AU151" t="s" s="0">
        <v>3956</v>
      </c>
      <c r="AV151" t="s" s="0">
        <v>82</v>
      </c>
      <c r="AW151" t="s" s="0">
        <v>3950</v>
      </c>
      <c r="AX151" t="s" s="0">
        <v>3957</v>
      </c>
      <c r="AY151" t="s" s="0">
        <v>1838</v>
      </c>
      <c r="AZ151" t="s" s="0">
        <v>525</v>
      </c>
      <c r="BA151" t="s" s="0">
        <v>2089</v>
      </c>
      <c r="BB151" t="s" s="0">
        <v>375</v>
      </c>
      <c r="BC151" t="s" s="0">
        <v>82</v>
      </c>
      <c r="BD151" t="s" s="0">
        <v>82</v>
      </c>
      <c r="BE151" t="s" s="0">
        <v>82</v>
      </c>
      <c r="BF151" t="s" s="0">
        <v>82</v>
      </c>
      <c r="BG151" t="s" s="0">
        <v>3958</v>
      </c>
      <c r="BH151" t="s" s="0">
        <v>3959</v>
      </c>
      <c r="BI151" t="s" s="0">
        <v>82</v>
      </c>
      <c r="BJ151" t="s" s="0">
        <v>3960</v>
      </c>
      <c r="BK151" t="s" s="299">
        <f>HYPERLINK("http://dx.doi.org/10.1016/j.chest.2020.12.009","http://dx.doi.org/10.1016/j.chest.2020.12.009")</f>
        <v>3961</v>
      </c>
      <c r="BL151" t="s" s="0">
        <v>82</v>
      </c>
      <c r="BM151" t="s" s="0">
        <v>1838</v>
      </c>
      <c r="BN151" t="s" s="0">
        <v>245</v>
      </c>
      <c r="BO151" t="s" s="0">
        <v>3962</v>
      </c>
      <c r="BP151" t="s" s="0">
        <v>3963</v>
      </c>
      <c r="BQ151" t="s" s="0">
        <v>3964</v>
      </c>
      <c r="BR151" t="s" s="0">
        <v>3965</v>
      </c>
      <c r="BS151" t="s" s="0">
        <v>3966</v>
      </c>
      <c r="BT151" t="s" s="300">
        <f>HYPERLINK("https://www.webofscience.com/wos/woscc/full-record/WOS:000660015400049","View Record in Web of Science")</f>
        <v>120</v>
      </c>
      <c r="BU151" t="s" s="0">
        <v>2333</v>
      </c>
      <c r="BV151" t="s" s="0">
        <v>82</v>
      </c>
      <c r="BW151" t="s" s="0">
        <v>82</v>
      </c>
      <c r="BX151" t="s" s="0">
        <v>122</v>
      </c>
    </row>
    <row r="152">
      <c r="A152" t="s" s="0">
        <v>78</v>
      </c>
      <c r="B152" t="s" s="0">
        <v>78</v>
      </c>
      <c r="C152" t="s" s="0">
        <v>78</v>
      </c>
      <c r="D152" t="s" s="0">
        <v>78</v>
      </c>
      <c r="E152" t="s" s="0">
        <v>3967</v>
      </c>
      <c r="F152" t="s" s="0">
        <v>3968</v>
      </c>
      <c r="G152" t="s" s="0">
        <v>3969</v>
      </c>
      <c r="H152" t="s" s="0">
        <v>82</v>
      </c>
      <c r="I152" t="s" s="0">
        <v>83</v>
      </c>
      <c r="J152" t="s" s="0">
        <v>3970</v>
      </c>
      <c r="K152" t="s" s="0">
        <v>3971</v>
      </c>
      <c r="L152" t="s" s="0">
        <v>3972</v>
      </c>
      <c r="M152" t="s" s="0">
        <v>3973</v>
      </c>
      <c r="N152" t="s" s="0">
        <v>3974</v>
      </c>
      <c r="O152" t="s" s="0">
        <v>3975</v>
      </c>
      <c r="P152" t="s" s="0">
        <v>3976</v>
      </c>
      <c r="Q152" t="s" s="0">
        <v>91</v>
      </c>
      <c r="R152" t="s" s="0">
        <v>82</v>
      </c>
      <c r="S152" t="s" s="0">
        <v>82</v>
      </c>
      <c r="T152" t="s" s="0">
        <v>82</v>
      </c>
      <c r="U152" t="s" s="0">
        <v>82</v>
      </c>
      <c r="V152" t="s" s="0">
        <v>3977</v>
      </c>
      <c r="W152" t="s" s="0">
        <v>3978</v>
      </c>
      <c r="X152" t="s" s="0">
        <v>82</v>
      </c>
      <c r="Y152" t="s" s="0">
        <v>82</v>
      </c>
      <c r="Z152" t="s" s="0">
        <v>94</v>
      </c>
      <c r="AA152" t="s" s="0">
        <v>95</v>
      </c>
      <c r="AB152" t="s" s="0">
        <v>82</v>
      </c>
      <c r="AC152" t="s" s="0">
        <v>82</v>
      </c>
      <c r="AD152" t="s" s="0">
        <v>82</v>
      </c>
      <c r="AE152" t="s" s="0">
        <v>82</v>
      </c>
      <c r="AF152" t="s" s="0">
        <v>82</v>
      </c>
      <c r="AG152" t="s" s="0">
        <v>3979</v>
      </c>
      <c r="AH152" t="s" s="0">
        <v>3980</v>
      </c>
      <c r="AI152" t="s" s="0">
        <v>82</v>
      </c>
      <c r="AJ152" t="s" s="0">
        <v>82</v>
      </c>
      <c r="AK152" t="s" s="0">
        <v>82</v>
      </c>
      <c r="AL152" t="s" s="0">
        <v>201</v>
      </c>
      <c r="AM152" t="s" s="0">
        <v>78</v>
      </c>
      <c r="AN152" t="s" s="0">
        <v>78</v>
      </c>
      <c r="AO152" t="s" s="0">
        <v>78</v>
      </c>
      <c r="AP152" t="s" s="0">
        <v>78</v>
      </c>
      <c r="AQ152" t="s" s="0">
        <v>103</v>
      </c>
      <c r="AR152" t="s" s="0">
        <v>104</v>
      </c>
      <c r="AS152" t="s" s="0">
        <v>105</v>
      </c>
      <c r="AT152" t="s" s="0">
        <v>3981</v>
      </c>
      <c r="AU152" t="s" s="0">
        <v>82</v>
      </c>
      <c r="AV152" t="s" s="0">
        <v>82</v>
      </c>
      <c r="AW152" t="s" s="0">
        <v>3982</v>
      </c>
      <c r="AX152" t="s" s="0">
        <v>3983</v>
      </c>
      <c r="AY152" t="s" s="0">
        <v>3984</v>
      </c>
      <c r="AZ152" t="s" s="0">
        <v>181</v>
      </c>
      <c r="BA152" t="s" s="0">
        <v>1161</v>
      </c>
      <c r="BB152" t="s" s="0">
        <v>77</v>
      </c>
      <c r="BC152" t="s" s="0">
        <v>82</v>
      </c>
      <c r="BD152" t="s" s="0">
        <v>82</v>
      </c>
      <c r="BE152" t="s" s="0">
        <v>82</v>
      </c>
      <c r="BF152" t="s" s="0">
        <v>82</v>
      </c>
      <c r="BG152" t="s" s="0">
        <v>82</v>
      </c>
      <c r="BH152" t="s" s="0">
        <v>82</v>
      </c>
      <c r="BI152" t="s" s="0">
        <v>3985</v>
      </c>
      <c r="BJ152" t="s" s="0">
        <v>3986</v>
      </c>
      <c r="BK152" t="s" s="301">
        <f>HYPERLINK("http://dx.doi.org/10.1186/s12916-026-05110-5","http://dx.doi.org/10.1186/s12916-026-05110-5")</f>
        <v>3987</v>
      </c>
      <c r="BL152" t="s" s="0">
        <v>82</v>
      </c>
      <c r="BM152" t="s" s="0">
        <v>82</v>
      </c>
      <c r="BN152" t="s" s="0">
        <v>323</v>
      </c>
      <c r="BO152" t="s" s="0">
        <v>354</v>
      </c>
      <c r="BP152" t="s" s="0">
        <v>355</v>
      </c>
      <c r="BQ152" t="s" s="0">
        <v>3988</v>
      </c>
      <c r="BR152" t="s" s="0">
        <v>3989</v>
      </c>
      <c r="BS152" t="s" s="0">
        <v>3990</v>
      </c>
      <c r="BT152" t="s" s="302">
        <f>HYPERLINK("https://www.webofscience.com/wos/woscc/full-record/WOS:001839031200001","View Record in Web of Science")</f>
        <v>120</v>
      </c>
      <c r="BU152" t="s" s="0">
        <v>121</v>
      </c>
      <c r="BV152" t="s" s="0">
        <v>82</v>
      </c>
      <c r="BW152" t="s" s="0">
        <v>82</v>
      </c>
      <c r="BX152" t="s" s="0">
        <v>122</v>
      </c>
    </row>
    <row r="153">
      <c r="A153" t="s" s="0">
        <v>77</v>
      </c>
      <c r="B153" t="s" s="0">
        <v>78</v>
      </c>
      <c r="C153" t="s" s="0">
        <v>447</v>
      </c>
      <c r="D153" t="s" s="0">
        <v>78</v>
      </c>
      <c r="E153" t="s" s="0">
        <v>3991</v>
      </c>
      <c r="F153" t="s" s="0">
        <v>3992</v>
      </c>
      <c r="G153" t="s" s="0">
        <v>3993</v>
      </c>
      <c r="H153" t="s" s="0">
        <v>82</v>
      </c>
      <c r="I153" t="s" s="0">
        <v>297</v>
      </c>
      <c r="J153" t="s" s="0">
        <v>3994</v>
      </c>
      <c r="K153" t="s" s="0">
        <v>3995</v>
      </c>
      <c r="L153" t="s" s="0">
        <v>3996</v>
      </c>
      <c r="M153" t="s" s="0">
        <v>3996</v>
      </c>
      <c r="N153" t="s" s="0">
        <v>3997</v>
      </c>
      <c r="O153" t="s" s="0">
        <v>3998</v>
      </c>
      <c r="P153" t="s" s="0">
        <v>3999</v>
      </c>
      <c r="Q153" t="s" s="0">
        <v>91</v>
      </c>
      <c r="R153" t="s" s="0">
        <v>82</v>
      </c>
      <c r="S153" t="s" s="0">
        <v>82</v>
      </c>
      <c r="T153" t="s" s="0">
        <v>82</v>
      </c>
      <c r="U153" t="s" s="0">
        <v>82</v>
      </c>
      <c r="V153" t="s" s="0">
        <v>4000</v>
      </c>
      <c r="W153" t="s" s="0">
        <v>4001</v>
      </c>
      <c r="X153" t="s" s="0">
        <v>82</v>
      </c>
      <c r="Y153" t="s" s="0">
        <v>82</v>
      </c>
      <c r="Z153" t="s" s="0">
        <v>94</v>
      </c>
      <c r="AA153" t="s" s="0">
        <v>95</v>
      </c>
      <c r="AB153" t="s" s="0">
        <v>82</v>
      </c>
      <c r="AC153" t="s" s="0">
        <v>82</v>
      </c>
      <c r="AD153" t="s" s="0">
        <v>82</v>
      </c>
      <c r="AE153" t="s" s="0">
        <v>82</v>
      </c>
      <c r="AF153" t="s" s="0">
        <v>82</v>
      </c>
      <c r="AG153" t="s" s="0">
        <v>4002</v>
      </c>
      <c r="AH153" t="s" s="0">
        <v>4003</v>
      </c>
      <c r="AI153" t="s" s="0">
        <v>4004</v>
      </c>
      <c r="AJ153" t="s" s="0">
        <v>4005</v>
      </c>
      <c r="AK153" t="s" s="0">
        <v>82</v>
      </c>
      <c r="AL153" t="s" s="0">
        <v>640</v>
      </c>
      <c r="AM153" t="s" s="0">
        <v>1502</v>
      </c>
      <c r="AN153" t="s" s="0">
        <v>745</v>
      </c>
      <c r="AO153" t="s" s="0">
        <v>78</v>
      </c>
      <c r="AP153" t="s" s="0">
        <v>102</v>
      </c>
      <c r="AQ153" t="s" s="0">
        <v>4006</v>
      </c>
      <c r="AR153" t="s" s="0">
        <v>104</v>
      </c>
      <c r="AS153" t="s" s="0">
        <v>4007</v>
      </c>
      <c r="AT153" t="s" s="0">
        <v>4008</v>
      </c>
      <c r="AU153" t="s" s="0">
        <v>82</v>
      </c>
      <c r="AV153" t="s" s="0">
        <v>82</v>
      </c>
      <c r="AW153" t="s" s="0">
        <v>4009</v>
      </c>
      <c r="AX153" t="s" s="0">
        <v>4010</v>
      </c>
      <c r="AY153" t="s" s="0">
        <v>1716</v>
      </c>
      <c r="AZ153" t="s" s="0">
        <v>408</v>
      </c>
      <c r="BA153" t="s" s="0">
        <v>101</v>
      </c>
      <c r="BB153" t="s" s="0">
        <v>137</v>
      </c>
      <c r="BC153" t="s" s="0">
        <v>82</v>
      </c>
      <c r="BD153" t="s" s="0">
        <v>82</v>
      </c>
      <c r="BE153" t="s" s="0">
        <v>82</v>
      </c>
      <c r="BF153" t="s" s="0">
        <v>82</v>
      </c>
      <c r="BG153" t="s" s="0">
        <v>4011</v>
      </c>
      <c r="BH153" t="s" s="0">
        <v>4012</v>
      </c>
      <c r="BI153" t="s" s="0">
        <v>82</v>
      </c>
      <c r="BJ153" t="s" s="0">
        <v>4013</v>
      </c>
      <c r="BK153" t="s" s="303">
        <f>HYPERLINK("http://dx.doi.org/10.1302/2633-1462.311.BJO-2022-0125.R1","http://dx.doi.org/10.1302/2633-1462.311.BJO-2022-0125.R1")</f>
        <v>4014</v>
      </c>
      <c r="BL153" t="s" s="0">
        <v>82</v>
      </c>
      <c r="BM153" t="s" s="0">
        <v>82</v>
      </c>
      <c r="BN153" t="s" s="0">
        <v>136</v>
      </c>
      <c r="BO153" t="s" s="0">
        <v>2964</v>
      </c>
      <c r="BP153" t="s" s="0">
        <v>2964</v>
      </c>
      <c r="BQ153" t="s" s="0">
        <v>4015</v>
      </c>
      <c r="BR153" t="s" s="0">
        <v>4016</v>
      </c>
      <c r="BS153" t="s" s="0">
        <v>4017</v>
      </c>
      <c r="BT153" t="s" s="304">
        <f>HYPERLINK("https://www.webofscience.com/wos/woscc/full-record/WOS:000910982600004","View Record in Web of Science")</f>
        <v>120</v>
      </c>
      <c r="BU153" t="s" s="0">
        <v>121</v>
      </c>
      <c r="BV153" t="s" s="0">
        <v>82</v>
      </c>
      <c r="BW153" t="s" s="0">
        <v>82</v>
      </c>
      <c r="BX153" t="s" s="0">
        <v>122</v>
      </c>
    </row>
    <row r="154">
      <c r="A154" t="s" s="0">
        <v>78</v>
      </c>
      <c r="B154" t="s" s="0">
        <v>78</v>
      </c>
      <c r="C154" t="s" s="0">
        <v>77</v>
      </c>
      <c r="D154" t="s" s="0">
        <v>78</v>
      </c>
      <c r="E154" t="s" s="0">
        <v>4018</v>
      </c>
      <c r="F154" t="s" s="0">
        <v>4019</v>
      </c>
      <c r="G154" t="s" s="0">
        <v>4020</v>
      </c>
      <c r="H154" t="s" s="0">
        <v>82</v>
      </c>
      <c r="I154" t="s" s="0">
        <v>83</v>
      </c>
      <c r="J154" t="s" s="0">
        <v>4021</v>
      </c>
      <c r="K154" t="s" s="0">
        <v>82</v>
      </c>
      <c r="L154" t="s" s="0">
        <v>82</v>
      </c>
      <c r="M154" t="s" s="0">
        <v>82</v>
      </c>
      <c r="N154" t="s" s="0">
        <v>82</v>
      </c>
      <c r="O154" t="s" s="0">
        <v>4022</v>
      </c>
      <c r="P154" t="s" s="0">
        <v>1106</v>
      </c>
      <c r="Q154" t="s" s="0">
        <v>91</v>
      </c>
      <c r="R154" t="s" s="0">
        <v>82</v>
      </c>
      <c r="S154" t="s" s="0">
        <v>82</v>
      </c>
      <c r="T154" t="s" s="0">
        <v>82</v>
      </c>
      <c r="U154" t="s" s="0">
        <v>82</v>
      </c>
      <c r="V154" t="s" s="0">
        <v>4023</v>
      </c>
      <c r="W154" t="s" s="0">
        <v>4024</v>
      </c>
      <c r="X154" t="s" s="0">
        <v>82</v>
      </c>
      <c r="Y154" t="s" s="0">
        <v>82</v>
      </c>
      <c r="Z154" t="s" s="0">
        <v>94</v>
      </c>
      <c r="AA154" t="s" s="0">
        <v>95</v>
      </c>
      <c r="AB154" t="s" s="0">
        <v>82</v>
      </c>
      <c r="AC154" t="s" s="0">
        <v>82</v>
      </c>
      <c r="AD154" t="s" s="0">
        <v>82</v>
      </c>
      <c r="AE154" t="s" s="0">
        <v>82</v>
      </c>
      <c r="AF154" t="s" s="0">
        <v>82</v>
      </c>
      <c r="AG154" t="s" s="0">
        <v>4025</v>
      </c>
      <c r="AH154" t="s" s="0">
        <v>82</v>
      </c>
      <c r="AI154" t="s" s="0">
        <v>4026</v>
      </c>
      <c r="AJ154" t="s" s="0">
        <v>4027</v>
      </c>
      <c r="AK154" t="s" s="0">
        <v>82</v>
      </c>
      <c r="AL154" t="s" s="0">
        <v>1320</v>
      </c>
      <c r="AM154" t="s" s="0">
        <v>319</v>
      </c>
      <c r="AN154" t="s" s="0">
        <v>245</v>
      </c>
      <c r="AO154" t="s" s="0">
        <v>78</v>
      </c>
      <c r="AP154" t="s" s="0">
        <v>137</v>
      </c>
      <c r="AQ154" t="s" s="0">
        <v>600</v>
      </c>
      <c r="AR154" t="s" s="0">
        <v>601</v>
      </c>
      <c r="AS154" t="s" s="0">
        <v>602</v>
      </c>
      <c r="AT154" t="s" s="0">
        <v>4028</v>
      </c>
      <c r="AU154" t="s" s="0">
        <v>4029</v>
      </c>
      <c r="AV154" t="s" s="0">
        <v>82</v>
      </c>
      <c r="AW154" t="s" s="0">
        <v>4030</v>
      </c>
      <c r="AX154" t="s" s="0">
        <v>4031</v>
      </c>
      <c r="AY154" t="s" s="0">
        <v>4032</v>
      </c>
      <c r="AZ154" t="s" s="0">
        <v>110</v>
      </c>
      <c r="BA154" t="s" s="0">
        <v>4033</v>
      </c>
      <c r="BB154" t="s" s="0">
        <v>82</v>
      </c>
      <c r="BC154" t="s" s="0">
        <v>82</v>
      </c>
      <c r="BD154" t="s" s="0">
        <v>82</v>
      </c>
      <c r="BE154" t="s" s="0">
        <v>82</v>
      </c>
      <c r="BF154" t="s" s="0">
        <v>82</v>
      </c>
      <c r="BG154" t="s" s="0">
        <v>82</v>
      </c>
      <c r="BH154" t="s" s="0">
        <v>82</v>
      </c>
      <c r="BI154" t="s" s="0">
        <v>4034</v>
      </c>
      <c r="BJ154" t="s" s="0">
        <v>4035</v>
      </c>
      <c r="BK154" t="s" s="305">
        <f>HYPERLINK("http://dx.doi.org/10.1016/j.jdent.2024.105228","http://dx.doi.org/10.1016/j.jdent.2024.105228")</f>
        <v>4036</v>
      </c>
      <c r="BL154" t="s" s="0">
        <v>82</v>
      </c>
      <c r="BM154" t="s" s="0">
        <v>1196</v>
      </c>
      <c r="BN154" t="s" s="0">
        <v>375</v>
      </c>
      <c r="BO154" t="s" s="0">
        <v>3202</v>
      </c>
      <c r="BP154" t="s" s="0">
        <v>3202</v>
      </c>
      <c r="BQ154" t="s" s="0">
        <v>4037</v>
      </c>
      <c r="BR154" t="s" s="0">
        <v>4038</v>
      </c>
      <c r="BS154" t="s" s="0">
        <v>4039</v>
      </c>
      <c r="BT154" t="s" s="306">
        <f>HYPERLINK("https://www.webofscience.com/wos/woscc/full-record/WOS:001270564000001","View Record in Web of Science")</f>
        <v>120</v>
      </c>
      <c r="BU154" t="s" s="0">
        <v>256</v>
      </c>
      <c r="BV154" t="s" s="0">
        <v>82</v>
      </c>
      <c r="BW154" t="s" s="0">
        <v>82</v>
      </c>
      <c r="BX154" t="s" s="0">
        <v>122</v>
      </c>
    </row>
    <row r="155">
      <c r="A155" t="s" s="0">
        <v>78</v>
      </c>
      <c r="B155" t="s" s="0">
        <v>78</v>
      </c>
      <c r="C155" t="s" s="0">
        <v>78</v>
      </c>
      <c r="D155" t="s" s="0">
        <v>78</v>
      </c>
      <c r="E155" t="s" s="0">
        <v>4040</v>
      </c>
      <c r="F155" t="s" s="0">
        <v>4041</v>
      </c>
      <c r="G155" t="s" s="0">
        <v>4042</v>
      </c>
      <c r="H155" t="s" s="0">
        <v>82</v>
      </c>
      <c r="I155" t="s" s="0">
        <v>83</v>
      </c>
      <c r="J155" t="s" s="0">
        <v>4043</v>
      </c>
      <c r="K155" t="s" s="0">
        <v>4044</v>
      </c>
      <c r="L155" t="s" s="0">
        <v>4045</v>
      </c>
      <c r="M155" t="s" s="0">
        <v>4046</v>
      </c>
      <c r="N155" t="s" s="0">
        <v>4047</v>
      </c>
      <c r="O155" t="s" s="0">
        <v>4048</v>
      </c>
      <c r="P155" t="s" s="0">
        <v>4049</v>
      </c>
      <c r="Q155" t="s" s="0">
        <v>91</v>
      </c>
      <c r="R155" t="s" s="0">
        <v>82</v>
      </c>
      <c r="S155" t="s" s="0">
        <v>82</v>
      </c>
      <c r="T155" t="s" s="0">
        <v>82</v>
      </c>
      <c r="U155" t="s" s="0">
        <v>82</v>
      </c>
      <c r="V155" t="s" s="0">
        <v>4050</v>
      </c>
      <c r="W155" t="s" s="0">
        <v>1732</v>
      </c>
      <c r="X155" t="s" s="0">
        <v>82</v>
      </c>
      <c r="Y155" t="s" s="0">
        <v>82</v>
      </c>
      <c r="Z155" t="s" s="0">
        <v>94</v>
      </c>
      <c r="AA155" t="s" s="0">
        <v>95</v>
      </c>
      <c r="AB155" t="s" s="0">
        <v>82</v>
      </c>
      <c r="AC155" t="s" s="0">
        <v>82</v>
      </c>
      <c r="AD155" t="s" s="0">
        <v>82</v>
      </c>
      <c r="AE155" t="s" s="0">
        <v>82</v>
      </c>
      <c r="AF155" t="s" s="0">
        <v>82</v>
      </c>
      <c r="AG155" t="s" s="0">
        <v>4051</v>
      </c>
      <c r="AH155" t="s" s="0">
        <v>82</v>
      </c>
      <c r="AI155" t="s" s="0">
        <v>4052</v>
      </c>
      <c r="AJ155" t="s" s="0">
        <v>4053</v>
      </c>
      <c r="AK155" t="s" s="0">
        <v>82</v>
      </c>
      <c r="AL155" t="s" s="0">
        <v>1186</v>
      </c>
      <c r="AM155" t="s" s="0">
        <v>77</v>
      </c>
      <c r="AN155" t="s" s="0">
        <v>77</v>
      </c>
      <c r="AO155" t="s" s="0">
        <v>78</v>
      </c>
      <c r="AP155" t="s" s="0">
        <v>78</v>
      </c>
      <c r="AQ155" t="s" s="0">
        <v>491</v>
      </c>
      <c r="AR155" t="s" s="0">
        <v>492</v>
      </c>
      <c r="AS155" t="s" s="0">
        <v>493</v>
      </c>
      <c r="AT155" t="s" s="0">
        <v>1734</v>
      </c>
      <c r="AU155" t="s" s="0">
        <v>1735</v>
      </c>
      <c r="AV155" t="s" s="0">
        <v>82</v>
      </c>
      <c r="AW155" t="s" s="0">
        <v>1736</v>
      </c>
      <c r="AX155" t="s" s="0">
        <v>1737</v>
      </c>
      <c r="AY155" t="s" s="0">
        <v>3226</v>
      </c>
      <c r="AZ155" t="s" s="0">
        <v>181</v>
      </c>
      <c r="BA155" t="s" s="0">
        <v>974</v>
      </c>
      <c r="BB155" t="s" s="0">
        <v>221</v>
      </c>
      <c r="BC155" t="s" s="0">
        <v>82</v>
      </c>
      <c r="BD155" t="s" s="0">
        <v>82</v>
      </c>
      <c r="BE155" t="s" s="0">
        <v>82</v>
      </c>
      <c r="BF155" t="s" s="0">
        <v>82</v>
      </c>
      <c r="BG155" t="s" s="0">
        <v>82</v>
      </c>
      <c r="BH155" t="s" s="0">
        <v>82</v>
      </c>
      <c r="BI155" t="s" s="0">
        <v>82</v>
      </c>
      <c r="BJ155" t="s" s="0">
        <v>4054</v>
      </c>
      <c r="BK155" t="s" s="307">
        <f>HYPERLINK("http://dx.doi.org/10.1093/dmfr/twag018","http://dx.doi.org/10.1093/dmfr/twag018")</f>
        <v>4055</v>
      </c>
      <c r="BL155" t="s" s="0">
        <v>82</v>
      </c>
      <c r="BM155" t="s" s="0">
        <v>1365</v>
      </c>
      <c r="BN155" t="s" s="0">
        <v>115</v>
      </c>
      <c r="BO155" t="s" s="0">
        <v>1740</v>
      </c>
      <c r="BP155" t="s" s="0">
        <v>1740</v>
      </c>
      <c r="BQ155" t="s" s="0">
        <v>4056</v>
      </c>
      <c r="BR155" t="s" s="0">
        <v>4057</v>
      </c>
      <c r="BS155" t="s" s="0">
        <v>4058</v>
      </c>
      <c r="BT155" t="s" s="308">
        <f>HYPERLINK("https://www.webofscience.com/wos/woscc/full-record/WOS:001743512600001","View Record in Web of Science")</f>
        <v>120</v>
      </c>
      <c r="BU155" t="s" s="0">
        <v>82</v>
      </c>
      <c r="BV155" t="s" s="0">
        <v>82</v>
      </c>
      <c r="BW155" t="s" s="0">
        <v>82</v>
      </c>
      <c r="BX155" t="s" s="0">
        <v>122</v>
      </c>
    </row>
    <row r="156">
      <c r="A156" t="s" s="0">
        <v>78</v>
      </c>
      <c r="B156" t="s" s="0">
        <v>78</v>
      </c>
      <c r="C156" t="s" s="0">
        <v>101</v>
      </c>
      <c r="D156" t="s" s="0">
        <v>77</v>
      </c>
      <c r="E156" t="s" s="0">
        <v>4059</v>
      </c>
      <c r="F156" t="s" s="0">
        <v>4060</v>
      </c>
      <c r="G156" t="s" s="0">
        <v>4061</v>
      </c>
      <c r="H156" t="s" s="0">
        <v>82</v>
      </c>
      <c r="I156" t="s" s="0">
        <v>83</v>
      </c>
      <c r="J156" t="s" s="0">
        <v>4062</v>
      </c>
      <c r="K156" t="s" s="0">
        <v>82</v>
      </c>
      <c r="L156" t="s" s="0">
        <v>82</v>
      </c>
      <c r="M156" t="s" s="0">
        <v>82</v>
      </c>
      <c r="N156" t="s" s="0">
        <v>82</v>
      </c>
      <c r="O156" t="s" s="0">
        <v>4063</v>
      </c>
      <c r="P156" t="s" s="0">
        <v>4064</v>
      </c>
      <c r="Q156" t="s" s="0">
        <v>91</v>
      </c>
      <c r="R156" t="s" s="0">
        <v>82</v>
      </c>
      <c r="S156" t="s" s="0">
        <v>82</v>
      </c>
      <c r="T156" t="s" s="0">
        <v>82</v>
      </c>
      <c r="U156" t="s" s="0">
        <v>82</v>
      </c>
      <c r="V156" t="s" s="0">
        <v>4065</v>
      </c>
      <c r="W156" t="s" s="0">
        <v>4066</v>
      </c>
      <c r="X156" t="s" s="0">
        <v>82</v>
      </c>
      <c r="Y156" t="s" s="0">
        <v>82</v>
      </c>
      <c r="Z156" t="s" s="0">
        <v>94</v>
      </c>
      <c r="AA156" t="s" s="0">
        <v>95</v>
      </c>
      <c r="AB156" t="s" s="0">
        <v>82</v>
      </c>
      <c r="AC156" t="s" s="0">
        <v>82</v>
      </c>
      <c r="AD156" t="s" s="0">
        <v>82</v>
      </c>
      <c r="AE156" t="s" s="0">
        <v>82</v>
      </c>
      <c r="AF156" t="s" s="0">
        <v>82</v>
      </c>
      <c r="AG156" t="s" s="0">
        <v>4067</v>
      </c>
      <c r="AH156" t="s" s="0">
        <v>4068</v>
      </c>
      <c r="AI156" t="s" s="0">
        <v>4069</v>
      </c>
      <c r="AJ156" t="s" s="0">
        <v>82</v>
      </c>
      <c r="AK156" t="s" s="0">
        <v>82</v>
      </c>
      <c r="AL156" t="s" s="0">
        <v>273</v>
      </c>
      <c r="AM156" t="s" s="0">
        <v>273</v>
      </c>
      <c r="AN156" t="s" s="0">
        <v>828</v>
      </c>
      <c r="AO156" t="s" s="0">
        <v>77</v>
      </c>
      <c r="AP156" t="s" s="0">
        <v>221</v>
      </c>
      <c r="AQ156" t="s" s="0">
        <v>4070</v>
      </c>
      <c r="AR156" t="s" s="0">
        <v>833</v>
      </c>
      <c r="AS156" t="s" s="0">
        <v>4071</v>
      </c>
      <c r="AT156" t="s" s="0">
        <v>4072</v>
      </c>
      <c r="AU156" t="s" s="0">
        <v>4073</v>
      </c>
      <c r="AV156" t="s" s="0">
        <v>82</v>
      </c>
      <c r="AW156" t="s" s="0">
        <v>4074</v>
      </c>
      <c r="AX156" t="s" s="0">
        <v>4075</v>
      </c>
      <c r="AY156" t="s" s="0">
        <v>4076</v>
      </c>
      <c r="AZ156" t="s" s="0">
        <v>210</v>
      </c>
      <c r="BA156" t="s" s="0">
        <v>201</v>
      </c>
      <c r="BB156" t="s" s="0">
        <v>245</v>
      </c>
      <c r="BC156" t="s" s="0">
        <v>82</v>
      </c>
      <c r="BD156" t="s" s="0">
        <v>82</v>
      </c>
      <c r="BE156" t="s" s="0">
        <v>82</v>
      </c>
      <c r="BF156" t="s" s="0">
        <v>82</v>
      </c>
      <c r="BG156" t="s" s="0">
        <v>4077</v>
      </c>
      <c r="BH156" t="s" s="0">
        <v>4078</v>
      </c>
      <c r="BI156" t="s" s="0">
        <v>82</v>
      </c>
      <c r="BJ156" t="s" s="0">
        <v>4079</v>
      </c>
      <c r="BK156" t="s" s="309">
        <f>HYPERLINK("http://dx.doi.org/10.1016/j.arth.2022.03.002","http://dx.doi.org/10.1016/j.arth.2022.03.002")</f>
        <v>4080</v>
      </c>
      <c r="BL156" t="s" s="0">
        <v>82</v>
      </c>
      <c r="BM156" t="s" s="0">
        <v>804</v>
      </c>
      <c r="BN156" t="s" s="0">
        <v>138</v>
      </c>
      <c r="BO156" t="s" s="0">
        <v>2964</v>
      </c>
      <c r="BP156" t="s" s="0">
        <v>2964</v>
      </c>
      <c r="BQ156" t="s" s="0">
        <v>4081</v>
      </c>
      <c r="BR156" t="s" s="0">
        <v>4082</v>
      </c>
      <c r="BS156" t="s" s="0">
        <v>4083</v>
      </c>
      <c r="BT156" t="s" s="310">
        <f>HYPERLINK("https://www.webofscience.com/wos/woscc/full-record/WOS:001084244100001","View Record in Web of Science")</f>
        <v>120</v>
      </c>
      <c r="BU156" t="s" s="0">
        <v>82</v>
      </c>
      <c r="BV156" t="s" s="0">
        <v>82</v>
      </c>
      <c r="BW156" t="s" s="0">
        <v>82</v>
      </c>
      <c r="BX156" t="s" s="0">
        <v>122</v>
      </c>
    </row>
    <row r="157">
      <c r="A157" t="s" s="0">
        <v>78</v>
      </c>
      <c r="B157" t="s" s="0">
        <v>78</v>
      </c>
      <c r="C157" t="s" s="0">
        <v>447</v>
      </c>
      <c r="D157" t="s" s="0">
        <v>78</v>
      </c>
      <c r="E157" t="s" s="0">
        <v>4084</v>
      </c>
      <c r="F157" t="s" s="0">
        <v>4085</v>
      </c>
      <c r="G157" t="s" s="0">
        <v>4086</v>
      </c>
      <c r="H157" t="s" s="0">
        <v>82</v>
      </c>
      <c r="I157" t="s" s="0">
        <v>83</v>
      </c>
      <c r="J157" t="s" s="0">
        <v>4087</v>
      </c>
      <c r="K157" t="s" s="0">
        <v>82</v>
      </c>
      <c r="L157" t="s" s="0">
        <v>82</v>
      </c>
      <c r="M157" t="s" s="0">
        <v>82</v>
      </c>
      <c r="N157" t="s" s="0">
        <v>82</v>
      </c>
      <c r="O157" t="s" s="0">
        <v>4088</v>
      </c>
      <c r="P157" t="s" s="0">
        <v>4089</v>
      </c>
      <c r="Q157" t="s" s="0">
        <v>91</v>
      </c>
      <c r="R157" t="s" s="0">
        <v>82</v>
      </c>
      <c r="S157" t="s" s="0">
        <v>82</v>
      </c>
      <c r="T157" t="s" s="0">
        <v>82</v>
      </c>
      <c r="U157" t="s" s="0">
        <v>82</v>
      </c>
      <c r="V157" t="s" s="0">
        <v>4090</v>
      </c>
      <c r="W157" t="s" s="0">
        <v>4066</v>
      </c>
      <c r="X157" t="s" s="0">
        <v>82</v>
      </c>
      <c r="Y157" t="s" s="0">
        <v>82</v>
      </c>
      <c r="Z157" t="s" s="0">
        <v>94</v>
      </c>
      <c r="AA157" t="s" s="0">
        <v>95</v>
      </c>
      <c r="AB157" t="s" s="0">
        <v>82</v>
      </c>
      <c r="AC157" t="s" s="0">
        <v>82</v>
      </c>
      <c r="AD157" t="s" s="0">
        <v>82</v>
      </c>
      <c r="AE157" t="s" s="0">
        <v>82</v>
      </c>
      <c r="AF157" t="s" s="0">
        <v>82</v>
      </c>
      <c r="AG157" t="s" s="0">
        <v>4091</v>
      </c>
      <c r="AH157" t="s" s="0">
        <v>4092</v>
      </c>
      <c r="AI157" t="s" s="0">
        <v>82</v>
      </c>
      <c r="AJ157" t="s" s="0">
        <v>82</v>
      </c>
      <c r="AK157" t="s" s="0">
        <v>82</v>
      </c>
      <c r="AL157" t="s" s="0">
        <v>201</v>
      </c>
      <c r="AM157" t="s" s="0">
        <v>149</v>
      </c>
      <c r="AN157" t="s" s="0">
        <v>115</v>
      </c>
      <c r="AO157" t="s" s="0">
        <v>78</v>
      </c>
      <c r="AP157" t="s" s="0">
        <v>221</v>
      </c>
      <c r="AQ157" t="s" s="0">
        <v>4070</v>
      </c>
      <c r="AR157" t="s" s="0">
        <v>833</v>
      </c>
      <c r="AS157" t="s" s="0">
        <v>4071</v>
      </c>
      <c r="AT157" t="s" s="0">
        <v>4072</v>
      </c>
      <c r="AU157" t="s" s="0">
        <v>4073</v>
      </c>
      <c r="AV157" t="s" s="0">
        <v>82</v>
      </c>
      <c r="AW157" t="s" s="0">
        <v>4074</v>
      </c>
      <c r="AX157" t="s" s="0">
        <v>4075</v>
      </c>
      <c r="AY157" t="s" s="0">
        <v>4076</v>
      </c>
      <c r="AZ157" t="s" s="0">
        <v>210</v>
      </c>
      <c r="BA157" t="s" s="0">
        <v>201</v>
      </c>
      <c r="BB157" t="s" s="0">
        <v>245</v>
      </c>
      <c r="BC157" t="s" s="0">
        <v>82</v>
      </c>
      <c r="BD157" t="s" s="0">
        <v>82</v>
      </c>
      <c r="BE157" t="s" s="0">
        <v>82</v>
      </c>
      <c r="BF157" t="s" s="0">
        <v>82</v>
      </c>
      <c r="BG157" t="s" s="0">
        <v>4093</v>
      </c>
      <c r="BH157" t="s" s="0">
        <v>4094</v>
      </c>
      <c r="BI157" t="s" s="0">
        <v>82</v>
      </c>
      <c r="BJ157" t="s" s="0">
        <v>4095</v>
      </c>
      <c r="BK157" t="s" s="311">
        <f>HYPERLINK("http://dx.doi.org/10.1016/j.arth.2023.03.039","http://dx.doi.org/10.1016/j.arth.2023.03.039")</f>
        <v>4096</v>
      </c>
      <c r="BL157" t="s" s="0">
        <v>82</v>
      </c>
      <c r="BM157" t="s" s="0">
        <v>804</v>
      </c>
      <c r="BN157" t="s" s="0">
        <v>221</v>
      </c>
      <c r="BO157" t="s" s="0">
        <v>2964</v>
      </c>
      <c r="BP157" t="s" s="0">
        <v>2964</v>
      </c>
      <c r="BQ157" t="s" s="0">
        <v>4097</v>
      </c>
      <c r="BR157" t="s" s="0">
        <v>4098</v>
      </c>
      <c r="BS157" t="s" s="0">
        <v>4099</v>
      </c>
      <c r="BT157" t="s" s="312">
        <f>HYPERLINK("https://www.webofscience.com/wos/woscc/full-record/WOS:001083264200001","View Record in Web of Science")</f>
        <v>120</v>
      </c>
      <c r="BU157" t="s" s="0">
        <v>82</v>
      </c>
      <c r="BV157" t="s" s="0">
        <v>82</v>
      </c>
      <c r="BW157" t="s" s="0">
        <v>82</v>
      </c>
      <c r="BX157" t="s" s="0">
        <v>122</v>
      </c>
    </row>
    <row r="158">
      <c r="A158" t="s" s="0">
        <v>77</v>
      </c>
      <c r="B158" t="s" s="0">
        <v>78</v>
      </c>
      <c r="C158" t="s" s="0">
        <v>136</v>
      </c>
      <c r="D158" t="s" s="0">
        <v>78</v>
      </c>
      <c r="E158" t="s" s="0">
        <v>4100</v>
      </c>
      <c r="F158" t="s" s="0">
        <v>4101</v>
      </c>
      <c r="G158" t="s" s="0">
        <v>4102</v>
      </c>
      <c r="H158" t="s" s="0">
        <v>82</v>
      </c>
      <c r="I158" t="s" s="0">
        <v>83</v>
      </c>
      <c r="J158" t="s" s="0">
        <v>4103</v>
      </c>
      <c r="K158" t="s" s="0">
        <v>4104</v>
      </c>
      <c r="L158" t="s" s="0">
        <v>4105</v>
      </c>
      <c r="M158" t="s" s="0">
        <v>4106</v>
      </c>
      <c r="N158" t="s" s="0">
        <v>4107</v>
      </c>
      <c r="O158" t="s" s="0">
        <v>4108</v>
      </c>
      <c r="P158" t="s" s="0">
        <v>4109</v>
      </c>
      <c r="Q158" t="s" s="0">
        <v>91</v>
      </c>
      <c r="R158" t="s" s="0">
        <v>82</v>
      </c>
      <c r="S158" t="s" s="0">
        <v>82</v>
      </c>
      <c r="T158" t="s" s="0">
        <v>82</v>
      </c>
      <c r="U158" t="s" s="0">
        <v>82</v>
      </c>
      <c r="V158" t="s" s="0">
        <v>4110</v>
      </c>
      <c r="W158" t="s" s="0">
        <v>4111</v>
      </c>
      <c r="X158" t="s" s="0">
        <v>82</v>
      </c>
      <c r="Y158" t="s" s="0">
        <v>82</v>
      </c>
      <c r="Z158" t="s" s="0">
        <v>94</v>
      </c>
      <c r="AA158" t="s" s="0">
        <v>95</v>
      </c>
      <c r="AB158" t="s" s="0">
        <v>82</v>
      </c>
      <c r="AC158" t="s" s="0">
        <v>82</v>
      </c>
      <c r="AD158" t="s" s="0">
        <v>82</v>
      </c>
      <c r="AE158" t="s" s="0">
        <v>82</v>
      </c>
      <c r="AF158" t="s" s="0">
        <v>82</v>
      </c>
      <c r="AG158" t="s" s="0">
        <v>4112</v>
      </c>
      <c r="AH158" t="s" s="0">
        <v>4113</v>
      </c>
      <c r="AI158" t="s" s="0">
        <v>4114</v>
      </c>
      <c r="AJ158" t="s" s="0">
        <v>4115</v>
      </c>
      <c r="AK158" t="s" s="0">
        <v>82</v>
      </c>
      <c r="AL158" t="s" s="0">
        <v>1526</v>
      </c>
      <c r="AM158" t="s" s="0">
        <v>311</v>
      </c>
      <c r="AN158" t="s" s="0">
        <v>1502</v>
      </c>
      <c r="AO158" t="s" s="0">
        <v>77</v>
      </c>
      <c r="AP158" t="s" s="0">
        <v>149</v>
      </c>
      <c r="AQ158" t="s" s="0">
        <v>2051</v>
      </c>
      <c r="AR158" t="s" s="0">
        <v>203</v>
      </c>
      <c r="AS158" t="s" s="0">
        <v>2052</v>
      </c>
      <c r="AT158" t="s" s="0">
        <v>4116</v>
      </c>
      <c r="AU158" t="s" s="0">
        <v>4117</v>
      </c>
      <c r="AV158" t="s" s="0">
        <v>82</v>
      </c>
      <c r="AW158" t="s" s="0">
        <v>4118</v>
      </c>
      <c r="AX158" t="s" s="0">
        <v>4119</v>
      </c>
      <c r="AY158" t="s" s="0">
        <v>1482</v>
      </c>
      <c r="AZ158" t="s" s="0">
        <v>408</v>
      </c>
      <c r="BA158" t="s" s="0">
        <v>829</v>
      </c>
      <c r="BB158" t="s" s="0">
        <v>136</v>
      </c>
      <c r="BC158" t="s" s="0">
        <v>2057</v>
      </c>
      <c r="BD158" t="s" s="0">
        <v>82</v>
      </c>
      <c r="BE158" t="s" s="0">
        <v>82</v>
      </c>
      <c r="BF158" t="s" s="0">
        <v>82</v>
      </c>
      <c r="BG158" t="s" s="0">
        <v>4120</v>
      </c>
      <c r="BH158" t="s" s="0">
        <v>4121</v>
      </c>
      <c r="BI158" t="s" s="0">
        <v>82</v>
      </c>
      <c r="BJ158" t="s" s="0">
        <v>4122</v>
      </c>
      <c r="BK158" t="s" s="313">
        <f>HYPERLINK("http://dx.doi.org/10.1007/s00261-022-03572-8","http://dx.doi.org/10.1007/s00261-022-03572-8")</f>
        <v>4123</v>
      </c>
      <c r="BL158" t="s" s="0">
        <v>82</v>
      </c>
      <c r="BM158" t="s" s="0">
        <v>2030</v>
      </c>
      <c r="BN158" t="s" s="0">
        <v>115</v>
      </c>
      <c r="BO158" t="s" s="0">
        <v>414</v>
      </c>
      <c r="BP158" t="s" s="0">
        <v>414</v>
      </c>
      <c r="BQ158" t="s" s="0">
        <v>4124</v>
      </c>
      <c r="BR158" t="s" s="0">
        <v>4125</v>
      </c>
      <c r="BS158" t="s" s="0">
        <v>4126</v>
      </c>
      <c r="BT158" t="s" s="314">
        <f>HYPERLINK("https://www.webofscience.com/wos/woscc/full-record/WOS:000811958400001","View Record in Web of Science")</f>
        <v>120</v>
      </c>
      <c r="BU158" t="s" s="0">
        <v>1265</v>
      </c>
      <c r="BV158" t="s" s="0">
        <v>82</v>
      </c>
      <c r="BW158" t="s" s="0">
        <v>82</v>
      </c>
      <c r="BX158" t="s" s="0">
        <v>122</v>
      </c>
    </row>
    <row r="159">
      <c r="A159" t="s" s="0">
        <v>78</v>
      </c>
      <c r="B159" t="s" s="0">
        <v>78</v>
      </c>
      <c r="C159" t="s" s="0">
        <v>77</v>
      </c>
      <c r="D159" t="s" s="0">
        <v>78</v>
      </c>
      <c r="E159" t="s" s="0">
        <v>4127</v>
      </c>
      <c r="F159" t="s" s="0">
        <v>4128</v>
      </c>
      <c r="G159" t="s" s="0">
        <v>4129</v>
      </c>
      <c r="H159" t="s" s="0">
        <v>82</v>
      </c>
      <c r="I159" t="s" s="0">
        <v>83</v>
      </c>
      <c r="J159" t="s" s="0">
        <v>4130</v>
      </c>
      <c r="K159" t="s" s="0">
        <v>4131</v>
      </c>
      <c r="L159" t="s" s="0">
        <v>4132</v>
      </c>
      <c r="M159" t="s" s="0">
        <v>4133</v>
      </c>
      <c r="N159" t="s" s="0">
        <v>4134</v>
      </c>
      <c r="O159" t="s" s="0">
        <v>4135</v>
      </c>
      <c r="P159" t="s" s="0">
        <v>4136</v>
      </c>
      <c r="Q159" t="s" s="0">
        <v>91</v>
      </c>
      <c r="R159" t="s" s="0">
        <v>82</v>
      </c>
      <c r="S159" t="s" s="0">
        <v>82</v>
      </c>
      <c r="T159" t="s" s="0">
        <v>82</v>
      </c>
      <c r="U159" t="s" s="0">
        <v>82</v>
      </c>
      <c r="V159" t="s" s="0">
        <v>4137</v>
      </c>
      <c r="W159" t="s" s="0">
        <v>4138</v>
      </c>
      <c r="X159" t="s" s="0">
        <v>82</v>
      </c>
      <c r="Y159" t="s" s="0">
        <v>82</v>
      </c>
      <c r="Z159" t="s" s="0">
        <v>94</v>
      </c>
      <c r="AA159" t="s" s="0">
        <v>95</v>
      </c>
      <c r="AB159" t="s" s="0">
        <v>82</v>
      </c>
      <c r="AC159" t="s" s="0">
        <v>82</v>
      </c>
      <c r="AD159" t="s" s="0">
        <v>82</v>
      </c>
      <c r="AE159" t="s" s="0">
        <v>82</v>
      </c>
      <c r="AF159" t="s" s="0">
        <v>82</v>
      </c>
      <c r="AG159" t="s" s="0">
        <v>4139</v>
      </c>
      <c r="AH159" t="s" s="0">
        <v>1778</v>
      </c>
      <c r="AI159" t="s" s="0">
        <v>4140</v>
      </c>
      <c r="AJ159" t="s" s="0">
        <v>4141</v>
      </c>
      <c r="AK159" t="s" s="0">
        <v>82</v>
      </c>
      <c r="AL159" t="s" s="0">
        <v>1186</v>
      </c>
      <c r="AM159" t="s" s="0">
        <v>101</v>
      </c>
      <c r="AN159" t="s" s="0">
        <v>101</v>
      </c>
      <c r="AO159" t="s" s="0">
        <v>102</v>
      </c>
      <c r="AP159" t="s" s="0">
        <v>640</v>
      </c>
      <c r="AQ159" t="s" s="0">
        <v>2051</v>
      </c>
      <c r="AR159" t="s" s="0">
        <v>203</v>
      </c>
      <c r="AS159" t="s" s="0">
        <v>2052</v>
      </c>
      <c r="AT159" t="s" s="0">
        <v>4142</v>
      </c>
      <c r="AU159" t="s" s="0">
        <v>4143</v>
      </c>
      <c r="AV159" t="s" s="0">
        <v>82</v>
      </c>
      <c r="AW159" t="s" s="0">
        <v>4144</v>
      </c>
      <c r="AX159" t="s" s="0">
        <v>4145</v>
      </c>
      <c r="AY159" t="s" s="0">
        <v>1425</v>
      </c>
      <c r="AZ159" t="s" s="0">
        <v>147</v>
      </c>
      <c r="BA159" t="s" s="0">
        <v>863</v>
      </c>
      <c r="BB159" t="s" s="0">
        <v>115</v>
      </c>
      <c r="BC159" t="s" s="0">
        <v>82</v>
      </c>
      <c r="BD159" t="s" s="0">
        <v>82</v>
      </c>
      <c r="BE159" t="s" s="0">
        <v>82</v>
      </c>
      <c r="BF159" t="s" s="0">
        <v>82</v>
      </c>
      <c r="BG159" t="s" s="0">
        <v>4146</v>
      </c>
      <c r="BH159" t="s" s="0">
        <v>4147</v>
      </c>
      <c r="BI159" t="s" s="0">
        <v>82</v>
      </c>
      <c r="BJ159" t="s" s="0">
        <v>4148</v>
      </c>
      <c r="BK159" t="s" s="315">
        <f>HYPERLINK("http://dx.doi.org/10.1007/s00259-025-07370-4","http://dx.doi.org/10.1007/s00259-025-07370-4")</f>
        <v>4149</v>
      </c>
      <c r="BL159" t="s" s="0">
        <v>82</v>
      </c>
      <c r="BM159" t="s" s="0">
        <v>1394</v>
      </c>
      <c r="BN159" t="s" s="0">
        <v>115</v>
      </c>
      <c r="BO159" t="s" s="0">
        <v>414</v>
      </c>
      <c r="BP159" t="s" s="0">
        <v>414</v>
      </c>
      <c r="BQ159" t="s" s="0">
        <v>4150</v>
      </c>
      <c r="BR159" t="s" s="0">
        <v>4151</v>
      </c>
      <c r="BS159" t="s" s="0">
        <v>4152</v>
      </c>
      <c r="BT159" t="s" s="316">
        <f>HYPERLINK("https://www.webofscience.com/wos/woscc/full-record/WOS:001502665200001","View Record in Web of Science")</f>
        <v>120</v>
      </c>
      <c r="BU159" t="s" s="0">
        <v>82</v>
      </c>
      <c r="BV159" t="s" s="0">
        <v>82</v>
      </c>
      <c r="BW159" t="s" s="0">
        <v>82</v>
      </c>
      <c r="BX159" t="s" s="0">
        <v>122</v>
      </c>
    </row>
    <row r="160">
      <c r="A160" t="s" s="0">
        <v>78</v>
      </c>
      <c r="B160" t="s" s="0">
        <v>78</v>
      </c>
      <c r="C160" t="s" s="0">
        <v>77</v>
      </c>
      <c r="D160" t="s" s="0">
        <v>78</v>
      </c>
      <c r="E160" t="s" s="0">
        <v>4153</v>
      </c>
      <c r="F160" t="s" s="0">
        <v>4154</v>
      </c>
      <c r="G160" t="s" s="0">
        <v>4155</v>
      </c>
      <c r="H160" t="s" s="0">
        <v>82</v>
      </c>
      <c r="I160" t="s" s="0">
        <v>297</v>
      </c>
      <c r="J160" t="s" s="0">
        <v>4156</v>
      </c>
      <c r="K160" t="s" s="0">
        <v>4157</v>
      </c>
      <c r="L160" t="s" s="0">
        <v>4158</v>
      </c>
      <c r="M160" t="s" s="0">
        <v>4159</v>
      </c>
      <c r="N160" t="s" s="0">
        <v>4160</v>
      </c>
      <c r="O160" t="s" s="0">
        <v>4161</v>
      </c>
      <c r="P160" t="s" s="0">
        <v>4162</v>
      </c>
      <c r="Q160" t="s" s="0">
        <v>91</v>
      </c>
      <c r="R160" t="s" s="0">
        <v>82</v>
      </c>
      <c r="S160" t="s" s="0">
        <v>82</v>
      </c>
      <c r="T160" t="s" s="0">
        <v>82</v>
      </c>
      <c r="U160" t="s" s="0">
        <v>82</v>
      </c>
      <c r="V160" t="s" s="0">
        <v>4163</v>
      </c>
      <c r="W160" t="s" s="0">
        <v>4164</v>
      </c>
      <c r="X160" t="s" s="0">
        <v>82</v>
      </c>
      <c r="Y160" t="s" s="0">
        <v>82</v>
      </c>
      <c r="Z160" t="s" s="0">
        <v>94</v>
      </c>
      <c r="AA160" t="s" s="0">
        <v>95</v>
      </c>
      <c r="AB160" t="s" s="0">
        <v>82</v>
      </c>
      <c r="AC160" t="s" s="0">
        <v>82</v>
      </c>
      <c r="AD160" t="s" s="0">
        <v>82</v>
      </c>
      <c r="AE160" t="s" s="0">
        <v>82</v>
      </c>
      <c r="AF160" t="s" s="0">
        <v>82</v>
      </c>
      <c r="AG160" t="s" s="0">
        <v>4165</v>
      </c>
      <c r="AH160" t="s" s="0">
        <v>4166</v>
      </c>
      <c r="AI160" t="s" s="0">
        <v>82</v>
      </c>
      <c r="AJ160" t="s" s="0">
        <v>4167</v>
      </c>
      <c r="AK160" t="s" s="0">
        <v>82</v>
      </c>
      <c r="AL160" t="s" s="0">
        <v>148</v>
      </c>
      <c r="AM160" t="s" s="0">
        <v>77</v>
      </c>
      <c r="AN160" t="s" s="0">
        <v>77</v>
      </c>
      <c r="AO160" t="s" s="0">
        <v>78</v>
      </c>
      <c r="AP160" t="s" s="0">
        <v>78</v>
      </c>
      <c r="AQ160" t="s" s="0">
        <v>4168</v>
      </c>
      <c r="AR160" t="s" s="0">
        <v>4169</v>
      </c>
      <c r="AS160" t="s" s="0">
        <v>4170</v>
      </c>
      <c r="AT160" t="s" s="0">
        <v>4171</v>
      </c>
      <c r="AU160" t="s" s="0">
        <v>4172</v>
      </c>
      <c r="AV160" t="s" s="0">
        <v>82</v>
      </c>
      <c r="AW160" t="s" s="0">
        <v>4173</v>
      </c>
      <c r="AX160" t="s" s="0">
        <v>4174</v>
      </c>
      <c r="AY160" t="s" s="0">
        <v>4175</v>
      </c>
      <c r="AZ160" t="s" s="0">
        <v>110</v>
      </c>
      <c r="BA160" t="s" s="0">
        <v>1320</v>
      </c>
      <c r="BB160" t="s" s="0">
        <v>447</v>
      </c>
      <c r="BC160" t="s" s="0">
        <v>82</v>
      </c>
      <c r="BD160" t="s" s="0">
        <v>82</v>
      </c>
      <c r="BE160" t="s" s="0">
        <v>82</v>
      </c>
      <c r="BF160" t="s" s="0">
        <v>82</v>
      </c>
      <c r="BG160" t="s" s="0">
        <v>2395</v>
      </c>
      <c r="BH160" t="s" s="0">
        <v>4176</v>
      </c>
      <c r="BI160" t="s" s="0">
        <v>82</v>
      </c>
      <c r="BJ160" t="s" s="0">
        <v>4177</v>
      </c>
      <c r="BK160" t="s" s="317">
        <f>HYPERLINK("http://dx.doi.org/10.18502/jovr.v19i2.13983","http://dx.doi.org/10.18502/jovr.v19i2.13983")</f>
        <v>4178</v>
      </c>
      <c r="BL160" t="s" s="0">
        <v>82</v>
      </c>
      <c r="BM160" t="s" s="0">
        <v>82</v>
      </c>
      <c r="BN160" t="s" s="0">
        <v>137</v>
      </c>
      <c r="BO160" t="s" s="0">
        <v>2278</v>
      </c>
      <c r="BP160" t="s" s="0">
        <v>2278</v>
      </c>
      <c r="BQ160" t="s" s="0">
        <v>4179</v>
      </c>
      <c r="BR160" t="s" s="0">
        <v>4180</v>
      </c>
      <c r="BS160" t="s" s="0">
        <v>4181</v>
      </c>
      <c r="BT160" t="s" s="318">
        <f>HYPERLINK("https://www.webofscience.com/wos/woscc/full-record/WOS:001252785100005","View Record in Web of Science")</f>
        <v>120</v>
      </c>
      <c r="BU160" t="s" s="0">
        <v>121</v>
      </c>
      <c r="BV160" t="s" s="0">
        <v>82</v>
      </c>
      <c r="BW160" t="s" s="0">
        <v>82</v>
      </c>
      <c r="BX160" t="s" s="0">
        <v>122</v>
      </c>
    </row>
    <row r="161">
      <c r="A161" t="s" s="0">
        <v>78</v>
      </c>
      <c r="B161" t="s" s="0">
        <v>78</v>
      </c>
      <c r="C161" t="s" s="0">
        <v>101</v>
      </c>
      <c r="D161" t="s" s="0">
        <v>77</v>
      </c>
      <c r="E161" t="s" s="0">
        <v>4182</v>
      </c>
      <c r="F161" t="s" s="0">
        <v>4183</v>
      </c>
      <c r="G161" t="s" s="0">
        <v>4184</v>
      </c>
      <c r="H161" t="s" s="0">
        <v>82</v>
      </c>
      <c r="I161" t="s" s="0">
        <v>83</v>
      </c>
      <c r="J161" t="s" s="0">
        <v>4185</v>
      </c>
      <c r="K161" t="s" s="0">
        <v>4186</v>
      </c>
      <c r="L161" t="s" s="0">
        <v>4187</v>
      </c>
      <c r="M161" t="s" s="0">
        <v>4188</v>
      </c>
      <c r="N161" t="s" s="0">
        <v>82</v>
      </c>
      <c r="O161" t="s" s="0">
        <v>4189</v>
      </c>
      <c r="P161" t="s" s="0">
        <v>4190</v>
      </c>
      <c r="Q161" t="s" s="0">
        <v>91</v>
      </c>
      <c r="R161" t="s" s="0">
        <v>82</v>
      </c>
      <c r="S161" t="s" s="0">
        <v>82</v>
      </c>
      <c r="T161" t="s" s="0">
        <v>82</v>
      </c>
      <c r="U161" t="s" s="0">
        <v>82</v>
      </c>
      <c r="V161" t="s" s="0">
        <v>4191</v>
      </c>
      <c r="W161" t="s" s="0">
        <v>4192</v>
      </c>
      <c r="X161" t="s" s="0">
        <v>82</v>
      </c>
      <c r="Y161" t="s" s="0">
        <v>82</v>
      </c>
      <c r="Z161" t="s" s="0">
        <v>94</v>
      </c>
      <c r="AA161" t="s" s="0">
        <v>95</v>
      </c>
      <c r="AB161" t="s" s="0">
        <v>82</v>
      </c>
      <c r="AC161" t="s" s="0">
        <v>82</v>
      </c>
      <c r="AD161" t="s" s="0">
        <v>82</v>
      </c>
      <c r="AE161" t="s" s="0">
        <v>82</v>
      </c>
      <c r="AF161" t="s" s="0">
        <v>82</v>
      </c>
      <c r="AG161" t="s" s="0">
        <v>4193</v>
      </c>
      <c r="AH161" t="s" s="0">
        <v>4194</v>
      </c>
      <c r="AI161" t="s" s="0">
        <v>4195</v>
      </c>
      <c r="AJ161" t="s" s="0">
        <v>4196</v>
      </c>
      <c r="AK161" t="s" s="0">
        <v>82</v>
      </c>
      <c r="AL161" t="s" s="0">
        <v>238</v>
      </c>
      <c r="AM161" t="s" s="0">
        <v>311</v>
      </c>
      <c r="AN161" t="s" s="0">
        <v>1502</v>
      </c>
      <c r="AO161" t="s" s="0">
        <v>101</v>
      </c>
      <c r="AP161" t="s" s="0">
        <v>276</v>
      </c>
      <c r="AQ161" t="s" s="0">
        <v>103</v>
      </c>
      <c r="AR161" t="s" s="0">
        <v>104</v>
      </c>
      <c r="AS161" t="s" s="0">
        <v>105</v>
      </c>
      <c r="AT161" t="s" s="0">
        <v>4197</v>
      </c>
      <c r="AU161" t="s" s="0">
        <v>82</v>
      </c>
      <c r="AV161" t="s" s="0">
        <v>82</v>
      </c>
      <c r="AW161" t="s" s="0">
        <v>4198</v>
      </c>
      <c r="AX161" t="s" s="0">
        <v>4199</v>
      </c>
      <c r="AY161" t="s" s="0">
        <v>4200</v>
      </c>
      <c r="AZ161" t="s" s="0">
        <v>210</v>
      </c>
      <c r="BA161" t="s" s="0">
        <v>154</v>
      </c>
      <c r="BB161" t="s" s="0">
        <v>77</v>
      </c>
      <c r="BC161" t="s" s="0">
        <v>82</v>
      </c>
      <c r="BD161" t="s" s="0">
        <v>82</v>
      </c>
      <c r="BE161" t="s" s="0">
        <v>82</v>
      </c>
      <c r="BF161" t="s" s="0">
        <v>82</v>
      </c>
      <c r="BG161" t="s" s="0">
        <v>82</v>
      </c>
      <c r="BH161" t="s" s="0">
        <v>82</v>
      </c>
      <c r="BI161" t="s" s="0">
        <v>665</v>
      </c>
      <c r="BJ161" t="s" s="0">
        <v>4201</v>
      </c>
      <c r="BK161" t="s" s="319">
        <f>HYPERLINK("http://dx.doi.org/10.1186/s13018-023-03909-z","http://dx.doi.org/10.1186/s13018-023-03909-z")</f>
        <v>4202</v>
      </c>
      <c r="BL161" t="s" s="0">
        <v>82</v>
      </c>
      <c r="BM161" t="s" s="0">
        <v>82</v>
      </c>
      <c r="BN161" t="s" s="0">
        <v>149</v>
      </c>
      <c r="BO161" t="s" s="0">
        <v>2964</v>
      </c>
      <c r="BP161" t="s" s="0">
        <v>2964</v>
      </c>
      <c r="BQ161" t="s" s="0">
        <v>4203</v>
      </c>
      <c r="BR161" t="s" s="0">
        <v>4204</v>
      </c>
      <c r="BS161" t="s" s="0">
        <v>4205</v>
      </c>
      <c r="BT161" t="s" s="320">
        <f>HYPERLINK("https://www.webofscience.com/wos/woscc/full-record/WOS:001007558000001","View Record in Web of Science")</f>
        <v>120</v>
      </c>
      <c r="BU161" t="s" s="0">
        <v>121</v>
      </c>
      <c r="BV161" t="s" s="0">
        <v>82</v>
      </c>
      <c r="BW161" t="s" s="0">
        <v>82</v>
      </c>
      <c r="BX161" t="s" s="0">
        <v>122</v>
      </c>
    </row>
    <row r="162">
      <c r="A162" t="s" s="0">
        <v>78</v>
      </c>
      <c r="B162" t="s" s="0">
        <v>78</v>
      </c>
      <c r="C162" t="s" s="0">
        <v>78</v>
      </c>
      <c r="D162" t="s" s="0">
        <v>78</v>
      </c>
      <c r="E162" t="s" s="0">
        <v>4206</v>
      </c>
      <c r="F162" t="s" s="0">
        <v>4207</v>
      </c>
      <c r="G162" t="s" s="0">
        <v>4208</v>
      </c>
      <c r="H162" t="s" s="0">
        <v>82</v>
      </c>
      <c r="I162" t="s" s="0">
        <v>83</v>
      </c>
      <c r="J162" t="s" s="0">
        <v>4209</v>
      </c>
      <c r="K162" t="s" s="0">
        <v>4210</v>
      </c>
      <c r="L162" t="s" s="0">
        <v>82</v>
      </c>
      <c r="M162" t="s" s="0">
        <v>82</v>
      </c>
      <c r="N162" t="s" s="0">
        <v>82</v>
      </c>
      <c r="O162" t="s" s="0">
        <v>4211</v>
      </c>
      <c r="P162" t="s" s="0">
        <v>4212</v>
      </c>
      <c r="Q162" t="s" s="0">
        <v>91</v>
      </c>
      <c r="R162" t="s" s="0">
        <v>82</v>
      </c>
      <c r="S162" t="s" s="0">
        <v>82</v>
      </c>
      <c r="T162" t="s" s="0">
        <v>82</v>
      </c>
      <c r="U162" t="s" s="0">
        <v>82</v>
      </c>
      <c r="V162" t="s" s="0">
        <v>4213</v>
      </c>
      <c r="W162" t="s" s="0">
        <v>4214</v>
      </c>
      <c r="X162" t="s" s="0">
        <v>82</v>
      </c>
      <c r="Y162" t="s" s="0">
        <v>82</v>
      </c>
      <c r="Z162" t="s" s="0">
        <v>94</v>
      </c>
      <c r="AA162" t="s" s="0">
        <v>169</v>
      </c>
      <c r="AB162" t="s" s="0">
        <v>82</v>
      </c>
      <c r="AC162" t="s" s="0">
        <v>82</v>
      </c>
      <c r="AD162" t="s" s="0">
        <v>82</v>
      </c>
      <c r="AE162" t="s" s="0">
        <v>82</v>
      </c>
      <c r="AF162" t="s" s="0">
        <v>82</v>
      </c>
      <c r="AG162" t="s" s="0">
        <v>4215</v>
      </c>
      <c r="AH162" t="s" s="0">
        <v>82</v>
      </c>
      <c r="AI162" t="s" s="0">
        <v>82</v>
      </c>
      <c r="AJ162" t="s" s="0">
        <v>82</v>
      </c>
      <c r="AK162" t="s" s="0">
        <v>82</v>
      </c>
      <c r="AL162" t="s" s="0">
        <v>154</v>
      </c>
      <c r="AM162" t="s" s="0">
        <v>78</v>
      </c>
      <c r="AN162" t="s" s="0">
        <v>78</v>
      </c>
      <c r="AO162" t="s" s="0">
        <v>77</v>
      </c>
      <c r="AP162" t="s" s="0">
        <v>77</v>
      </c>
      <c r="AQ162" t="s" s="0">
        <v>2051</v>
      </c>
      <c r="AR162" t="s" s="0">
        <v>2128</v>
      </c>
      <c r="AS162" t="s" s="0">
        <v>2129</v>
      </c>
      <c r="AT162" t="s" s="0">
        <v>4216</v>
      </c>
      <c r="AU162" t="s" s="0">
        <v>4217</v>
      </c>
      <c r="AV162" t="s" s="0">
        <v>82</v>
      </c>
      <c r="AW162" t="s" s="0">
        <v>4218</v>
      </c>
      <c r="AX162" t="s" s="0">
        <v>4219</v>
      </c>
      <c r="AY162" t="s" s="0">
        <v>82</v>
      </c>
      <c r="AZ162" t="s" s="0">
        <v>181</v>
      </c>
      <c r="BA162" t="s" s="0">
        <v>82</v>
      </c>
      <c r="BB162" t="s" s="0">
        <v>82</v>
      </c>
      <c r="BC162" t="s" s="0">
        <v>82</v>
      </c>
      <c r="BD162" t="s" s="0">
        <v>82</v>
      </c>
      <c r="BE162" t="s" s="0">
        <v>82</v>
      </c>
      <c r="BF162" t="s" s="0">
        <v>82</v>
      </c>
      <c r="BG162" t="s" s="0">
        <v>82</v>
      </c>
      <c r="BH162" t="s" s="0">
        <v>82</v>
      </c>
      <c r="BI162" t="s" s="0">
        <v>82</v>
      </c>
      <c r="BJ162" t="s" s="0">
        <v>4220</v>
      </c>
      <c r="BK162" t="s" s="321">
        <f>HYPERLINK("http://dx.doi.org/10.1007/s10554-026-03787-6","http://dx.doi.org/10.1007/s10554-026-03787-6")</f>
        <v>4221</v>
      </c>
      <c r="BL162" t="s" s="0">
        <v>82</v>
      </c>
      <c r="BM162" t="s" s="0">
        <v>3226</v>
      </c>
      <c r="BN162" t="s" s="0">
        <v>245</v>
      </c>
      <c r="BO162" t="s" s="0">
        <v>4222</v>
      </c>
      <c r="BP162" t="s" s="0">
        <v>4223</v>
      </c>
      <c r="BQ162" t="s" s="0">
        <v>4224</v>
      </c>
      <c r="BR162" t="s" s="0">
        <v>4225</v>
      </c>
      <c r="BS162" t="s" s="0">
        <v>4226</v>
      </c>
      <c r="BT162" t="s" s="322">
        <f>HYPERLINK("https://www.webofscience.com/wos/woscc/full-record/WOS:001837231700001","View Record in Web of Science")</f>
        <v>120</v>
      </c>
      <c r="BU162" t="s" s="0">
        <v>82</v>
      </c>
      <c r="BV162" t="s" s="0">
        <v>82</v>
      </c>
      <c r="BW162" t="s" s="0">
        <v>82</v>
      </c>
      <c r="BX162" t="s" s="0">
        <v>122</v>
      </c>
    </row>
    <row r="163">
      <c r="A163" t="s" s="0">
        <v>78</v>
      </c>
      <c r="B163" t="s" s="0">
        <v>78</v>
      </c>
      <c r="C163" t="s" s="0">
        <v>78</v>
      </c>
      <c r="D163" t="s" s="0">
        <v>78</v>
      </c>
      <c r="E163" t="s" s="0">
        <v>4227</v>
      </c>
      <c r="F163" t="s" s="0">
        <v>4228</v>
      </c>
      <c r="G163" t="s" s="0">
        <v>4229</v>
      </c>
      <c r="H163" t="s" s="0">
        <v>82</v>
      </c>
      <c r="I163" t="s" s="0">
        <v>83</v>
      </c>
      <c r="J163" t="s" s="0">
        <v>4230</v>
      </c>
      <c r="K163" t="s" s="0">
        <v>4231</v>
      </c>
      <c r="L163" t="s" s="0">
        <v>4232</v>
      </c>
      <c r="M163" t="s" s="0">
        <v>4233</v>
      </c>
      <c r="N163" t="s" s="0">
        <v>4234</v>
      </c>
      <c r="O163" t="s" s="0">
        <v>4235</v>
      </c>
      <c r="P163" t="s" s="0">
        <v>4236</v>
      </c>
      <c r="Q163" t="s" s="0">
        <v>91</v>
      </c>
      <c r="R163" t="s" s="0">
        <v>82</v>
      </c>
      <c r="S163" t="s" s="0">
        <v>4237</v>
      </c>
      <c r="T163" t="s" s="0">
        <v>82</v>
      </c>
      <c r="U163" t="s" s="0">
        <v>82</v>
      </c>
      <c r="V163" t="s" s="0">
        <v>4238</v>
      </c>
      <c r="W163" t="s" s="0">
        <v>4239</v>
      </c>
      <c r="X163" t="s" s="0">
        <v>82</v>
      </c>
      <c r="Y163" t="s" s="0">
        <v>82</v>
      </c>
      <c r="Z163" t="s" s="0">
        <v>94</v>
      </c>
      <c r="AA163" t="s" s="0">
        <v>169</v>
      </c>
      <c r="AB163" t="s" s="0">
        <v>82</v>
      </c>
      <c r="AC163" t="s" s="0">
        <v>82</v>
      </c>
      <c r="AD163" t="s" s="0">
        <v>82</v>
      </c>
      <c r="AE163" t="s" s="0">
        <v>82</v>
      </c>
      <c r="AF163" t="s" s="0">
        <v>82</v>
      </c>
      <c r="AG163" t="s" s="0">
        <v>4240</v>
      </c>
      <c r="AH163" t="s" s="0">
        <v>4241</v>
      </c>
      <c r="AI163" t="s" s="0">
        <v>82</v>
      </c>
      <c r="AJ163" t="s" s="0">
        <v>82</v>
      </c>
      <c r="AK163" t="s" s="0">
        <v>82</v>
      </c>
      <c r="AL163" t="s" s="0">
        <v>311</v>
      </c>
      <c r="AM163" t="s" s="0">
        <v>78</v>
      </c>
      <c r="AN163" t="s" s="0">
        <v>78</v>
      </c>
      <c r="AO163" t="s" s="0">
        <v>78</v>
      </c>
      <c r="AP163" t="s" s="0">
        <v>78</v>
      </c>
      <c r="AQ163" t="s" s="0">
        <v>4242</v>
      </c>
      <c r="AR163" t="s" s="0">
        <v>4243</v>
      </c>
      <c r="AS163" t="s" s="0">
        <v>4244</v>
      </c>
      <c r="AT163" t="s" s="0">
        <v>4245</v>
      </c>
      <c r="AU163" t="s" s="0">
        <v>4246</v>
      </c>
      <c r="AV163" t="s" s="0">
        <v>82</v>
      </c>
      <c r="AW163" t="s" s="0">
        <v>4247</v>
      </c>
      <c r="AX163" t="s" s="0">
        <v>4248</v>
      </c>
      <c r="AY163" t="s" s="0">
        <v>82</v>
      </c>
      <c r="AZ163" t="s" s="0">
        <v>181</v>
      </c>
      <c r="BA163" t="s" s="0">
        <v>82</v>
      </c>
      <c r="BB163" t="s" s="0">
        <v>82</v>
      </c>
      <c r="BC163" t="s" s="0">
        <v>82</v>
      </c>
      <c r="BD163" t="s" s="0">
        <v>82</v>
      </c>
      <c r="BE163" t="s" s="0">
        <v>82</v>
      </c>
      <c r="BF163" t="s" s="0">
        <v>82</v>
      </c>
      <c r="BG163" t="s" s="0">
        <v>82</v>
      </c>
      <c r="BH163" t="s" s="0">
        <v>82</v>
      </c>
      <c r="BI163" t="s" s="0">
        <v>82</v>
      </c>
      <c r="BJ163" t="s" s="0">
        <v>4249</v>
      </c>
      <c r="BK163" t="s" s="323">
        <f>HYPERLINK("http://dx.doi.org/10.1177/15459683261469091","http://dx.doi.org/10.1177/15459683261469091")</f>
        <v>4250</v>
      </c>
      <c r="BL163" t="s" s="0">
        <v>82</v>
      </c>
      <c r="BM163" t="s" s="0">
        <v>1342</v>
      </c>
      <c r="BN163" t="s" s="0">
        <v>319</v>
      </c>
      <c r="BO163" t="s" s="0">
        <v>4251</v>
      </c>
      <c r="BP163" t="s" s="0">
        <v>4252</v>
      </c>
      <c r="BQ163" t="s" s="0">
        <v>4253</v>
      </c>
      <c r="BR163" t="s" s="0">
        <v>4254</v>
      </c>
      <c r="BS163" t="s" s="0">
        <v>4255</v>
      </c>
      <c r="BT163" t="s" s="324">
        <f>HYPERLINK("https://www.webofscience.com/wos/woscc/full-record/WOS:001838339500001","View Record in Web of Science")</f>
        <v>120</v>
      </c>
      <c r="BU163" t="s" s="0">
        <v>159</v>
      </c>
      <c r="BV163" t="s" s="0">
        <v>82</v>
      </c>
      <c r="BW163" t="s" s="0">
        <v>82</v>
      </c>
      <c r="BX163" t="s" s="0">
        <v>122</v>
      </c>
    </row>
    <row r="164">
      <c r="A164" t="s" s="0">
        <v>78</v>
      </c>
      <c r="B164" t="s" s="0">
        <v>78</v>
      </c>
      <c r="C164" t="s" s="0">
        <v>77</v>
      </c>
      <c r="D164" t="s" s="0">
        <v>78</v>
      </c>
      <c r="E164" t="s" s="0">
        <v>4256</v>
      </c>
      <c r="F164" t="s" s="0">
        <v>4257</v>
      </c>
      <c r="G164" t="s" s="0">
        <v>4258</v>
      </c>
      <c r="H164" t="s" s="0">
        <v>82</v>
      </c>
      <c r="I164" t="s" s="0">
        <v>297</v>
      </c>
      <c r="J164" t="s" s="0">
        <v>4259</v>
      </c>
      <c r="K164" t="s" s="0">
        <v>4260</v>
      </c>
      <c r="L164" t="s" s="0">
        <v>82</v>
      </c>
      <c r="M164" t="s" s="0">
        <v>82</v>
      </c>
      <c r="N164" t="s" s="0">
        <v>4261</v>
      </c>
      <c r="O164" t="s" s="0">
        <v>4262</v>
      </c>
      <c r="P164" t="s" s="0">
        <v>4263</v>
      </c>
      <c r="Q164" t="s" s="0">
        <v>91</v>
      </c>
      <c r="R164" t="s" s="0">
        <v>82</v>
      </c>
      <c r="S164" t="s" s="0">
        <v>82</v>
      </c>
      <c r="T164" t="s" s="0">
        <v>82</v>
      </c>
      <c r="U164" t="s" s="0">
        <v>82</v>
      </c>
      <c r="V164" t="s" s="0">
        <v>4264</v>
      </c>
      <c r="W164" t="s" s="0">
        <v>4265</v>
      </c>
      <c r="X164" t="s" s="0">
        <v>82</v>
      </c>
      <c r="Y164" t="s" s="0">
        <v>82</v>
      </c>
      <c r="Z164" t="s" s="0">
        <v>94</v>
      </c>
      <c r="AA164" t="s" s="0">
        <v>95</v>
      </c>
      <c r="AB164" t="s" s="0">
        <v>82</v>
      </c>
      <c r="AC164" t="s" s="0">
        <v>82</v>
      </c>
      <c r="AD164" t="s" s="0">
        <v>82</v>
      </c>
      <c r="AE164" t="s" s="0">
        <v>82</v>
      </c>
      <c r="AF164" t="s" s="0">
        <v>82</v>
      </c>
      <c r="AG164" t="s" s="0">
        <v>4266</v>
      </c>
      <c r="AH164" t="s" s="0">
        <v>4267</v>
      </c>
      <c r="AI164" t="s" s="0">
        <v>4268</v>
      </c>
      <c r="AJ164" t="s" s="0">
        <v>4269</v>
      </c>
      <c r="AK164" t="s" s="0">
        <v>82</v>
      </c>
      <c r="AL164" t="s" s="0">
        <v>1161</v>
      </c>
      <c r="AM164" t="s" s="0">
        <v>447</v>
      </c>
      <c r="AN164" t="s" s="0">
        <v>447</v>
      </c>
      <c r="AO164" t="s" s="0">
        <v>78</v>
      </c>
      <c r="AP164" t="s" s="0">
        <v>78</v>
      </c>
      <c r="AQ164" t="s" s="0">
        <v>277</v>
      </c>
      <c r="AR164" t="s" s="0">
        <v>278</v>
      </c>
      <c r="AS164" t="s" s="0">
        <v>279</v>
      </c>
      <c r="AT164" t="s" s="0">
        <v>82</v>
      </c>
      <c r="AU164" t="s" s="0">
        <v>4270</v>
      </c>
      <c r="AV164" t="s" s="0">
        <v>82</v>
      </c>
      <c r="AW164" t="s" s="0">
        <v>4271</v>
      </c>
      <c r="AX164" t="s" s="0">
        <v>4272</v>
      </c>
      <c r="AY164" t="s" s="0">
        <v>949</v>
      </c>
      <c r="AZ164" t="s" s="0">
        <v>147</v>
      </c>
      <c r="BA164" t="s" s="0">
        <v>319</v>
      </c>
      <c r="BB164" t="s" s="0">
        <v>102</v>
      </c>
      <c r="BC164" t="s" s="0">
        <v>82</v>
      </c>
      <c r="BD164" t="s" s="0">
        <v>82</v>
      </c>
      <c r="BE164" t="s" s="0">
        <v>82</v>
      </c>
      <c r="BF164" t="s" s="0">
        <v>82</v>
      </c>
      <c r="BG164" t="s" s="0">
        <v>4273</v>
      </c>
      <c r="BH164" t="s" s="0">
        <v>4274</v>
      </c>
      <c r="BI164" t="s" s="0">
        <v>82</v>
      </c>
      <c r="BJ164" t="s" s="0">
        <v>4275</v>
      </c>
      <c r="BK164" t="s" s="325">
        <f>HYPERLINK("http://dx.doi.org/10.1016/j.jseint.2025.04.024","http://dx.doi.org/10.1016/j.jseint.2025.04.024")</f>
        <v>4276</v>
      </c>
      <c r="BL164" t="s" s="0">
        <v>82</v>
      </c>
      <c r="BM164" t="s" s="0">
        <v>1191</v>
      </c>
      <c r="BN164" t="s" s="0">
        <v>221</v>
      </c>
      <c r="BO164" t="s" s="0">
        <v>4277</v>
      </c>
      <c r="BP164" t="s" s="0">
        <v>4277</v>
      </c>
      <c r="BQ164" t="s" s="0">
        <v>4278</v>
      </c>
      <c r="BR164" t="s" s="0">
        <v>4279</v>
      </c>
      <c r="BS164" t="s" s="0">
        <v>4280</v>
      </c>
      <c r="BT164" t="s" s="326">
        <f>HYPERLINK("https://www.webofscience.com/wos/woscc/full-record/WOS:001634580300001","View Record in Web of Science")</f>
        <v>120</v>
      </c>
      <c r="BU164" t="s" s="0">
        <v>121</v>
      </c>
      <c r="BV164" t="s" s="0">
        <v>82</v>
      </c>
      <c r="BW164" t="s" s="0">
        <v>82</v>
      </c>
      <c r="BX164" t="s" s="0">
        <v>122</v>
      </c>
    </row>
    <row r="165">
      <c r="A165" t="s" s="0">
        <v>78</v>
      </c>
      <c r="B165" t="s" s="0">
        <v>78</v>
      </c>
      <c r="C165" t="s" s="0">
        <v>447</v>
      </c>
      <c r="D165" t="s" s="0">
        <v>78</v>
      </c>
      <c r="E165" t="s" s="0">
        <v>4281</v>
      </c>
      <c r="F165" t="s" s="0">
        <v>4282</v>
      </c>
      <c r="G165" t="s" s="0">
        <v>4283</v>
      </c>
      <c r="H165" t="s" s="0">
        <v>82</v>
      </c>
      <c r="I165" t="s" s="0">
        <v>83</v>
      </c>
      <c r="J165" t="s" s="0">
        <v>4284</v>
      </c>
      <c r="K165" t="s" s="0">
        <v>4285</v>
      </c>
      <c r="L165" t="s" s="0">
        <v>4286</v>
      </c>
      <c r="M165" t="s" s="0">
        <v>4286</v>
      </c>
      <c r="N165" t="s" s="0">
        <v>4287</v>
      </c>
      <c r="O165" t="s" s="0">
        <v>4288</v>
      </c>
      <c r="P165" t="s" s="0">
        <v>4289</v>
      </c>
      <c r="Q165" t="s" s="0">
        <v>91</v>
      </c>
      <c r="R165" t="s" s="0">
        <v>82</v>
      </c>
      <c r="S165" t="s" s="0">
        <v>82</v>
      </c>
      <c r="T165" t="s" s="0">
        <v>82</v>
      </c>
      <c r="U165" t="s" s="0">
        <v>82</v>
      </c>
      <c r="V165" t="s" s="0">
        <v>4290</v>
      </c>
      <c r="W165" t="s" s="0">
        <v>4291</v>
      </c>
      <c r="X165" t="s" s="0">
        <v>82</v>
      </c>
      <c r="Y165" t="s" s="0">
        <v>82</v>
      </c>
      <c r="Z165" t="s" s="0">
        <v>94</v>
      </c>
      <c r="AA165" t="s" s="0">
        <v>95</v>
      </c>
      <c r="AB165" t="s" s="0">
        <v>82</v>
      </c>
      <c r="AC165" t="s" s="0">
        <v>82</v>
      </c>
      <c r="AD165" t="s" s="0">
        <v>82</v>
      </c>
      <c r="AE165" t="s" s="0">
        <v>82</v>
      </c>
      <c r="AF165" t="s" s="0">
        <v>82</v>
      </c>
      <c r="AG165" t="s" s="0">
        <v>82</v>
      </c>
      <c r="AH165" t="s" s="0">
        <v>4292</v>
      </c>
      <c r="AI165" t="s" s="0">
        <v>4293</v>
      </c>
      <c r="AJ165" t="s" s="0">
        <v>4294</v>
      </c>
      <c r="AK165" t="s" s="0">
        <v>82</v>
      </c>
      <c r="AL165" t="s" s="0">
        <v>828</v>
      </c>
      <c r="AM165" t="s" s="0">
        <v>319</v>
      </c>
      <c r="AN165" t="s" s="0">
        <v>115</v>
      </c>
      <c r="AO165" t="s" s="0">
        <v>78</v>
      </c>
      <c r="AP165" t="s" s="0">
        <v>115</v>
      </c>
      <c r="AQ165" t="s" s="0">
        <v>4295</v>
      </c>
      <c r="AR165" t="s" s="0">
        <v>4296</v>
      </c>
      <c r="AS165" t="s" s="0">
        <v>4297</v>
      </c>
      <c r="AT165" t="s" s="0">
        <v>4298</v>
      </c>
      <c r="AU165" t="s" s="0">
        <v>82</v>
      </c>
      <c r="AV165" t="s" s="0">
        <v>82</v>
      </c>
      <c r="AW165" t="s" s="0">
        <v>4291</v>
      </c>
      <c r="AX165" t="s" s="0">
        <v>4299</v>
      </c>
      <c r="AY165" t="s" s="0">
        <v>4300</v>
      </c>
      <c r="AZ165" t="s" s="0">
        <v>4301</v>
      </c>
      <c r="BA165" t="s" s="0">
        <v>115</v>
      </c>
      <c r="BB165" t="s" s="0">
        <v>221</v>
      </c>
      <c r="BC165" t="s" s="0">
        <v>82</v>
      </c>
      <c r="BD165" t="s" s="0">
        <v>82</v>
      </c>
      <c r="BE165" t="s" s="0">
        <v>82</v>
      </c>
      <c r="BF165" t="s" s="0">
        <v>82</v>
      </c>
      <c r="BG165" t="s" s="0">
        <v>82</v>
      </c>
      <c r="BH165" t="s" s="0">
        <v>82</v>
      </c>
      <c r="BI165" t="s" s="0">
        <v>4302</v>
      </c>
      <c r="BJ165" t="s" s="0">
        <v>4303</v>
      </c>
      <c r="BK165" t="s" s="327">
        <f>HYPERLINK("http://dx.doi.org/10.1371/journal.pone.0195861","http://dx.doi.org/10.1371/journal.pone.0195861")</f>
        <v>4304</v>
      </c>
      <c r="BL165" t="s" s="0">
        <v>82</v>
      </c>
      <c r="BM165" t="s" s="0">
        <v>82</v>
      </c>
      <c r="BN165" t="s" s="0">
        <v>349</v>
      </c>
      <c r="BO165" t="s" s="0">
        <v>644</v>
      </c>
      <c r="BP165" t="s" s="0">
        <v>645</v>
      </c>
      <c r="BQ165" t="s" s="0">
        <v>4305</v>
      </c>
      <c r="BR165" t="s" s="0">
        <v>4306</v>
      </c>
      <c r="BS165" t="s" s="0">
        <v>4307</v>
      </c>
      <c r="BT165" t="s" s="328">
        <f>HYPERLINK("https://www.webofscience.com/wos/woscc/full-record/WOS:000431281900035","View Record in Web of Science")</f>
        <v>120</v>
      </c>
      <c r="BU165" t="s" s="0">
        <v>121</v>
      </c>
      <c r="BV165" t="s" s="0">
        <v>82</v>
      </c>
      <c r="BW165" t="s" s="0">
        <v>82</v>
      </c>
      <c r="BX165" t="s" s="0">
        <v>122</v>
      </c>
    </row>
    <row r="166">
      <c r="A166" t="s" s="0">
        <v>78</v>
      </c>
      <c r="B166" t="s" s="0">
        <v>78</v>
      </c>
      <c r="C166" t="s" s="0">
        <v>78</v>
      </c>
      <c r="D166" t="s" s="0">
        <v>78</v>
      </c>
      <c r="E166" t="s" s="0">
        <v>4308</v>
      </c>
      <c r="F166" t="s" s="0">
        <v>4309</v>
      </c>
      <c r="G166" t="s" s="0">
        <v>4310</v>
      </c>
      <c r="H166" t="s" s="0">
        <v>82</v>
      </c>
      <c r="I166" t="s" s="0">
        <v>83</v>
      </c>
      <c r="J166" t="s" s="0">
        <v>4311</v>
      </c>
      <c r="K166" t="s" s="0">
        <v>4312</v>
      </c>
      <c r="L166" t="s" s="0">
        <v>4313</v>
      </c>
      <c r="M166" t="s" s="0">
        <v>4314</v>
      </c>
      <c r="N166" t="s" s="0">
        <v>4315</v>
      </c>
      <c r="O166" t="s" s="0">
        <v>4316</v>
      </c>
      <c r="P166" t="s" s="0">
        <v>4317</v>
      </c>
      <c r="Q166" t="s" s="0">
        <v>91</v>
      </c>
      <c r="R166" t="s" s="0">
        <v>82</v>
      </c>
      <c r="S166" t="s" s="0">
        <v>82</v>
      </c>
      <c r="T166" t="s" s="0">
        <v>82</v>
      </c>
      <c r="U166" t="s" s="0">
        <v>82</v>
      </c>
      <c r="V166" t="s" s="0">
        <v>4318</v>
      </c>
      <c r="W166" t="s" s="0">
        <v>4319</v>
      </c>
      <c r="X166" t="s" s="0">
        <v>82</v>
      </c>
      <c r="Y166" t="s" s="0">
        <v>82</v>
      </c>
      <c r="Z166" t="s" s="0">
        <v>94</v>
      </c>
      <c r="AA166" t="s" s="0">
        <v>95</v>
      </c>
      <c r="AB166" t="s" s="0">
        <v>82</v>
      </c>
      <c r="AC166" t="s" s="0">
        <v>82</v>
      </c>
      <c r="AD166" t="s" s="0">
        <v>82</v>
      </c>
      <c r="AE166" t="s" s="0">
        <v>82</v>
      </c>
      <c r="AF166" t="s" s="0">
        <v>82</v>
      </c>
      <c r="AG166" t="s" s="0">
        <v>4320</v>
      </c>
      <c r="AH166" t="s" s="0">
        <v>4321</v>
      </c>
      <c r="AI166" t="s" s="0">
        <v>4322</v>
      </c>
      <c r="AJ166" t="s" s="0">
        <v>82</v>
      </c>
      <c r="AK166" t="s" s="0">
        <v>82</v>
      </c>
      <c r="AL166" t="s" s="0">
        <v>828</v>
      </c>
      <c r="AM166" t="s" s="0">
        <v>78</v>
      </c>
      <c r="AN166" t="s" s="0">
        <v>78</v>
      </c>
      <c r="AO166" t="s" s="0">
        <v>78</v>
      </c>
      <c r="AP166" t="s" s="0">
        <v>78</v>
      </c>
      <c r="AQ166" t="s" s="0">
        <v>1578</v>
      </c>
      <c r="AR166" t="s" s="0">
        <v>1579</v>
      </c>
      <c r="AS166" t="s" s="0">
        <v>1580</v>
      </c>
      <c r="AT166" t="s" s="0">
        <v>82</v>
      </c>
      <c r="AU166" t="s" s="0">
        <v>4323</v>
      </c>
      <c r="AV166" t="s" s="0">
        <v>82</v>
      </c>
      <c r="AW166" t="s" s="0">
        <v>4324</v>
      </c>
      <c r="AX166" t="s" s="0">
        <v>4325</v>
      </c>
      <c r="AY166" t="s" s="0">
        <v>181</v>
      </c>
      <c r="AZ166" t="s" s="0">
        <v>181</v>
      </c>
      <c r="BA166" t="s" s="0">
        <v>1320</v>
      </c>
      <c r="BB166" t="s" s="0">
        <v>82</v>
      </c>
      <c r="BC166" t="s" s="0">
        <v>82</v>
      </c>
      <c r="BD166" t="s" s="0">
        <v>82</v>
      </c>
      <c r="BE166" t="s" s="0">
        <v>82</v>
      </c>
      <c r="BF166" t="s" s="0">
        <v>82</v>
      </c>
      <c r="BG166" t="s" s="0">
        <v>82</v>
      </c>
      <c r="BH166" t="s" s="0">
        <v>82</v>
      </c>
      <c r="BI166" t="s" s="0">
        <v>4326</v>
      </c>
      <c r="BJ166" t="s" s="0">
        <v>4327</v>
      </c>
      <c r="BK166" t="s" s="329">
        <f>HYPERLINK("http://dx.doi.org/10.2147/JIR.S555051","http://dx.doi.org/10.2147/JIR.S555051")</f>
        <v>4328</v>
      </c>
      <c r="BL166" t="s" s="0">
        <v>82</v>
      </c>
      <c r="BM166" t="s" s="0">
        <v>82</v>
      </c>
      <c r="BN166" t="s" s="0">
        <v>154</v>
      </c>
      <c r="BO166" t="s" s="0">
        <v>2864</v>
      </c>
      <c r="BP166" t="s" s="0">
        <v>2864</v>
      </c>
      <c r="BQ166" t="s" s="0">
        <v>4329</v>
      </c>
      <c r="BR166" t="s" s="0">
        <v>4330</v>
      </c>
      <c r="BS166" t="s" s="0">
        <v>4331</v>
      </c>
      <c r="BT166" t="s" s="330">
        <f>HYPERLINK("https://www.webofscience.com/wos/woscc/full-record/WOS:001703601500001","View Record in Web of Science")</f>
        <v>120</v>
      </c>
      <c r="BU166" t="s" s="0">
        <v>121</v>
      </c>
      <c r="BV166" t="s" s="0">
        <v>82</v>
      </c>
      <c r="BW166" t="s" s="0">
        <v>82</v>
      </c>
      <c r="BX166" t="s" s="0">
        <v>122</v>
      </c>
    </row>
    <row r="167">
      <c r="A167" t="s" s="0">
        <v>77</v>
      </c>
      <c r="B167" t="s" s="0">
        <v>78</v>
      </c>
      <c r="C167" t="s" s="0">
        <v>101</v>
      </c>
      <c r="D167" t="s" s="0">
        <v>78</v>
      </c>
      <c r="E167" t="s" s="0">
        <v>4332</v>
      </c>
      <c r="F167" t="s" s="0">
        <v>4333</v>
      </c>
      <c r="G167" t="s" s="0">
        <v>4334</v>
      </c>
      <c r="H167" t="s" s="0">
        <v>82</v>
      </c>
      <c r="I167" t="s" s="0">
        <v>83</v>
      </c>
      <c r="J167" t="s" s="0">
        <v>4335</v>
      </c>
      <c r="K167" t="s" s="0">
        <v>4336</v>
      </c>
      <c r="L167" t="s" s="0">
        <v>82</v>
      </c>
      <c r="M167" t="s" s="0">
        <v>82</v>
      </c>
      <c r="N167" t="s" s="0">
        <v>82</v>
      </c>
      <c r="O167" t="s" s="0">
        <v>4337</v>
      </c>
      <c r="P167" t="s" s="0">
        <v>4338</v>
      </c>
      <c r="Q167" t="s" s="0">
        <v>91</v>
      </c>
      <c r="R167" t="s" s="0">
        <v>82</v>
      </c>
      <c r="S167" t="s" s="0">
        <v>82</v>
      </c>
      <c r="T167" t="s" s="0">
        <v>82</v>
      </c>
      <c r="U167" t="s" s="0">
        <v>82</v>
      </c>
      <c r="V167" t="s" s="0">
        <v>4339</v>
      </c>
      <c r="W167" t="s" s="0">
        <v>3637</v>
      </c>
      <c r="X167" t="s" s="0">
        <v>82</v>
      </c>
      <c r="Y167" t="s" s="0">
        <v>82</v>
      </c>
      <c r="Z167" t="s" s="0">
        <v>94</v>
      </c>
      <c r="AA167" t="s" s="0">
        <v>95</v>
      </c>
      <c r="AB167" t="s" s="0">
        <v>82</v>
      </c>
      <c r="AC167" t="s" s="0">
        <v>82</v>
      </c>
      <c r="AD167" t="s" s="0">
        <v>82</v>
      </c>
      <c r="AE167" t="s" s="0">
        <v>82</v>
      </c>
      <c r="AF167" t="s" s="0">
        <v>82</v>
      </c>
      <c r="AG167" t="s" s="0">
        <v>82</v>
      </c>
      <c r="AH167" t="s" s="0">
        <v>4340</v>
      </c>
      <c r="AI167" t="s" s="0">
        <v>4341</v>
      </c>
      <c r="AJ167" t="s" s="0">
        <v>4342</v>
      </c>
      <c r="AK167" t="s" s="0">
        <v>82</v>
      </c>
      <c r="AL167" t="s" s="0">
        <v>77</v>
      </c>
      <c r="AM167" t="s" s="0">
        <v>138</v>
      </c>
      <c r="AN167" t="s" s="0">
        <v>137</v>
      </c>
      <c r="AO167" t="s" s="0">
        <v>447</v>
      </c>
      <c r="AP167" t="s" s="0">
        <v>239</v>
      </c>
      <c r="AQ167" t="s" s="0">
        <v>633</v>
      </c>
      <c r="AR167" t="s" s="0">
        <v>634</v>
      </c>
      <c r="AS167" t="s" s="0">
        <v>635</v>
      </c>
      <c r="AT167" t="s" s="0">
        <v>3642</v>
      </c>
      <c r="AU167" t="s" s="0">
        <v>82</v>
      </c>
      <c r="AV167" t="s" s="0">
        <v>82</v>
      </c>
      <c r="AW167" t="s" s="0">
        <v>3643</v>
      </c>
      <c r="AX167" t="s" s="0">
        <v>3644</v>
      </c>
      <c r="AY167" t="s" s="0">
        <v>4343</v>
      </c>
      <c r="AZ167" t="s" s="0">
        <v>210</v>
      </c>
      <c r="BA167" t="s" s="0">
        <v>115</v>
      </c>
      <c r="BB167" t="s" s="0">
        <v>77</v>
      </c>
      <c r="BC167" t="s" s="0">
        <v>82</v>
      </c>
      <c r="BD167" t="s" s="0">
        <v>82</v>
      </c>
      <c r="BE167" t="s" s="0">
        <v>82</v>
      </c>
      <c r="BF167" t="s" s="0">
        <v>82</v>
      </c>
      <c r="BG167" t="s" s="0">
        <v>82</v>
      </c>
      <c r="BH167" t="s" s="0">
        <v>82</v>
      </c>
      <c r="BI167" t="s" s="0">
        <v>4344</v>
      </c>
      <c r="BJ167" t="s" s="0">
        <v>4345</v>
      </c>
      <c r="BK167" t="s" s="331">
        <f>HYPERLINK("http://dx.doi.org/10.1038/s41598-022-27298-1","http://dx.doi.org/10.1038/s41598-022-27298-1")</f>
        <v>4346</v>
      </c>
      <c r="BL167" t="s" s="0">
        <v>82</v>
      </c>
      <c r="BM167" t="s" s="0">
        <v>82</v>
      </c>
      <c r="BN167" t="s" s="0">
        <v>115</v>
      </c>
      <c r="BO167" t="s" s="0">
        <v>644</v>
      </c>
      <c r="BP167" t="s" s="0">
        <v>645</v>
      </c>
      <c r="BQ167" t="s" s="0">
        <v>4347</v>
      </c>
      <c r="BR167" t="s" s="0">
        <v>4348</v>
      </c>
      <c r="BS167" t="s" s="0">
        <v>4349</v>
      </c>
      <c r="BT167" t="s" s="332">
        <f>HYPERLINK("https://www.webofscience.com/wos/woscc/full-record/WOS:000932732000052","View Record in Web of Science")</f>
        <v>120</v>
      </c>
      <c r="BU167" t="s" s="0">
        <v>121</v>
      </c>
      <c r="BV167" t="s" s="0">
        <v>82</v>
      </c>
      <c r="BW167" t="s" s="0">
        <v>82</v>
      </c>
      <c r="BX167" t="s" s="0">
        <v>122</v>
      </c>
    </row>
    <row r="168">
      <c r="A168" t="s" s="0">
        <v>77</v>
      </c>
      <c r="B168" t="s" s="0">
        <v>78</v>
      </c>
      <c r="C168" t="s" s="0">
        <v>138</v>
      </c>
      <c r="D168" t="s" s="0">
        <v>78</v>
      </c>
      <c r="E168" t="s" s="0">
        <v>4350</v>
      </c>
      <c r="F168" t="s" s="0">
        <v>4351</v>
      </c>
      <c r="G168" t="s" s="0">
        <v>4352</v>
      </c>
      <c r="H168" t="s" s="0">
        <v>82</v>
      </c>
      <c r="I168" t="s" s="0">
        <v>83</v>
      </c>
      <c r="J168" t="s" s="0">
        <v>4353</v>
      </c>
      <c r="K168" t="s" s="0">
        <v>4354</v>
      </c>
      <c r="L168" t="s" s="0">
        <v>82</v>
      </c>
      <c r="M168" t="s" s="0">
        <v>82</v>
      </c>
      <c r="N168" t="s" s="0">
        <v>82</v>
      </c>
      <c r="O168" t="s" s="0">
        <v>4355</v>
      </c>
      <c r="P168" t="s" s="0">
        <v>4356</v>
      </c>
      <c r="Q168" t="s" s="0">
        <v>91</v>
      </c>
      <c r="R168" t="s" s="0">
        <v>82</v>
      </c>
      <c r="S168" t="s" s="0">
        <v>82</v>
      </c>
      <c r="T168" t="s" s="0">
        <v>82</v>
      </c>
      <c r="U168" t="s" s="0">
        <v>82</v>
      </c>
      <c r="V168" t="s" s="0">
        <v>4357</v>
      </c>
      <c r="W168" t="s" s="0">
        <v>4358</v>
      </c>
      <c r="X168" t="s" s="0">
        <v>82</v>
      </c>
      <c r="Y168" t="s" s="0">
        <v>82</v>
      </c>
      <c r="Z168" t="s" s="0">
        <v>94</v>
      </c>
      <c r="AA168" t="s" s="0">
        <v>95</v>
      </c>
      <c r="AB168" t="s" s="0">
        <v>82</v>
      </c>
      <c r="AC168" t="s" s="0">
        <v>82</v>
      </c>
      <c r="AD168" t="s" s="0">
        <v>82</v>
      </c>
      <c r="AE168" t="s" s="0">
        <v>82</v>
      </c>
      <c r="AF168" t="s" s="0">
        <v>82</v>
      </c>
      <c r="AG168" t="s" s="0">
        <v>4359</v>
      </c>
      <c r="AH168" t="s" s="0">
        <v>4360</v>
      </c>
      <c r="AI168" t="s" s="0">
        <v>82</v>
      </c>
      <c r="AJ168" t="s" s="0">
        <v>4361</v>
      </c>
      <c r="AK168" t="s" s="0">
        <v>82</v>
      </c>
      <c r="AL168" t="s" s="0">
        <v>1092</v>
      </c>
      <c r="AM168" t="s" s="0">
        <v>323</v>
      </c>
      <c r="AN168" t="s" s="0">
        <v>154</v>
      </c>
      <c r="AO168" t="s" s="0">
        <v>77</v>
      </c>
      <c r="AP168" t="s" s="0">
        <v>138</v>
      </c>
      <c r="AQ168" t="s" s="0">
        <v>1710</v>
      </c>
      <c r="AR168" t="s" s="0">
        <v>1711</v>
      </c>
      <c r="AS168" t="s" s="0">
        <v>1712</v>
      </c>
      <c r="AT168" t="s" s="0">
        <v>4362</v>
      </c>
      <c r="AU168" t="s" s="0">
        <v>4363</v>
      </c>
      <c r="AV168" t="s" s="0">
        <v>82</v>
      </c>
      <c r="AW168" t="s" s="0">
        <v>4364</v>
      </c>
      <c r="AX168" t="s" s="0">
        <v>4365</v>
      </c>
      <c r="AY168" t="s" s="0">
        <v>4366</v>
      </c>
      <c r="AZ168" t="s" s="0">
        <v>210</v>
      </c>
      <c r="BA168" t="s" s="0">
        <v>111</v>
      </c>
      <c r="BB168" t="s" s="0">
        <v>82</v>
      </c>
      <c r="BC168" t="s" s="0">
        <v>82</v>
      </c>
      <c r="BD168" t="s" s="0">
        <v>82</v>
      </c>
      <c r="BE168" t="s" s="0">
        <v>82</v>
      </c>
      <c r="BF168" t="s" s="0">
        <v>82</v>
      </c>
      <c r="BG168" t="s" s="0">
        <v>82</v>
      </c>
      <c r="BH168" t="s" s="0">
        <v>82</v>
      </c>
      <c r="BI168" t="s" s="0">
        <v>4367</v>
      </c>
      <c r="BJ168" t="s" s="0">
        <v>4368</v>
      </c>
      <c r="BK168" t="s" s="333">
        <f>HYPERLINK("http://dx.doi.org/10.2196/43734","http://dx.doi.org/10.2196/43734")</f>
        <v>4369</v>
      </c>
      <c r="BL168" t="s" s="0">
        <v>82</v>
      </c>
      <c r="BM168" t="s" s="0">
        <v>82</v>
      </c>
      <c r="BN168" t="s" s="0">
        <v>239</v>
      </c>
      <c r="BO168" t="s" s="0">
        <v>785</v>
      </c>
      <c r="BP168" t="s" s="0">
        <v>785</v>
      </c>
      <c r="BQ168" t="s" s="0">
        <v>4370</v>
      </c>
      <c r="BR168" t="s" s="0">
        <v>4371</v>
      </c>
      <c r="BS168" t="s" s="0">
        <v>4372</v>
      </c>
      <c r="BT168" t="s" s="334">
        <f>HYPERLINK("https://www.webofscience.com/wos/woscc/full-record/WOS:001009095500003","View Record in Web of Science")</f>
        <v>120</v>
      </c>
      <c r="BU168" t="s" s="0">
        <v>121</v>
      </c>
      <c r="BV168" t="s" s="0">
        <v>82</v>
      </c>
      <c r="BW168" t="s" s="0">
        <v>82</v>
      </c>
      <c r="BX168" t="s" s="0">
        <v>122</v>
      </c>
    </row>
    <row r="169">
      <c r="A169" t="s" s="0">
        <v>78</v>
      </c>
      <c r="B169" t="s" s="0">
        <v>78</v>
      </c>
      <c r="C169" t="s" s="0">
        <v>78</v>
      </c>
      <c r="D169" t="s" s="0">
        <v>78</v>
      </c>
      <c r="E169" t="s" s="0">
        <v>4373</v>
      </c>
      <c r="F169" t="s" s="0">
        <v>4374</v>
      </c>
      <c r="G169" t="s" s="0">
        <v>4375</v>
      </c>
      <c r="H169" t="s" s="0">
        <v>82</v>
      </c>
      <c r="I169" t="s" s="0">
        <v>83</v>
      </c>
      <c r="J169" t="s" s="0">
        <v>4376</v>
      </c>
      <c r="K169" t="s" s="0">
        <v>4377</v>
      </c>
      <c r="L169" t="s" s="0">
        <v>82</v>
      </c>
      <c r="M169" t="s" s="0">
        <v>82</v>
      </c>
      <c r="N169" t="s" s="0">
        <v>82</v>
      </c>
      <c r="O169" t="s" s="0">
        <v>4378</v>
      </c>
      <c r="P169" t="s" s="0">
        <v>4379</v>
      </c>
      <c r="Q169" t="s" s="0">
        <v>91</v>
      </c>
      <c r="R169" t="s" s="0">
        <v>82</v>
      </c>
      <c r="S169" t="s" s="0">
        <v>82</v>
      </c>
      <c r="T169" t="s" s="0">
        <v>82</v>
      </c>
      <c r="U169" t="s" s="0">
        <v>82</v>
      </c>
      <c r="V169" t="s" s="0">
        <v>4380</v>
      </c>
      <c r="W169" t="s" s="0">
        <v>1777</v>
      </c>
      <c r="X169" t="s" s="0">
        <v>82</v>
      </c>
      <c r="Y169" t="s" s="0">
        <v>82</v>
      </c>
      <c r="Z169" t="s" s="0">
        <v>94</v>
      </c>
      <c r="AA169" t="s" s="0">
        <v>95</v>
      </c>
      <c r="AB169" t="s" s="0">
        <v>82</v>
      </c>
      <c r="AC169" t="s" s="0">
        <v>82</v>
      </c>
      <c r="AD169" t="s" s="0">
        <v>82</v>
      </c>
      <c r="AE169" t="s" s="0">
        <v>82</v>
      </c>
      <c r="AF169" t="s" s="0">
        <v>82</v>
      </c>
      <c r="AG169" t="s" s="0">
        <v>4381</v>
      </c>
      <c r="AH169" t="s" s="0">
        <v>82</v>
      </c>
      <c r="AI169" t="s" s="0">
        <v>4382</v>
      </c>
      <c r="AJ169" t="s" s="0">
        <v>4383</v>
      </c>
      <c r="AK169" t="s" s="0">
        <v>82</v>
      </c>
      <c r="AL169" t="s" s="0">
        <v>1780</v>
      </c>
      <c r="AM169" t="s" s="0">
        <v>221</v>
      </c>
      <c r="AN169" t="s" s="0">
        <v>221</v>
      </c>
      <c r="AO169" t="s" s="0">
        <v>102</v>
      </c>
      <c r="AP169" t="s" s="0">
        <v>221</v>
      </c>
      <c r="AQ169" t="s" s="0">
        <v>832</v>
      </c>
      <c r="AR169" t="s" s="0">
        <v>833</v>
      </c>
      <c r="AS169" t="s" s="0">
        <v>834</v>
      </c>
      <c r="AT169" t="s" s="0">
        <v>1781</v>
      </c>
      <c r="AU169" t="s" s="0">
        <v>1782</v>
      </c>
      <c r="AV169" t="s" s="0">
        <v>82</v>
      </c>
      <c r="AW169" t="s" s="0">
        <v>1783</v>
      </c>
      <c r="AX169" t="s" s="0">
        <v>1784</v>
      </c>
      <c r="AY169" t="s" s="0">
        <v>1365</v>
      </c>
      <c r="AZ169" t="s" s="0">
        <v>181</v>
      </c>
      <c r="BA169" t="s" s="0">
        <v>3082</v>
      </c>
      <c r="BB169" t="s" s="0">
        <v>102</v>
      </c>
      <c r="BC169" t="s" s="0">
        <v>82</v>
      </c>
      <c r="BD169" t="s" s="0">
        <v>82</v>
      </c>
      <c r="BE169" t="s" s="0">
        <v>82</v>
      </c>
      <c r="BF169" t="s" s="0">
        <v>82</v>
      </c>
      <c r="BG169" t="s" s="0">
        <v>4384</v>
      </c>
      <c r="BH169" t="s" s="0">
        <v>4385</v>
      </c>
      <c r="BI169" t="s" s="0">
        <v>82</v>
      </c>
      <c r="BJ169" t="s" s="0">
        <v>4386</v>
      </c>
      <c r="BK169" t="s" s="335">
        <f>HYPERLINK("http://dx.doi.org/10.14309/ajg.0000000000003756","http://dx.doi.org/10.14309/ajg.0000000000003756")</f>
        <v>4387</v>
      </c>
      <c r="BL169" t="s" s="0">
        <v>82</v>
      </c>
      <c r="BM169" t="s" s="0">
        <v>82</v>
      </c>
      <c r="BN169" t="s" s="0">
        <v>136</v>
      </c>
      <c r="BO169" t="s" s="0">
        <v>924</v>
      </c>
      <c r="BP169" t="s" s="0">
        <v>924</v>
      </c>
      <c r="BQ169" t="s" s="0">
        <v>3087</v>
      </c>
      <c r="BR169" t="s" s="0">
        <v>4388</v>
      </c>
      <c r="BS169" t="s" s="0">
        <v>4389</v>
      </c>
      <c r="BT169" t="s" s="336">
        <f>HYPERLINK("https://www.webofscience.com/wos/woscc/full-record/WOS:001735069500009","View Record in Web of Science")</f>
        <v>120</v>
      </c>
      <c r="BU169" t="s" s="0">
        <v>82</v>
      </c>
      <c r="BV169" t="s" s="0">
        <v>4390</v>
      </c>
      <c r="BW169" t="s" s="0">
        <v>4391</v>
      </c>
      <c r="BX169" t="s" s="0">
        <v>122</v>
      </c>
    </row>
    <row r="170">
      <c r="A170" t="s" s="0">
        <v>78</v>
      </c>
      <c r="B170" t="s" s="0">
        <v>78</v>
      </c>
      <c r="C170" t="s" s="0">
        <v>78</v>
      </c>
      <c r="D170" t="s" s="0">
        <v>78</v>
      </c>
      <c r="E170" t="s" s="0">
        <v>4392</v>
      </c>
      <c r="F170" t="s" s="0">
        <v>4393</v>
      </c>
      <c r="G170" t="s" s="0">
        <v>4394</v>
      </c>
      <c r="H170" t="s" s="0">
        <v>82</v>
      </c>
      <c r="I170" t="s" s="0">
        <v>83</v>
      </c>
      <c r="J170" t="s" s="0">
        <v>4395</v>
      </c>
      <c r="K170" t="s" s="0">
        <v>4396</v>
      </c>
      <c r="L170" t="s" s="0">
        <v>4397</v>
      </c>
      <c r="M170" t="s" s="0">
        <v>4398</v>
      </c>
      <c r="N170" t="s" s="0">
        <v>82</v>
      </c>
      <c r="O170" t="s" s="0">
        <v>4399</v>
      </c>
      <c r="P170" t="s" s="0">
        <v>4400</v>
      </c>
      <c r="Q170" t="s" s="0">
        <v>91</v>
      </c>
      <c r="R170" t="s" s="0">
        <v>82</v>
      </c>
      <c r="S170" t="s" s="0">
        <v>82</v>
      </c>
      <c r="T170" t="s" s="0">
        <v>82</v>
      </c>
      <c r="U170" t="s" s="0">
        <v>82</v>
      </c>
      <c r="V170" t="s" s="0">
        <v>4401</v>
      </c>
      <c r="W170" t="s" s="0">
        <v>340</v>
      </c>
      <c r="X170" t="s" s="0">
        <v>82</v>
      </c>
      <c r="Y170" t="s" s="0">
        <v>82</v>
      </c>
      <c r="Z170" t="s" s="0">
        <v>94</v>
      </c>
      <c r="AA170" t="s" s="0">
        <v>95</v>
      </c>
      <c r="AB170" t="s" s="0">
        <v>82</v>
      </c>
      <c r="AC170" t="s" s="0">
        <v>82</v>
      </c>
      <c r="AD170" t="s" s="0">
        <v>82</v>
      </c>
      <c r="AE170" t="s" s="0">
        <v>82</v>
      </c>
      <c r="AF170" t="s" s="0">
        <v>82</v>
      </c>
      <c r="AG170" t="s" s="0">
        <v>4402</v>
      </c>
      <c r="AH170" t="s" s="0">
        <v>82</v>
      </c>
      <c r="AI170" t="s" s="0">
        <v>4403</v>
      </c>
      <c r="AJ170" t="s" s="0">
        <v>4404</v>
      </c>
      <c r="AK170" t="s" s="0">
        <v>82</v>
      </c>
      <c r="AL170" t="s" s="0">
        <v>311</v>
      </c>
      <c r="AM170" t="s" s="0">
        <v>101</v>
      </c>
      <c r="AN170" t="s" s="0">
        <v>221</v>
      </c>
      <c r="AO170" t="s" s="0">
        <v>221</v>
      </c>
      <c r="AP170" t="s" s="0">
        <v>137</v>
      </c>
      <c r="AQ170" t="s" s="0">
        <v>312</v>
      </c>
      <c r="AR170" t="s" s="0">
        <v>313</v>
      </c>
      <c r="AS170" t="s" s="0">
        <v>314</v>
      </c>
      <c r="AT170" t="s" s="0">
        <v>82</v>
      </c>
      <c r="AU170" t="s" s="0">
        <v>345</v>
      </c>
      <c r="AV170" t="s" s="0">
        <v>82</v>
      </c>
      <c r="AW170" t="s" s="0">
        <v>346</v>
      </c>
      <c r="AX170" t="s" s="0">
        <v>347</v>
      </c>
      <c r="AY170" t="s" s="0">
        <v>3527</v>
      </c>
      <c r="AZ170" t="s" s="0">
        <v>147</v>
      </c>
      <c r="BA170" t="s" s="0">
        <v>323</v>
      </c>
      <c r="BB170" t="s" s="0">
        <v>102</v>
      </c>
      <c r="BC170" t="s" s="0">
        <v>82</v>
      </c>
      <c r="BD170" t="s" s="0">
        <v>82</v>
      </c>
      <c r="BE170" t="s" s="0">
        <v>82</v>
      </c>
      <c r="BF170" t="s" s="0">
        <v>82</v>
      </c>
      <c r="BG170" t="s" s="0">
        <v>82</v>
      </c>
      <c r="BH170" t="s" s="0">
        <v>82</v>
      </c>
      <c r="BI170" t="s" s="0">
        <v>4405</v>
      </c>
      <c r="BJ170" t="s" s="0">
        <v>4406</v>
      </c>
      <c r="BK170" t="s" s="337">
        <f>HYPERLINK("http://dx.doi.org/10.3390/jcm14041175","http://dx.doi.org/10.3390/jcm14041175")</f>
        <v>4407</v>
      </c>
      <c r="BL170" t="s" s="0">
        <v>82</v>
      </c>
      <c r="BM170" t="s" s="0">
        <v>82</v>
      </c>
      <c r="BN170" t="s" s="0">
        <v>154</v>
      </c>
      <c r="BO170" t="s" s="0">
        <v>354</v>
      </c>
      <c r="BP170" t="s" s="0">
        <v>355</v>
      </c>
      <c r="BQ170" t="s" s="0">
        <v>4408</v>
      </c>
      <c r="BR170" t="s" s="0">
        <v>4409</v>
      </c>
      <c r="BS170" t="s" s="0">
        <v>4410</v>
      </c>
      <c r="BT170" t="s" s="338">
        <f>HYPERLINK("https://www.webofscience.com/wos/woscc/full-record/WOS:001430120100001","View Record in Web of Science")</f>
        <v>120</v>
      </c>
      <c r="BU170" t="s" s="0">
        <v>121</v>
      </c>
      <c r="BV170" t="s" s="0">
        <v>82</v>
      </c>
      <c r="BW170" t="s" s="0">
        <v>82</v>
      </c>
      <c r="BX170" t="s" s="0">
        <v>122</v>
      </c>
    </row>
    <row r="171">
      <c r="A171" t="s" s="0">
        <v>78</v>
      </c>
      <c r="B171" t="s" s="0">
        <v>78</v>
      </c>
      <c r="C171" t="s" s="0">
        <v>77</v>
      </c>
      <c r="D171" t="s" s="0">
        <v>78</v>
      </c>
      <c r="E171" t="s" s="0">
        <v>4411</v>
      </c>
      <c r="F171" t="s" s="0">
        <v>4412</v>
      </c>
      <c r="G171" t="s" s="0">
        <v>4413</v>
      </c>
      <c r="H171" t="s" s="0">
        <v>82</v>
      </c>
      <c r="I171" t="s" s="0">
        <v>297</v>
      </c>
      <c r="J171" t="s" s="0">
        <v>4414</v>
      </c>
      <c r="K171" t="s" s="0">
        <v>4415</v>
      </c>
      <c r="L171" t="s" s="0">
        <v>4416</v>
      </c>
      <c r="M171" t="s" s="0">
        <v>4417</v>
      </c>
      <c r="N171" t="s" s="0">
        <v>88</v>
      </c>
      <c r="O171" t="s" s="0">
        <v>4418</v>
      </c>
      <c r="P171" t="s" s="0">
        <v>4419</v>
      </c>
      <c r="Q171" t="s" s="0">
        <v>91</v>
      </c>
      <c r="R171" t="s" s="0">
        <v>82</v>
      </c>
      <c r="S171" t="s" s="0">
        <v>82</v>
      </c>
      <c r="T171" t="s" s="0">
        <v>82</v>
      </c>
      <c r="U171" t="s" s="0">
        <v>82</v>
      </c>
      <c r="V171" t="s" s="0">
        <v>4420</v>
      </c>
      <c r="W171" t="s" s="0">
        <v>4421</v>
      </c>
      <c r="X171" t="s" s="0">
        <v>82</v>
      </c>
      <c r="Y171" t="s" s="0">
        <v>82</v>
      </c>
      <c r="Z171" t="s" s="0">
        <v>94</v>
      </c>
      <c r="AA171" t="s" s="0">
        <v>95</v>
      </c>
      <c r="AB171" t="s" s="0">
        <v>82</v>
      </c>
      <c r="AC171" t="s" s="0">
        <v>82</v>
      </c>
      <c r="AD171" t="s" s="0">
        <v>82</v>
      </c>
      <c r="AE171" t="s" s="0">
        <v>82</v>
      </c>
      <c r="AF171" t="s" s="0">
        <v>82</v>
      </c>
      <c r="AG171" t="s" s="0">
        <v>4422</v>
      </c>
      <c r="AH171" t="s" s="0">
        <v>4423</v>
      </c>
      <c r="AI171" t="s" s="0">
        <v>4424</v>
      </c>
      <c r="AJ171" t="s" s="0">
        <v>82</v>
      </c>
      <c r="AK171" t="s" s="0">
        <v>82</v>
      </c>
      <c r="AL171" t="s" s="0">
        <v>4425</v>
      </c>
      <c r="AM171" t="s" s="0">
        <v>221</v>
      </c>
      <c r="AN171" t="s" s="0">
        <v>221</v>
      </c>
      <c r="AO171" t="s" s="0">
        <v>447</v>
      </c>
      <c r="AP171" t="s" s="0">
        <v>447</v>
      </c>
      <c r="AQ171" t="s" s="0">
        <v>2269</v>
      </c>
      <c r="AR171" t="s" s="0">
        <v>104</v>
      </c>
      <c r="AS171" t="s" s="0">
        <v>2270</v>
      </c>
      <c r="AT171" t="s" s="0">
        <v>82</v>
      </c>
      <c r="AU171" t="s" s="0">
        <v>4426</v>
      </c>
      <c r="AV171" t="s" s="0">
        <v>82</v>
      </c>
      <c r="AW171" t="s" s="0">
        <v>4427</v>
      </c>
      <c r="AX171" t="s" s="0">
        <v>4428</v>
      </c>
      <c r="AY171" t="s" s="0">
        <v>4429</v>
      </c>
      <c r="AZ171" t="s" s="0">
        <v>147</v>
      </c>
      <c r="BA171" t="s" s="0">
        <v>323</v>
      </c>
      <c r="BB171" t="s" s="0">
        <v>77</v>
      </c>
      <c r="BC171" t="s" s="0">
        <v>82</v>
      </c>
      <c r="BD171" t="s" s="0">
        <v>82</v>
      </c>
      <c r="BE171" t="s" s="0">
        <v>82</v>
      </c>
      <c r="BF171" t="s" s="0">
        <v>82</v>
      </c>
      <c r="BG171" t="s" s="0">
        <v>82</v>
      </c>
      <c r="BH171" t="s" s="0">
        <v>82</v>
      </c>
      <c r="BI171" t="s" s="0">
        <v>273</v>
      </c>
      <c r="BJ171" t="s" s="0">
        <v>4430</v>
      </c>
      <c r="BK171" t="s" s="339">
        <f>HYPERLINK("http://dx.doi.org/10.1186/s13619-025-00246-w","http://dx.doi.org/10.1186/s13619-025-00246-w")</f>
        <v>4431</v>
      </c>
      <c r="BL171" t="s" s="0">
        <v>82</v>
      </c>
      <c r="BM171" t="s" s="0">
        <v>82</v>
      </c>
      <c r="BN171" t="s" s="0">
        <v>148</v>
      </c>
      <c r="BO171" t="s" s="0">
        <v>4432</v>
      </c>
      <c r="BP171" t="s" s="0">
        <v>4433</v>
      </c>
      <c r="BQ171" t="s" s="0">
        <v>4434</v>
      </c>
      <c r="BR171" t="s" s="0">
        <v>4435</v>
      </c>
      <c r="BS171" t="s" s="0">
        <v>4436</v>
      </c>
      <c r="BT171" t="s" s="340">
        <f>HYPERLINK("https://www.webofscience.com/wos/woscc/full-record/WOS:001528556500001","View Record in Web of Science")</f>
        <v>120</v>
      </c>
      <c r="BU171" t="s" s="0">
        <v>1537</v>
      </c>
      <c r="BV171" t="s" s="0">
        <v>82</v>
      </c>
      <c r="BW171" t="s" s="0">
        <v>82</v>
      </c>
      <c r="BX171" t="s" s="0">
        <v>122</v>
      </c>
    </row>
    <row r="172">
      <c r="A172" t="s" s="0">
        <v>78</v>
      </c>
      <c r="B172" t="s" s="0">
        <v>78</v>
      </c>
      <c r="C172" t="s" s="0">
        <v>77</v>
      </c>
      <c r="D172" t="s" s="0">
        <v>78</v>
      </c>
      <c r="E172" t="s" s="0">
        <v>4437</v>
      </c>
      <c r="F172" t="s" s="0">
        <v>4438</v>
      </c>
      <c r="G172" t="s" s="0">
        <v>4439</v>
      </c>
      <c r="H172" t="s" s="0">
        <v>82</v>
      </c>
      <c r="I172" t="s" s="0">
        <v>83</v>
      </c>
      <c r="J172" t="s" s="0">
        <v>4440</v>
      </c>
      <c r="K172" t="s" s="0">
        <v>4441</v>
      </c>
      <c r="L172" t="s" s="0">
        <v>4442</v>
      </c>
      <c r="M172" t="s" s="0">
        <v>4443</v>
      </c>
      <c r="N172" t="s" s="0">
        <v>4444</v>
      </c>
      <c r="O172" t="s" s="0">
        <v>4445</v>
      </c>
      <c r="P172" t="s" s="0">
        <v>4446</v>
      </c>
      <c r="Q172" t="s" s="0">
        <v>91</v>
      </c>
      <c r="R172" t="s" s="0">
        <v>82</v>
      </c>
      <c r="S172" t="s" s="0">
        <v>82</v>
      </c>
      <c r="T172" t="s" s="0">
        <v>82</v>
      </c>
      <c r="U172" t="s" s="0">
        <v>82</v>
      </c>
      <c r="V172" t="s" s="0">
        <v>4447</v>
      </c>
      <c r="W172" t="s" s="0">
        <v>4448</v>
      </c>
      <c r="X172" t="s" s="0">
        <v>82</v>
      </c>
      <c r="Y172" t="s" s="0">
        <v>82</v>
      </c>
      <c r="Z172" t="s" s="0">
        <v>94</v>
      </c>
      <c r="AA172" t="s" s="0">
        <v>95</v>
      </c>
      <c r="AB172" t="s" s="0">
        <v>82</v>
      </c>
      <c r="AC172" t="s" s="0">
        <v>82</v>
      </c>
      <c r="AD172" t="s" s="0">
        <v>82</v>
      </c>
      <c r="AE172" t="s" s="0">
        <v>82</v>
      </c>
      <c r="AF172" t="s" s="0">
        <v>82</v>
      </c>
      <c r="AG172" t="s" s="0">
        <v>4449</v>
      </c>
      <c r="AH172" t="s" s="0">
        <v>4450</v>
      </c>
      <c r="AI172" t="s" s="0">
        <v>4451</v>
      </c>
      <c r="AJ172" t="s" s="0">
        <v>4452</v>
      </c>
      <c r="AK172" t="s" s="0">
        <v>82</v>
      </c>
      <c r="AL172" t="s" s="0">
        <v>238</v>
      </c>
      <c r="AM172" t="s" s="0">
        <v>221</v>
      </c>
      <c r="AN172" t="s" s="0">
        <v>221</v>
      </c>
      <c r="AO172" t="s" s="0">
        <v>77</v>
      </c>
      <c r="AP172" t="s" s="0">
        <v>101</v>
      </c>
      <c r="AQ172" t="s" s="0">
        <v>491</v>
      </c>
      <c r="AR172" t="s" s="0">
        <v>492</v>
      </c>
      <c r="AS172" t="s" s="0">
        <v>493</v>
      </c>
      <c r="AT172" t="s" s="0">
        <v>4453</v>
      </c>
      <c r="AU172" t="s" s="0">
        <v>4454</v>
      </c>
      <c r="AV172" t="s" s="0">
        <v>82</v>
      </c>
      <c r="AW172" t="s" s="0">
        <v>4455</v>
      </c>
      <c r="AX172" t="s" s="0">
        <v>4456</v>
      </c>
      <c r="AY172" t="s" s="0">
        <v>4457</v>
      </c>
      <c r="AZ172" t="s" s="0">
        <v>210</v>
      </c>
      <c r="BA172" t="s" s="0">
        <v>149</v>
      </c>
      <c r="BB172" t="s" s="0">
        <v>137</v>
      </c>
      <c r="BC172" t="s" s="0">
        <v>82</v>
      </c>
      <c r="BD172" t="s" s="0">
        <v>82</v>
      </c>
      <c r="BE172" t="s" s="0">
        <v>82</v>
      </c>
      <c r="BF172" t="s" s="0">
        <v>82</v>
      </c>
      <c r="BG172" t="s" s="0">
        <v>4458</v>
      </c>
      <c r="BH172" t="s" s="0">
        <v>4459</v>
      </c>
      <c r="BI172" t="s" s="0">
        <v>82</v>
      </c>
      <c r="BJ172" t="s" s="0">
        <v>4460</v>
      </c>
      <c r="BK172" t="s" s="341">
        <f>HYPERLINK("http://dx.doi.org/10.1093/ehjacc/zuad089","http://dx.doi.org/10.1093/ehjacc/zuad089")</f>
        <v>4461</v>
      </c>
      <c r="BL172" t="s" s="0">
        <v>82</v>
      </c>
      <c r="BM172" t="s" s="0">
        <v>2939</v>
      </c>
      <c r="BN172" t="s" s="0">
        <v>245</v>
      </c>
      <c r="BO172" t="s" s="0">
        <v>4462</v>
      </c>
      <c r="BP172" t="s" s="0">
        <v>4463</v>
      </c>
      <c r="BQ172" t="s" s="0">
        <v>4464</v>
      </c>
      <c r="BR172" t="s" s="0">
        <v>4465</v>
      </c>
      <c r="BS172" t="s" s="0">
        <v>4466</v>
      </c>
      <c r="BT172" t="s" s="342">
        <f>HYPERLINK("https://www.webofscience.com/wos/woscc/full-record/WOS:001189035700002","View Record in Web of Science")</f>
        <v>120</v>
      </c>
      <c r="BU172" t="s" s="0">
        <v>82</v>
      </c>
      <c r="BV172" t="s" s="0">
        <v>82</v>
      </c>
      <c r="BW172" t="s" s="0">
        <v>82</v>
      </c>
      <c r="BX172" t="s" s="0">
        <v>122</v>
      </c>
    </row>
    <row r="173">
      <c r="A173" t="s" s="0">
        <v>78</v>
      </c>
      <c r="B173" t="s" s="0">
        <v>78</v>
      </c>
      <c r="C173" t="s" s="0">
        <v>245</v>
      </c>
      <c r="D173" t="s" s="0">
        <v>78</v>
      </c>
      <c r="E173" t="s" s="0">
        <v>4467</v>
      </c>
      <c r="F173" t="s" s="0">
        <v>4468</v>
      </c>
      <c r="G173" t="s" s="0">
        <v>4469</v>
      </c>
      <c r="H173" t="s" s="0">
        <v>82</v>
      </c>
      <c r="I173" t="s" s="0">
        <v>83</v>
      </c>
      <c r="J173" t="s" s="0">
        <v>4470</v>
      </c>
      <c r="K173" t="s" s="0">
        <v>4471</v>
      </c>
      <c r="L173" t="s" s="0">
        <v>4472</v>
      </c>
      <c r="M173" t="s" s="0">
        <v>4473</v>
      </c>
      <c r="N173" t="s" s="0">
        <v>4474</v>
      </c>
      <c r="O173" t="s" s="0">
        <v>4475</v>
      </c>
      <c r="P173" t="s" s="0">
        <v>4476</v>
      </c>
      <c r="Q173" t="s" s="0">
        <v>91</v>
      </c>
      <c r="R173" t="s" s="0">
        <v>82</v>
      </c>
      <c r="S173" t="s" s="0">
        <v>82</v>
      </c>
      <c r="T173" t="s" s="0">
        <v>82</v>
      </c>
      <c r="U173" t="s" s="0">
        <v>82</v>
      </c>
      <c r="V173" t="s" s="0">
        <v>4477</v>
      </c>
      <c r="W173" t="s" s="0">
        <v>4358</v>
      </c>
      <c r="X173" t="s" s="0">
        <v>82</v>
      </c>
      <c r="Y173" t="s" s="0">
        <v>82</v>
      </c>
      <c r="Z173" t="s" s="0">
        <v>94</v>
      </c>
      <c r="AA173" t="s" s="0">
        <v>95</v>
      </c>
      <c r="AB173" t="s" s="0">
        <v>82</v>
      </c>
      <c r="AC173" t="s" s="0">
        <v>82</v>
      </c>
      <c r="AD173" t="s" s="0">
        <v>82</v>
      </c>
      <c r="AE173" t="s" s="0">
        <v>82</v>
      </c>
      <c r="AF173" t="s" s="0">
        <v>82</v>
      </c>
      <c r="AG173" t="s" s="0">
        <v>4478</v>
      </c>
      <c r="AH173" t="s" s="0">
        <v>4479</v>
      </c>
      <c r="AI173" t="s" s="0">
        <v>4480</v>
      </c>
      <c r="AJ173" t="s" s="0">
        <v>4481</v>
      </c>
      <c r="AK173" t="s" s="0">
        <v>82</v>
      </c>
      <c r="AL173" t="s" s="0">
        <v>374</v>
      </c>
      <c r="AM173" t="s" s="0">
        <v>154</v>
      </c>
      <c r="AN173" t="s" s="0">
        <v>173</v>
      </c>
      <c r="AO173" t="s" s="0">
        <v>77</v>
      </c>
      <c r="AP173" t="s" s="0">
        <v>831</v>
      </c>
      <c r="AQ173" t="s" s="0">
        <v>1710</v>
      </c>
      <c r="AR173" t="s" s="0">
        <v>1711</v>
      </c>
      <c r="AS173" t="s" s="0">
        <v>1712</v>
      </c>
      <c r="AT173" t="s" s="0">
        <v>4363</v>
      </c>
      <c r="AU173" t="s" s="0">
        <v>82</v>
      </c>
      <c r="AV173" t="s" s="0">
        <v>82</v>
      </c>
      <c r="AW173" t="s" s="0">
        <v>4364</v>
      </c>
      <c r="AX173" t="s" s="0">
        <v>4365</v>
      </c>
      <c r="AY173" t="s" s="0">
        <v>4482</v>
      </c>
      <c r="AZ173" t="s" s="0">
        <v>110</v>
      </c>
      <c r="BA173" t="s" s="0">
        <v>353</v>
      </c>
      <c r="BB173" t="s" s="0">
        <v>82</v>
      </c>
      <c r="BC173" t="s" s="0">
        <v>82</v>
      </c>
      <c r="BD173" t="s" s="0">
        <v>82</v>
      </c>
      <c r="BE173" t="s" s="0">
        <v>82</v>
      </c>
      <c r="BF173" t="s" s="0">
        <v>82</v>
      </c>
      <c r="BG173" t="s" s="0">
        <v>82</v>
      </c>
      <c r="BH173" t="s" s="0">
        <v>82</v>
      </c>
      <c r="BI173" t="s" s="0">
        <v>4483</v>
      </c>
      <c r="BJ173" t="s" s="0">
        <v>4484</v>
      </c>
      <c r="BK173" t="s" s="343">
        <f>HYPERLINK("http://dx.doi.org/10.2196/41065","http://dx.doi.org/10.2196/41065")</f>
        <v>4485</v>
      </c>
      <c r="BL173" t="s" s="0">
        <v>82</v>
      </c>
      <c r="BM173" t="s" s="0">
        <v>82</v>
      </c>
      <c r="BN173" t="s" s="0">
        <v>323</v>
      </c>
      <c r="BO173" t="s" s="0">
        <v>785</v>
      </c>
      <c r="BP173" t="s" s="0">
        <v>785</v>
      </c>
      <c r="BQ173" t="s" s="0">
        <v>4486</v>
      </c>
      <c r="BR173" t="s" s="0">
        <v>4487</v>
      </c>
      <c r="BS173" t="s" s="0">
        <v>4488</v>
      </c>
      <c r="BT173" t="s" s="344">
        <f>HYPERLINK("https://www.webofscience.com/wos/woscc/full-record/WOS:001198447000002","View Record in Web of Science")</f>
        <v>120</v>
      </c>
      <c r="BU173" t="s" s="0">
        <v>121</v>
      </c>
      <c r="BV173" t="s" s="0">
        <v>82</v>
      </c>
      <c r="BW173" t="s" s="0">
        <v>82</v>
      </c>
      <c r="BX173" t="s" s="0">
        <v>122</v>
      </c>
    </row>
    <row r="174">
      <c r="A174" t="s" s="0">
        <v>78</v>
      </c>
      <c r="B174" t="s" s="0">
        <v>78</v>
      </c>
      <c r="C174" t="s" s="0">
        <v>78</v>
      </c>
      <c r="D174" t="s" s="0">
        <v>78</v>
      </c>
      <c r="E174" t="s" s="0">
        <v>4489</v>
      </c>
      <c r="F174" t="s" s="0">
        <v>4490</v>
      </c>
      <c r="G174" t="s" s="0">
        <v>4491</v>
      </c>
      <c r="H174" t="s" s="0">
        <v>82</v>
      </c>
      <c r="I174" t="s" s="0">
        <v>297</v>
      </c>
      <c r="J174" t="s" s="0">
        <v>4492</v>
      </c>
      <c r="K174" t="s" s="0">
        <v>4493</v>
      </c>
      <c r="L174" t="s" s="0">
        <v>4494</v>
      </c>
      <c r="M174" t="s" s="0">
        <v>4494</v>
      </c>
      <c r="N174" t="s" s="0">
        <v>4495</v>
      </c>
      <c r="O174" t="s" s="0">
        <v>4496</v>
      </c>
      <c r="P174" t="s" s="0">
        <v>4497</v>
      </c>
      <c r="Q174" t="s" s="0">
        <v>91</v>
      </c>
      <c r="R174" t="s" s="0">
        <v>82</v>
      </c>
      <c r="S174" t="s" s="0">
        <v>82</v>
      </c>
      <c r="T174" t="s" s="0">
        <v>82</v>
      </c>
      <c r="U174" t="s" s="0">
        <v>82</v>
      </c>
      <c r="V174" t="s" s="0">
        <v>4498</v>
      </c>
      <c r="W174" t="s" s="0">
        <v>1549</v>
      </c>
      <c r="X174" t="s" s="0">
        <v>82</v>
      </c>
      <c r="Y174" t="s" s="0">
        <v>82</v>
      </c>
      <c r="Z174" t="s" s="0">
        <v>94</v>
      </c>
      <c r="AA174" t="s" s="0">
        <v>95</v>
      </c>
      <c r="AB174" t="s" s="0">
        <v>82</v>
      </c>
      <c r="AC174" t="s" s="0">
        <v>82</v>
      </c>
      <c r="AD174" t="s" s="0">
        <v>82</v>
      </c>
      <c r="AE174" t="s" s="0">
        <v>82</v>
      </c>
      <c r="AF174" t="s" s="0">
        <v>82</v>
      </c>
      <c r="AG174" t="s" s="0">
        <v>4499</v>
      </c>
      <c r="AH174" t="s" s="0">
        <v>1778</v>
      </c>
      <c r="AI174" t="s" s="0">
        <v>4500</v>
      </c>
      <c r="AJ174" t="s" s="0">
        <v>4501</v>
      </c>
      <c r="AK174" t="s" s="0">
        <v>82</v>
      </c>
      <c r="AL174" t="s" s="0">
        <v>111</v>
      </c>
      <c r="AM174" t="s" s="0">
        <v>78</v>
      </c>
      <c r="AN174" t="s" s="0">
        <v>78</v>
      </c>
      <c r="AO174" t="s" s="0">
        <v>78</v>
      </c>
      <c r="AP174" t="s" s="0">
        <v>78</v>
      </c>
      <c r="AQ174" t="s" s="0">
        <v>491</v>
      </c>
      <c r="AR174" t="s" s="0">
        <v>492</v>
      </c>
      <c r="AS174" t="s" s="0">
        <v>493</v>
      </c>
      <c r="AT174" t="s" s="0">
        <v>82</v>
      </c>
      <c r="AU174" t="s" s="0">
        <v>1553</v>
      </c>
      <c r="AV174" t="s" s="0">
        <v>82</v>
      </c>
      <c r="AW174" t="s" s="0">
        <v>1554</v>
      </c>
      <c r="AX174" t="s" s="0">
        <v>1555</v>
      </c>
      <c r="AY174" t="s" s="0">
        <v>153</v>
      </c>
      <c r="AZ174" t="s" s="0">
        <v>181</v>
      </c>
      <c r="BA174" t="s" s="0">
        <v>101</v>
      </c>
      <c r="BB174" t="s" s="0">
        <v>447</v>
      </c>
      <c r="BC174" t="s" s="0">
        <v>82</v>
      </c>
      <c r="BD174" t="s" s="0">
        <v>82</v>
      </c>
      <c r="BE174" t="s" s="0">
        <v>82</v>
      </c>
      <c r="BF174" t="s" s="0">
        <v>82</v>
      </c>
      <c r="BG174" t="s" s="0">
        <v>82</v>
      </c>
      <c r="BH174" t="s" s="0">
        <v>82</v>
      </c>
      <c r="BI174" t="s" s="0">
        <v>4502</v>
      </c>
      <c r="BJ174" t="s" s="0">
        <v>4503</v>
      </c>
      <c r="BK174" t="s" s="345">
        <f>HYPERLINK("http://dx.doi.org/10.1093/radadv/umag013","http://dx.doi.org/10.1093/radadv/umag013")</f>
        <v>4504</v>
      </c>
      <c r="BL174" t="s" s="0">
        <v>82</v>
      </c>
      <c r="BM174" t="s" s="0">
        <v>82</v>
      </c>
      <c r="BN174" t="s" s="0">
        <v>149</v>
      </c>
      <c r="BO174" t="s" s="0">
        <v>414</v>
      </c>
      <c r="BP174" t="s" s="0">
        <v>414</v>
      </c>
      <c r="BQ174" t="s" s="0">
        <v>4505</v>
      </c>
      <c r="BR174" t="s" s="0">
        <v>4506</v>
      </c>
      <c r="BS174" t="s" s="0">
        <v>4507</v>
      </c>
      <c r="BT174" t="s" s="346">
        <f>HYPERLINK("https://www.webofscience.com/wos/woscc/full-record/WOS:001723585200001","View Record in Web of Science")</f>
        <v>120</v>
      </c>
      <c r="BU174" t="s" s="0">
        <v>121</v>
      </c>
      <c r="BV174" t="s" s="0">
        <v>82</v>
      </c>
      <c r="BW174" t="s" s="0">
        <v>82</v>
      </c>
      <c r="BX174" t="s" s="0">
        <v>122</v>
      </c>
    </row>
    <row r="175">
      <c r="A175" t="s" s="0">
        <v>78</v>
      </c>
      <c r="B175" t="s" s="0">
        <v>78</v>
      </c>
      <c r="C175" t="s" s="0">
        <v>78</v>
      </c>
      <c r="D175" t="s" s="0">
        <v>78</v>
      </c>
      <c r="E175" t="s" s="0">
        <v>4508</v>
      </c>
      <c r="F175" t="s" s="0">
        <v>4509</v>
      </c>
      <c r="G175" t="s" s="0">
        <v>4510</v>
      </c>
      <c r="H175" t="s" s="0">
        <v>82</v>
      </c>
      <c r="I175" t="s" s="0">
        <v>83</v>
      </c>
      <c r="J175" t="s" s="0">
        <v>4511</v>
      </c>
      <c r="K175" t="s" s="0">
        <v>4512</v>
      </c>
      <c r="L175" t="s" s="0">
        <v>82</v>
      </c>
      <c r="M175" t="s" s="0">
        <v>82</v>
      </c>
      <c r="N175" t="s" s="0">
        <v>82</v>
      </c>
      <c r="O175" t="s" s="0">
        <v>4513</v>
      </c>
      <c r="P175" t="s" s="0">
        <v>4514</v>
      </c>
      <c r="Q175" t="s" s="0">
        <v>91</v>
      </c>
      <c r="R175" t="s" s="0">
        <v>82</v>
      </c>
      <c r="S175" t="s" s="0">
        <v>82</v>
      </c>
      <c r="T175" t="s" s="0">
        <v>82</v>
      </c>
      <c r="U175" t="s" s="0">
        <v>82</v>
      </c>
      <c r="V175" t="s" s="0">
        <v>4515</v>
      </c>
      <c r="W175" t="s" s="0">
        <v>3434</v>
      </c>
      <c r="X175" t="s" s="0">
        <v>82</v>
      </c>
      <c r="Y175" t="s" s="0">
        <v>82</v>
      </c>
      <c r="Z175" t="s" s="0">
        <v>94</v>
      </c>
      <c r="AA175" t="s" s="0">
        <v>95</v>
      </c>
      <c r="AB175" t="s" s="0">
        <v>82</v>
      </c>
      <c r="AC175" t="s" s="0">
        <v>82</v>
      </c>
      <c r="AD175" t="s" s="0">
        <v>82</v>
      </c>
      <c r="AE175" t="s" s="0">
        <v>82</v>
      </c>
      <c r="AF175" t="s" s="0">
        <v>82</v>
      </c>
      <c r="AG175" t="s" s="0">
        <v>4516</v>
      </c>
      <c r="AH175" t="s" s="0">
        <v>1778</v>
      </c>
      <c r="AI175" t="s" s="0">
        <v>82</v>
      </c>
      <c r="AJ175" t="s" s="0">
        <v>82</v>
      </c>
      <c r="AK175" t="s" s="0">
        <v>82</v>
      </c>
      <c r="AL175" t="s" s="0">
        <v>548</v>
      </c>
      <c r="AM175" t="s" s="0">
        <v>78</v>
      </c>
      <c r="AN175" t="s" s="0">
        <v>78</v>
      </c>
      <c r="AO175" t="s" s="0">
        <v>78</v>
      </c>
      <c r="AP175" t="s" s="0">
        <v>78</v>
      </c>
      <c r="AQ175" t="s" s="0">
        <v>3436</v>
      </c>
      <c r="AR175" t="s" s="0">
        <v>1028</v>
      </c>
      <c r="AS175" t="s" s="0">
        <v>3437</v>
      </c>
      <c r="AT175" t="s" s="0">
        <v>82</v>
      </c>
      <c r="AU175" t="s" s="0">
        <v>3438</v>
      </c>
      <c r="AV175" t="s" s="0">
        <v>82</v>
      </c>
      <c r="AW175" t="s" s="0">
        <v>3434</v>
      </c>
      <c r="AX175" t="s" s="0">
        <v>3439</v>
      </c>
      <c r="AY175" t="s" s="0">
        <v>4517</v>
      </c>
      <c r="AZ175" t="s" s="0">
        <v>181</v>
      </c>
      <c r="BA175" t="s" s="0">
        <v>311</v>
      </c>
      <c r="BB175" t="s" s="0">
        <v>136</v>
      </c>
      <c r="BC175" t="s" s="0">
        <v>82</v>
      </c>
      <c r="BD175" t="s" s="0">
        <v>82</v>
      </c>
      <c r="BE175" t="s" s="0">
        <v>82</v>
      </c>
      <c r="BF175" t="s" s="0">
        <v>82</v>
      </c>
      <c r="BG175" t="s" s="0">
        <v>82</v>
      </c>
      <c r="BH175" t="s" s="0">
        <v>82</v>
      </c>
      <c r="BI175" t="s" s="0">
        <v>4518</v>
      </c>
      <c r="BJ175" t="s" s="0">
        <v>4519</v>
      </c>
      <c r="BK175" t="s" s="347">
        <f>HYPERLINK("http://dx.doi.org/10.1016/j.isci.2026.116876","http://dx.doi.org/10.1016/j.isci.2026.116876")</f>
        <v>4520</v>
      </c>
      <c r="BL175" t="s" s="0">
        <v>82</v>
      </c>
      <c r="BM175" t="s" s="0">
        <v>82</v>
      </c>
      <c r="BN175" t="s" s="0">
        <v>154</v>
      </c>
      <c r="BO175" t="s" s="0">
        <v>644</v>
      </c>
      <c r="BP175" t="s" s="0">
        <v>645</v>
      </c>
      <c r="BQ175" t="s" s="0">
        <v>4521</v>
      </c>
      <c r="BR175" t="s" s="0">
        <v>4522</v>
      </c>
      <c r="BS175" t="s" s="0">
        <v>4523</v>
      </c>
      <c r="BT175" t="s" s="348">
        <f>HYPERLINK("https://www.webofscience.com/wos/woscc/full-record/WOS:001836019900001","View Record in Web of Science")</f>
        <v>120</v>
      </c>
      <c r="BU175" t="s" s="0">
        <v>121</v>
      </c>
      <c r="BV175" t="s" s="0">
        <v>82</v>
      </c>
      <c r="BW175" t="s" s="0">
        <v>82</v>
      </c>
      <c r="BX175" t="s" s="0">
        <v>122</v>
      </c>
    </row>
    <row r="176">
      <c r="A176" t="s" s="0">
        <v>78</v>
      </c>
      <c r="B176" t="s" s="0">
        <v>78</v>
      </c>
      <c r="C176" t="s" s="0">
        <v>77</v>
      </c>
      <c r="D176" t="s" s="0">
        <v>78</v>
      </c>
      <c r="E176" t="s" s="0">
        <v>4524</v>
      </c>
      <c r="F176" t="s" s="0">
        <v>4525</v>
      </c>
      <c r="G176" t="s" s="0">
        <v>4526</v>
      </c>
      <c r="H176" t="s" s="0">
        <v>82</v>
      </c>
      <c r="I176" t="s" s="0">
        <v>83</v>
      </c>
      <c r="J176" t="s" s="0">
        <v>4527</v>
      </c>
      <c r="K176" t="s" s="0">
        <v>4528</v>
      </c>
      <c r="L176" t="s" s="0">
        <v>4529</v>
      </c>
      <c r="M176" t="s" s="0">
        <v>4530</v>
      </c>
      <c r="N176" t="s" s="0">
        <v>4531</v>
      </c>
      <c r="O176" t="s" s="0">
        <v>4532</v>
      </c>
      <c r="P176" t="s" s="0">
        <v>4533</v>
      </c>
      <c r="Q176" t="s" s="0">
        <v>91</v>
      </c>
      <c r="R176" t="s" s="0">
        <v>82</v>
      </c>
      <c r="S176" t="s" s="0">
        <v>82</v>
      </c>
      <c r="T176" t="s" s="0">
        <v>82</v>
      </c>
      <c r="U176" t="s" s="0">
        <v>82</v>
      </c>
      <c r="V176" t="s" s="0">
        <v>4534</v>
      </c>
      <c r="W176" t="s" s="0">
        <v>2480</v>
      </c>
      <c r="X176" t="s" s="0">
        <v>82</v>
      </c>
      <c r="Y176" t="s" s="0">
        <v>82</v>
      </c>
      <c r="Z176" t="s" s="0">
        <v>94</v>
      </c>
      <c r="AA176" t="s" s="0">
        <v>95</v>
      </c>
      <c r="AB176" t="s" s="0">
        <v>82</v>
      </c>
      <c r="AC176" t="s" s="0">
        <v>82</v>
      </c>
      <c r="AD176" t="s" s="0">
        <v>82</v>
      </c>
      <c r="AE176" t="s" s="0">
        <v>82</v>
      </c>
      <c r="AF176" t="s" s="0">
        <v>82</v>
      </c>
      <c r="AG176" t="s" s="0">
        <v>4535</v>
      </c>
      <c r="AH176" t="s" s="0">
        <v>1778</v>
      </c>
      <c r="AI176" t="s" s="0">
        <v>4536</v>
      </c>
      <c r="AJ176" t="s" s="0">
        <v>82</v>
      </c>
      <c r="AK176" t="s" s="0">
        <v>82</v>
      </c>
      <c r="AL176" t="s" s="0">
        <v>238</v>
      </c>
      <c r="AM176" t="s" s="0">
        <v>221</v>
      </c>
      <c r="AN176" t="s" s="0">
        <v>221</v>
      </c>
      <c r="AO176" t="s" s="0">
        <v>221</v>
      </c>
      <c r="AP176" t="s" s="0">
        <v>375</v>
      </c>
      <c r="AQ176" t="s" s="0">
        <v>2484</v>
      </c>
      <c r="AR176" t="s" s="0">
        <v>2485</v>
      </c>
      <c r="AS176" t="s" s="0">
        <v>2486</v>
      </c>
      <c r="AT176" t="s" s="0">
        <v>2487</v>
      </c>
      <c r="AU176" t="s" s="0">
        <v>82</v>
      </c>
      <c r="AV176" t="s" s="0">
        <v>82</v>
      </c>
      <c r="AW176" t="s" s="0">
        <v>2488</v>
      </c>
      <c r="AX176" t="s" s="0">
        <v>2489</v>
      </c>
      <c r="AY176" t="s" s="0">
        <v>4537</v>
      </c>
      <c r="AZ176" t="s" s="0">
        <v>147</v>
      </c>
      <c r="BA176" t="s" s="0">
        <v>640</v>
      </c>
      <c r="BB176" t="s" s="0">
        <v>82</v>
      </c>
      <c r="BC176" t="s" s="0">
        <v>82</v>
      </c>
      <c r="BD176" t="s" s="0">
        <v>82</v>
      </c>
      <c r="BE176" t="s" s="0">
        <v>82</v>
      </c>
      <c r="BF176" t="s" s="0">
        <v>82</v>
      </c>
      <c r="BG176" t="s" s="0">
        <v>82</v>
      </c>
      <c r="BH176" t="s" s="0">
        <v>82</v>
      </c>
      <c r="BI176" t="s" s="0">
        <v>4538</v>
      </c>
      <c r="BJ176" t="s" s="0">
        <v>4539</v>
      </c>
      <c r="BK176" t="s" s="349">
        <f>HYPERLINK("http://dx.doi.org/10.3389/fendo.2025.1692917","http://dx.doi.org/10.3389/fendo.2025.1692917")</f>
        <v>4540</v>
      </c>
      <c r="BL176" t="s" s="0">
        <v>82</v>
      </c>
      <c r="BM176" t="s" s="0">
        <v>82</v>
      </c>
      <c r="BN176" t="s" s="0">
        <v>245</v>
      </c>
      <c r="BO176" t="s" s="0">
        <v>697</v>
      </c>
      <c r="BP176" t="s" s="0">
        <v>697</v>
      </c>
      <c r="BQ176" t="s" s="0">
        <v>4541</v>
      </c>
      <c r="BR176" t="s" s="0">
        <v>4542</v>
      </c>
      <c r="BS176" t="s" s="0">
        <v>4543</v>
      </c>
      <c r="BT176" t="s" s="350">
        <f>HYPERLINK("https://www.webofscience.com/wos/woscc/full-record/WOS:001652530300001","View Record in Web of Science")</f>
        <v>120</v>
      </c>
      <c r="BU176" t="s" s="0">
        <v>121</v>
      </c>
      <c r="BV176" t="s" s="0">
        <v>82</v>
      </c>
      <c r="BW176" t="s" s="0">
        <v>82</v>
      </c>
      <c r="BX176" t="s" s="0">
        <v>122</v>
      </c>
    </row>
    <row r="177">
      <c r="A177" t="s" s="0">
        <v>78</v>
      </c>
      <c r="B177" t="s" s="0">
        <v>78</v>
      </c>
      <c r="C177" t="s" s="0">
        <v>77</v>
      </c>
      <c r="D177" t="s" s="0">
        <v>78</v>
      </c>
      <c r="E177" t="s" s="0">
        <v>4544</v>
      </c>
      <c r="F177" t="s" s="0">
        <v>4545</v>
      </c>
      <c r="G177" t="s" s="0">
        <v>4546</v>
      </c>
      <c r="H177" t="s" s="0">
        <v>82</v>
      </c>
      <c r="I177" t="s" s="0">
        <v>83</v>
      </c>
      <c r="J177" t="s" s="0">
        <v>4547</v>
      </c>
      <c r="K177" t="s" s="0">
        <v>4548</v>
      </c>
      <c r="L177" t="s" s="0">
        <v>4549</v>
      </c>
      <c r="M177" t="s" s="0">
        <v>4550</v>
      </c>
      <c r="N177" t="s" s="0">
        <v>4551</v>
      </c>
      <c r="O177" t="s" s="0">
        <v>4552</v>
      </c>
      <c r="P177" t="s" s="0">
        <v>4553</v>
      </c>
      <c r="Q177" t="s" s="0">
        <v>91</v>
      </c>
      <c r="R177" t="s" s="0">
        <v>82</v>
      </c>
      <c r="S177" t="s" s="0">
        <v>82</v>
      </c>
      <c r="T177" t="s" s="0">
        <v>82</v>
      </c>
      <c r="U177" t="s" s="0">
        <v>82</v>
      </c>
      <c r="V177" t="s" s="0">
        <v>4554</v>
      </c>
      <c r="W177" t="s" s="0">
        <v>4555</v>
      </c>
      <c r="X177" t="s" s="0">
        <v>82</v>
      </c>
      <c r="Y177" t="s" s="0">
        <v>82</v>
      </c>
      <c r="Z177" t="s" s="0">
        <v>94</v>
      </c>
      <c r="AA177" t="s" s="0">
        <v>95</v>
      </c>
      <c r="AB177" t="s" s="0">
        <v>82</v>
      </c>
      <c r="AC177" t="s" s="0">
        <v>82</v>
      </c>
      <c r="AD177" t="s" s="0">
        <v>82</v>
      </c>
      <c r="AE177" t="s" s="0">
        <v>82</v>
      </c>
      <c r="AF177" t="s" s="0">
        <v>82</v>
      </c>
      <c r="AG177" t="s" s="0">
        <v>4556</v>
      </c>
      <c r="AH177" t="s" s="0">
        <v>1778</v>
      </c>
      <c r="AI177" t="s" s="0">
        <v>4557</v>
      </c>
      <c r="AJ177" t="s" s="0">
        <v>4558</v>
      </c>
      <c r="AK177" t="s" s="0">
        <v>82</v>
      </c>
      <c r="AL177" t="s" s="0">
        <v>463</v>
      </c>
      <c r="AM177" t="s" s="0">
        <v>102</v>
      </c>
      <c r="AN177" t="s" s="0">
        <v>102</v>
      </c>
      <c r="AO177" t="s" s="0">
        <v>78</v>
      </c>
      <c r="AP177" t="s" s="0">
        <v>138</v>
      </c>
      <c r="AQ177" t="s" s="0">
        <v>4559</v>
      </c>
      <c r="AR177" t="s" s="0">
        <v>4560</v>
      </c>
      <c r="AS177" t="s" s="0">
        <v>4561</v>
      </c>
      <c r="AT177" t="s" s="0">
        <v>4562</v>
      </c>
      <c r="AU177" t="s" s="0">
        <v>4563</v>
      </c>
      <c r="AV177" t="s" s="0">
        <v>82</v>
      </c>
      <c r="AW177" t="s" s="0">
        <v>4564</v>
      </c>
      <c r="AX177" t="s" s="0">
        <v>4565</v>
      </c>
      <c r="AY177" t="s" s="0">
        <v>497</v>
      </c>
      <c r="AZ177" t="s" s="0">
        <v>147</v>
      </c>
      <c r="BA177" t="s" s="0">
        <v>115</v>
      </c>
      <c r="BB177" t="s" s="0">
        <v>319</v>
      </c>
      <c r="BC177" t="s" s="0">
        <v>82</v>
      </c>
      <c r="BD177" t="s" s="0">
        <v>82</v>
      </c>
      <c r="BE177" t="s" s="0">
        <v>82</v>
      </c>
      <c r="BF177" t="s" s="0">
        <v>82</v>
      </c>
      <c r="BG177" t="s" s="0">
        <v>4566</v>
      </c>
      <c r="BH177" t="s" s="0">
        <v>4567</v>
      </c>
      <c r="BI177" t="s" s="0">
        <v>82</v>
      </c>
      <c r="BJ177" t="s" s="0">
        <v>4568</v>
      </c>
      <c r="BK177" t="s" s="351">
        <f>HYPERLINK("http://dx.doi.org/10.14218/JCTH.2025.00270","http://dx.doi.org/10.14218/JCTH.2025.00270")</f>
        <v>4569</v>
      </c>
      <c r="BL177" t="s" s="0">
        <v>82</v>
      </c>
      <c r="BM177" t="s" s="0">
        <v>949</v>
      </c>
      <c r="BN177" t="s" s="0">
        <v>137</v>
      </c>
      <c r="BO177" t="s" s="0">
        <v>924</v>
      </c>
      <c r="BP177" t="s" s="0">
        <v>924</v>
      </c>
      <c r="BQ177" t="s" s="0">
        <v>4570</v>
      </c>
      <c r="BR177" t="s" s="0">
        <v>4571</v>
      </c>
      <c r="BS177" t="s" s="0">
        <v>4572</v>
      </c>
      <c r="BT177" t="s" s="352">
        <f>HYPERLINK("https://www.webofscience.com/wos/woscc/full-record/WOS:001533140500001","View Record in Web of Science")</f>
        <v>120</v>
      </c>
      <c r="BU177" t="s" s="0">
        <v>121</v>
      </c>
      <c r="BV177" t="s" s="0">
        <v>82</v>
      </c>
      <c r="BW177" t="s" s="0">
        <v>82</v>
      </c>
      <c r="BX177" t="s" s="0">
        <v>122</v>
      </c>
    </row>
    <row r="178">
      <c r="A178" t="s" s="0">
        <v>78</v>
      </c>
      <c r="B178" t="s" s="0">
        <v>78</v>
      </c>
      <c r="C178" t="s" s="0">
        <v>101</v>
      </c>
      <c r="D178" t="s" s="0">
        <v>78</v>
      </c>
      <c r="E178" t="s" s="0">
        <v>4573</v>
      </c>
      <c r="F178" t="s" s="0">
        <v>4574</v>
      </c>
      <c r="G178" t="s" s="0">
        <v>4575</v>
      </c>
      <c r="H178" t="s" s="0">
        <v>82</v>
      </c>
      <c r="I178" t="s" s="0">
        <v>83</v>
      </c>
      <c r="J178" t="s" s="0">
        <v>4576</v>
      </c>
      <c r="K178" t="s" s="0">
        <v>4577</v>
      </c>
      <c r="L178" t="s" s="0">
        <v>4578</v>
      </c>
      <c r="M178" t="s" s="0">
        <v>4579</v>
      </c>
      <c r="N178" t="s" s="0">
        <v>4580</v>
      </c>
      <c r="O178" t="s" s="0">
        <v>4581</v>
      </c>
      <c r="P178" t="s" s="0">
        <v>4582</v>
      </c>
      <c r="Q178" t="s" s="0">
        <v>91</v>
      </c>
      <c r="R178" t="s" s="0">
        <v>82</v>
      </c>
      <c r="S178" t="s" s="0">
        <v>82</v>
      </c>
      <c r="T178" t="s" s="0">
        <v>82</v>
      </c>
      <c r="U178" t="s" s="0">
        <v>82</v>
      </c>
      <c r="V178" t="s" s="0">
        <v>4583</v>
      </c>
      <c r="W178" t="s" s="0">
        <v>4584</v>
      </c>
      <c r="X178" t="s" s="0">
        <v>82</v>
      </c>
      <c r="Y178" t="s" s="0">
        <v>82</v>
      </c>
      <c r="Z178" t="s" s="0">
        <v>94</v>
      </c>
      <c r="AA178" t="s" s="0">
        <v>95</v>
      </c>
      <c r="AB178" t="s" s="0">
        <v>82</v>
      </c>
      <c r="AC178" t="s" s="0">
        <v>82</v>
      </c>
      <c r="AD178" t="s" s="0">
        <v>82</v>
      </c>
      <c r="AE178" t="s" s="0">
        <v>82</v>
      </c>
      <c r="AF178" t="s" s="0">
        <v>82</v>
      </c>
      <c r="AG178" t="s" s="0">
        <v>4585</v>
      </c>
      <c r="AH178" t="s" s="0">
        <v>4586</v>
      </c>
      <c r="AI178" t="s" s="0">
        <v>4587</v>
      </c>
      <c r="AJ178" t="s" s="0">
        <v>4588</v>
      </c>
      <c r="AK178" t="s" s="0">
        <v>82</v>
      </c>
      <c r="AL178" t="s" s="0">
        <v>1526</v>
      </c>
      <c r="AM178" t="s" s="0">
        <v>154</v>
      </c>
      <c r="AN178" t="s" s="0">
        <v>154</v>
      </c>
      <c r="AO178" t="s" s="0">
        <v>78</v>
      </c>
      <c r="AP178" t="s" s="0">
        <v>101</v>
      </c>
      <c r="AQ178" t="s" s="0">
        <v>832</v>
      </c>
      <c r="AR178" t="s" s="0">
        <v>833</v>
      </c>
      <c r="AS178" t="s" s="0">
        <v>834</v>
      </c>
      <c r="AT178" t="s" s="0">
        <v>4589</v>
      </c>
      <c r="AU178" t="s" s="0">
        <v>4590</v>
      </c>
      <c r="AV178" t="s" s="0">
        <v>82</v>
      </c>
      <c r="AW178" t="s" s="0">
        <v>4591</v>
      </c>
      <c r="AX178" t="s" s="0">
        <v>4592</v>
      </c>
      <c r="AY178" t="s" s="0">
        <v>977</v>
      </c>
      <c r="AZ178" t="s" s="0">
        <v>408</v>
      </c>
      <c r="BA178" t="s" s="0">
        <v>685</v>
      </c>
      <c r="BB178" t="s" s="0">
        <v>138</v>
      </c>
      <c r="BC178" t="s" s="0">
        <v>82</v>
      </c>
      <c r="BD178" t="s" s="0">
        <v>82</v>
      </c>
      <c r="BE178" t="s" s="0">
        <v>82</v>
      </c>
      <c r="BF178" t="s" s="0">
        <v>82</v>
      </c>
      <c r="BG178" t="s" s="0">
        <v>4593</v>
      </c>
      <c r="BH178" t="s" s="0">
        <v>4594</v>
      </c>
      <c r="BI178" t="s" s="0">
        <v>82</v>
      </c>
      <c r="BJ178" t="s" s="0">
        <v>4595</v>
      </c>
      <c r="BK178" t="s" s="353">
        <f>HYPERLINK("http://dx.doi.org/10.1097/PCC.0000000000002965","http://dx.doi.org/10.1097/PCC.0000000000002965")</f>
        <v>4596</v>
      </c>
      <c r="BL178" t="s" s="0">
        <v>82</v>
      </c>
      <c r="BM178" t="s" s="0">
        <v>82</v>
      </c>
      <c r="BN178" t="s" s="0">
        <v>245</v>
      </c>
      <c r="BO178" t="s" s="0">
        <v>4597</v>
      </c>
      <c r="BP178" t="s" s="0">
        <v>4598</v>
      </c>
      <c r="BQ178" t="s" s="0">
        <v>4599</v>
      </c>
      <c r="BR178" t="s" s="0">
        <v>4600</v>
      </c>
      <c r="BS178" t="s" s="0">
        <v>4601</v>
      </c>
      <c r="BT178" t="s" s="354">
        <f>HYPERLINK("https://www.webofscience.com/wos/woscc/full-record/WOS:000853548500014","View Record in Web of Science")</f>
        <v>120</v>
      </c>
      <c r="BU178" t="s" s="0">
        <v>1265</v>
      </c>
      <c r="BV178" t="s" s="0">
        <v>82</v>
      </c>
      <c r="BW178" t="s" s="0">
        <v>82</v>
      </c>
      <c r="BX178" t="s" s="0">
        <v>122</v>
      </c>
    </row>
    <row r="179">
      <c r="A179" t="s" s="0">
        <v>78</v>
      </c>
      <c r="B179" t="s" s="0">
        <v>78</v>
      </c>
      <c r="C179" t="s" s="0">
        <v>78</v>
      </c>
      <c r="D179" t="s" s="0">
        <v>78</v>
      </c>
      <c r="E179" t="s" s="0">
        <v>4602</v>
      </c>
      <c r="F179" t="s" s="0">
        <v>4603</v>
      </c>
      <c r="G179" t="s" s="0">
        <v>4604</v>
      </c>
      <c r="H179" t="s" s="0">
        <v>82</v>
      </c>
      <c r="I179" t="s" s="0">
        <v>589</v>
      </c>
      <c r="J179" t="s" s="0">
        <v>3512</v>
      </c>
      <c r="K179" t="s" s="0">
        <v>3513</v>
      </c>
      <c r="L179" t="s" s="0">
        <v>4605</v>
      </c>
      <c r="M179" t="s" s="0">
        <v>4606</v>
      </c>
      <c r="N179" t="s" s="0">
        <v>4607</v>
      </c>
      <c r="O179" t="s" s="0">
        <v>4608</v>
      </c>
      <c r="P179" t="s" s="0">
        <v>4609</v>
      </c>
      <c r="Q179" t="s" s="0">
        <v>91</v>
      </c>
      <c r="R179" t="s" s="0">
        <v>82</v>
      </c>
      <c r="S179" t="s" s="0">
        <v>82</v>
      </c>
      <c r="T179" t="s" s="0">
        <v>82</v>
      </c>
      <c r="U179" t="s" s="0">
        <v>82</v>
      </c>
      <c r="V179" t="s" s="0">
        <v>4610</v>
      </c>
      <c r="W179" t="s" s="0">
        <v>4611</v>
      </c>
      <c r="X179" t="s" s="0">
        <v>82</v>
      </c>
      <c r="Y179" t="s" s="0">
        <v>82</v>
      </c>
      <c r="Z179" t="s" s="0">
        <v>94</v>
      </c>
      <c r="AA179" t="s" s="0">
        <v>95</v>
      </c>
      <c r="AB179" t="s" s="0">
        <v>82</v>
      </c>
      <c r="AC179" t="s" s="0">
        <v>82</v>
      </c>
      <c r="AD179" t="s" s="0">
        <v>82</v>
      </c>
      <c r="AE179" t="s" s="0">
        <v>82</v>
      </c>
      <c r="AF179" t="s" s="0">
        <v>82</v>
      </c>
      <c r="AG179" t="s" s="0">
        <v>4612</v>
      </c>
      <c r="AH179" t="s" s="0">
        <v>4613</v>
      </c>
      <c r="AI179" t="s" s="0">
        <v>4614</v>
      </c>
      <c r="AJ179" t="s" s="0">
        <v>4615</v>
      </c>
      <c r="AK179" t="s" s="0">
        <v>82</v>
      </c>
      <c r="AL179" t="s" s="0">
        <v>829</v>
      </c>
      <c r="AM179" t="s" s="0">
        <v>78</v>
      </c>
      <c r="AN179" t="s" s="0">
        <v>78</v>
      </c>
      <c r="AO179" t="s" s="0">
        <v>78</v>
      </c>
      <c r="AP179" t="s" s="0">
        <v>78</v>
      </c>
      <c r="AQ179" t="s" s="0">
        <v>277</v>
      </c>
      <c r="AR179" t="s" s="0">
        <v>278</v>
      </c>
      <c r="AS179" t="s" s="0">
        <v>279</v>
      </c>
      <c r="AT179" t="s" s="0">
        <v>4616</v>
      </c>
      <c r="AU179" t="s" s="0">
        <v>4617</v>
      </c>
      <c r="AV179" t="s" s="0">
        <v>82</v>
      </c>
      <c r="AW179" t="s" s="0">
        <v>4618</v>
      </c>
      <c r="AX179" t="s" s="0">
        <v>4619</v>
      </c>
      <c r="AY179" t="s" s="0">
        <v>184</v>
      </c>
      <c r="AZ179" t="s" s="0">
        <v>181</v>
      </c>
      <c r="BA179" t="s" s="0">
        <v>4620</v>
      </c>
      <c r="BB179" t="s" s="0">
        <v>82</v>
      </c>
      <c r="BC179" t="s" s="0">
        <v>82</v>
      </c>
      <c r="BD179" t="s" s="0">
        <v>82</v>
      </c>
      <c r="BE179" t="s" s="0">
        <v>82</v>
      </c>
      <c r="BF179" t="s" s="0">
        <v>82</v>
      </c>
      <c r="BG179" t="s" s="0">
        <v>4621</v>
      </c>
      <c r="BH179" t="s" s="0">
        <v>4622</v>
      </c>
      <c r="BI179" t="s" s="0">
        <v>82</v>
      </c>
      <c r="BJ179" t="s" s="0">
        <v>4623</v>
      </c>
      <c r="BK179" t="s" s="355">
        <f>HYPERLINK("http://dx.doi.org/10.1016/j.schres.2026.03.013","http://dx.doi.org/10.1016/j.schres.2026.03.013")</f>
        <v>4624</v>
      </c>
      <c r="BL179" t="s" s="0">
        <v>82</v>
      </c>
      <c r="BM179" t="s" s="0">
        <v>82</v>
      </c>
      <c r="BN179" t="s" s="0">
        <v>136</v>
      </c>
      <c r="BO179" t="s" s="0">
        <v>4625</v>
      </c>
      <c r="BP179" t="s" s="0">
        <v>4625</v>
      </c>
      <c r="BQ179" t="s" s="0">
        <v>4626</v>
      </c>
      <c r="BR179" t="s" s="0">
        <v>4627</v>
      </c>
      <c r="BS179" t="s" s="0">
        <v>4628</v>
      </c>
      <c r="BT179" t="s" s="356">
        <f>HYPERLINK("https://www.webofscience.com/wos/woscc/full-record/WOS:001732465900001","View Record in Web of Science")</f>
        <v>120</v>
      </c>
      <c r="BU179" t="s" s="0">
        <v>159</v>
      </c>
      <c r="BV179" t="s" s="0">
        <v>82</v>
      </c>
      <c r="BW179" t="s" s="0">
        <v>82</v>
      </c>
      <c r="BX179" t="s" s="0">
        <v>122</v>
      </c>
    </row>
    <row r="180">
      <c r="A180" t="s" s="0">
        <v>78</v>
      </c>
      <c r="B180" t="s" s="0">
        <v>78</v>
      </c>
      <c r="C180" t="s" s="0">
        <v>77</v>
      </c>
      <c r="D180" t="s" s="0">
        <v>78</v>
      </c>
      <c r="E180" t="s" s="0">
        <v>4629</v>
      </c>
      <c r="F180" t="s" s="0">
        <v>4630</v>
      </c>
      <c r="G180" t="s" s="0">
        <v>4631</v>
      </c>
      <c r="H180" t="s" s="0">
        <v>82</v>
      </c>
      <c r="I180" t="s" s="0">
        <v>83</v>
      </c>
      <c r="J180" t="s" s="0">
        <v>4632</v>
      </c>
      <c r="K180" t="s" s="0">
        <v>4633</v>
      </c>
      <c r="L180" t="s" s="0">
        <v>82</v>
      </c>
      <c r="M180" t="s" s="0">
        <v>82</v>
      </c>
      <c r="N180" t="s" s="0">
        <v>82</v>
      </c>
      <c r="O180" t="s" s="0">
        <v>4634</v>
      </c>
      <c r="P180" t="s" s="0">
        <v>4635</v>
      </c>
      <c r="Q180" t="s" s="0">
        <v>91</v>
      </c>
      <c r="R180" t="s" s="0">
        <v>82</v>
      </c>
      <c r="S180" t="s" s="0">
        <v>82</v>
      </c>
      <c r="T180" t="s" s="0">
        <v>82</v>
      </c>
      <c r="U180" t="s" s="0">
        <v>82</v>
      </c>
      <c r="V180" t="s" s="0">
        <v>4636</v>
      </c>
      <c r="W180" t="s" s="0">
        <v>4637</v>
      </c>
      <c r="X180" t="s" s="0">
        <v>82</v>
      </c>
      <c r="Y180" t="s" s="0">
        <v>82</v>
      </c>
      <c r="Z180" t="s" s="0">
        <v>94</v>
      </c>
      <c r="AA180" t="s" s="0">
        <v>95</v>
      </c>
      <c r="AB180" t="s" s="0">
        <v>82</v>
      </c>
      <c r="AC180" t="s" s="0">
        <v>82</v>
      </c>
      <c r="AD180" t="s" s="0">
        <v>82</v>
      </c>
      <c r="AE180" t="s" s="0">
        <v>82</v>
      </c>
      <c r="AF180" t="s" s="0">
        <v>82</v>
      </c>
      <c r="AG180" t="s" s="0">
        <v>4638</v>
      </c>
      <c r="AH180" t="s" s="0">
        <v>4639</v>
      </c>
      <c r="AI180" t="s" s="0">
        <v>82</v>
      </c>
      <c r="AJ180" t="s" s="0">
        <v>82</v>
      </c>
      <c r="AK180" t="s" s="0">
        <v>82</v>
      </c>
      <c r="AL180" t="s" s="0">
        <v>1161</v>
      </c>
      <c r="AM180" t="s" s="0">
        <v>447</v>
      </c>
      <c r="AN180" t="s" s="0">
        <v>447</v>
      </c>
      <c r="AO180" t="s" s="0">
        <v>447</v>
      </c>
      <c r="AP180" t="s" s="0">
        <v>447</v>
      </c>
      <c r="AQ180" t="s" s="0">
        <v>1578</v>
      </c>
      <c r="AR180" t="s" s="0">
        <v>1579</v>
      </c>
      <c r="AS180" t="s" s="0">
        <v>1580</v>
      </c>
      <c r="AT180" t="s" s="0">
        <v>4640</v>
      </c>
      <c r="AU180" t="s" s="0">
        <v>82</v>
      </c>
      <c r="AV180" t="s" s="0">
        <v>82</v>
      </c>
      <c r="AW180" t="s" s="0">
        <v>4641</v>
      </c>
      <c r="AX180" t="s" s="0">
        <v>4642</v>
      </c>
      <c r="AY180" t="s" s="0">
        <v>181</v>
      </c>
      <c r="AZ180" t="s" s="0">
        <v>181</v>
      </c>
      <c r="BA180" t="s" s="0">
        <v>1320</v>
      </c>
      <c r="BB180" t="s" s="0">
        <v>82</v>
      </c>
      <c r="BC180" t="s" s="0">
        <v>82</v>
      </c>
      <c r="BD180" t="s" s="0">
        <v>82</v>
      </c>
      <c r="BE180" t="s" s="0">
        <v>82</v>
      </c>
      <c r="BF180" t="s" s="0">
        <v>82</v>
      </c>
      <c r="BG180" t="s" s="0">
        <v>82</v>
      </c>
      <c r="BH180" t="s" s="0">
        <v>82</v>
      </c>
      <c r="BI180" t="s" s="0">
        <v>4643</v>
      </c>
      <c r="BJ180" t="s" s="0">
        <v>4644</v>
      </c>
      <c r="BK180" t="s" s="357">
        <f>HYPERLINK("http://dx.doi.org/10.2147/DMSO.S586810","http://dx.doi.org/10.2147/DMSO.S586810")</f>
        <v>4645</v>
      </c>
      <c r="BL180" t="s" s="0">
        <v>82</v>
      </c>
      <c r="BM180" t="s" s="0">
        <v>82</v>
      </c>
      <c r="BN180" t="s" s="0">
        <v>349</v>
      </c>
      <c r="BO180" t="s" s="0">
        <v>697</v>
      </c>
      <c r="BP180" t="s" s="0">
        <v>697</v>
      </c>
      <c r="BQ180" t="s" s="0">
        <v>4646</v>
      </c>
      <c r="BR180" t="s" s="0">
        <v>4647</v>
      </c>
      <c r="BS180" t="s" s="0">
        <v>4648</v>
      </c>
      <c r="BT180" t="s" s="358">
        <f>HYPERLINK("https://www.webofscience.com/wos/woscc/full-record/WOS:001710380200001","View Record in Web of Science")</f>
        <v>120</v>
      </c>
      <c r="BU180" t="s" s="0">
        <v>121</v>
      </c>
      <c r="BV180" t="s" s="0">
        <v>82</v>
      </c>
      <c r="BW180" t="s" s="0">
        <v>82</v>
      </c>
      <c r="BX180" t="s" s="0">
        <v>122</v>
      </c>
    </row>
    <row r="181">
      <c r="A181" t="s" s="0">
        <v>78</v>
      </c>
      <c r="B181" t="s" s="0">
        <v>78</v>
      </c>
      <c r="C181" t="s" s="0">
        <v>2080</v>
      </c>
      <c r="D181" t="s" s="0">
        <v>78</v>
      </c>
      <c r="E181" t="s" s="0">
        <v>4649</v>
      </c>
      <c r="F181" t="s" s="0">
        <v>4650</v>
      </c>
      <c r="G181" t="s" s="0">
        <v>4651</v>
      </c>
      <c r="H181" t="s" s="0">
        <v>82</v>
      </c>
      <c r="I181" t="s" s="0">
        <v>83</v>
      </c>
      <c r="J181" t="s" s="0">
        <v>4652</v>
      </c>
      <c r="K181" t="s" s="0">
        <v>4653</v>
      </c>
      <c r="L181" t="s" s="0">
        <v>82</v>
      </c>
      <c r="M181" t="s" s="0">
        <v>82</v>
      </c>
      <c r="N181" t="s" s="0">
        <v>82</v>
      </c>
      <c r="O181" t="s" s="0">
        <v>4654</v>
      </c>
      <c r="P181" t="s" s="0">
        <v>4655</v>
      </c>
      <c r="Q181" t="s" s="0">
        <v>91</v>
      </c>
      <c r="R181" t="s" s="0">
        <v>82</v>
      </c>
      <c r="S181" t="s" s="0">
        <v>82</v>
      </c>
      <c r="T181" t="s" s="0">
        <v>82</v>
      </c>
      <c r="U181" t="s" s="0">
        <v>82</v>
      </c>
      <c r="V181" t="s" s="0">
        <v>4656</v>
      </c>
      <c r="W181" t="s" s="0">
        <v>2825</v>
      </c>
      <c r="X181" t="s" s="0">
        <v>82</v>
      </c>
      <c r="Y181" t="s" s="0">
        <v>82</v>
      </c>
      <c r="Z181" t="s" s="0">
        <v>94</v>
      </c>
      <c r="AA181" t="s" s="0">
        <v>95</v>
      </c>
      <c r="AB181" t="s" s="0">
        <v>82</v>
      </c>
      <c r="AC181" t="s" s="0">
        <v>82</v>
      </c>
      <c r="AD181" t="s" s="0">
        <v>82</v>
      </c>
      <c r="AE181" t="s" s="0">
        <v>82</v>
      </c>
      <c r="AF181" t="s" s="0">
        <v>82</v>
      </c>
      <c r="AG181" t="s" s="0">
        <v>4657</v>
      </c>
      <c r="AH181" t="s" s="0">
        <v>4658</v>
      </c>
      <c r="AI181" t="s" s="0">
        <v>4659</v>
      </c>
      <c r="AJ181" t="s" s="0">
        <v>4660</v>
      </c>
      <c r="AK181" t="s" s="0">
        <v>82</v>
      </c>
      <c r="AL181" t="s" s="0">
        <v>4661</v>
      </c>
      <c r="AM181" t="s" s="0">
        <v>4662</v>
      </c>
      <c r="AN181" t="s" s="0">
        <v>4663</v>
      </c>
      <c r="AO181" t="s" s="0">
        <v>447</v>
      </c>
      <c r="AP181" t="s" s="0">
        <v>173</v>
      </c>
      <c r="AQ181" t="s" s="0">
        <v>400</v>
      </c>
      <c r="AR181" t="s" s="0">
        <v>401</v>
      </c>
      <c r="AS181" t="s" s="0">
        <v>402</v>
      </c>
      <c r="AT181" t="s" s="0">
        <v>2829</v>
      </c>
      <c r="AU181" t="s" s="0">
        <v>2830</v>
      </c>
      <c r="AV181" t="s" s="0">
        <v>82</v>
      </c>
      <c r="AW181" t="s" s="0">
        <v>2831</v>
      </c>
      <c r="AX181" t="s" s="0">
        <v>2832</v>
      </c>
      <c r="AY181" t="s" s="0">
        <v>4664</v>
      </c>
      <c r="AZ181" t="s" s="0">
        <v>525</v>
      </c>
      <c r="BA181" t="s" s="0">
        <v>4665</v>
      </c>
      <c r="BB181" t="s" s="0">
        <v>82</v>
      </c>
      <c r="BC181" t="s" s="0">
        <v>82</v>
      </c>
      <c r="BD181" t="s" s="0">
        <v>82</v>
      </c>
      <c r="BE181" t="s" s="0">
        <v>82</v>
      </c>
      <c r="BF181" t="s" s="0">
        <v>82</v>
      </c>
      <c r="BG181" t="s" s="0">
        <v>82</v>
      </c>
      <c r="BH181" t="s" s="0">
        <v>82</v>
      </c>
      <c r="BI181" t="s" s="0">
        <v>4666</v>
      </c>
      <c r="BJ181" t="s" s="0">
        <v>4667</v>
      </c>
      <c r="BK181" t="s" s="359">
        <f>HYPERLINK("http://dx.doi.org/10.1016/j.cmpb.2021.106288","http://dx.doi.org/10.1016/j.cmpb.2021.106288")</f>
        <v>4668</v>
      </c>
      <c r="BL181" t="s" s="0">
        <v>82</v>
      </c>
      <c r="BM181" t="s" s="0">
        <v>4669</v>
      </c>
      <c r="BN181" t="s" s="0">
        <v>349</v>
      </c>
      <c r="BO181" t="s" s="0">
        <v>2838</v>
      </c>
      <c r="BP181" t="s" s="0">
        <v>2839</v>
      </c>
      <c r="BQ181" t="s" s="0">
        <v>4670</v>
      </c>
      <c r="BR181" t="s" s="0">
        <v>4671</v>
      </c>
      <c r="BS181" t="s" s="0">
        <v>4672</v>
      </c>
      <c r="BT181" t="s" s="360">
        <f>HYPERLINK("https://www.webofscience.com/wos/woscc/full-record/WOS:000685503300013","View Record in Web of Science")</f>
        <v>120</v>
      </c>
      <c r="BU181" t="s" s="0">
        <v>1265</v>
      </c>
      <c r="BV181" t="s" s="0">
        <v>4390</v>
      </c>
      <c r="BW181" t="s" s="0">
        <v>4391</v>
      </c>
      <c r="BX181" t="s" s="0">
        <v>122</v>
      </c>
    </row>
    <row r="182">
      <c r="A182" t="s" s="0">
        <v>78</v>
      </c>
      <c r="B182" t="s" s="0">
        <v>78</v>
      </c>
      <c r="C182" t="s" s="0">
        <v>447</v>
      </c>
      <c r="D182" t="s" s="0">
        <v>78</v>
      </c>
      <c r="E182" t="s" s="0">
        <v>4673</v>
      </c>
      <c r="F182" t="s" s="0">
        <v>4674</v>
      </c>
      <c r="G182" t="s" s="0">
        <v>4675</v>
      </c>
      <c r="H182" t="s" s="0">
        <v>82</v>
      </c>
      <c r="I182" t="s" s="0">
        <v>83</v>
      </c>
      <c r="J182" t="s" s="0">
        <v>4676</v>
      </c>
      <c r="K182" t="s" s="0">
        <v>4677</v>
      </c>
      <c r="L182" t="s" s="0">
        <v>4678</v>
      </c>
      <c r="M182" t="s" s="0">
        <v>4679</v>
      </c>
      <c r="N182" t="s" s="0">
        <v>4680</v>
      </c>
      <c r="O182" t="s" s="0">
        <v>4681</v>
      </c>
      <c r="P182" t="s" s="0">
        <v>4682</v>
      </c>
      <c r="Q182" t="s" s="0">
        <v>91</v>
      </c>
      <c r="R182" t="s" s="0">
        <v>82</v>
      </c>
      <c r="S182" t="s" s="0">
        <v>82</v>
      </c>
      <c r="T182" t="s" s="0">
        <v>82</v>
      </c>
      <c r="U182" t="s" s="0">
        <v>82</v>
      </c>
      <c r="V182" t="s" s="0">
        <v>4683</v>
      </c>
      <c r="W182" t="s" s="0">
        <v>4291</v>
      </c>
      <c r="X182" t="s" s="0">
        <v>82</v>
      </c>
      <c r="Y182" t="s" s="0">
        <v>82</v>
      </c>
      <c r="Z182" t="s" s="0">
        <v>94</v>
      </c>
      <c r="AA182" t="s" s="0">
        <v>95</v>
      </c>
      <c r="AB182" t="s" s="0">
        <v>82</v>
      </c>
      <c r="AC182" t="s" s="0">
        <v>82</v>
      </c>
      <c r="AD182" t="s" s="0">
        <v>82</v>
      </c>
      <c r="AE182" t="s" s="0">
        <v>82</v>
      </c>
      <c r="AF182" t="s" s="0">
        <v>82</v>
      </c>
      <c r="AG182" t="s" s="0">
        <v>82</v>
      </c>
      <c r="AH182" t="s" s="0">
        <v>4684</v>
      </c>
      <c r="AI182" t="s" s="0">
        <v>82</v>
      </c>
      <c r="AJ182" t="s" s="0">
        <v>82</v>
      </c>
      <c r="AK182" t="s" s="0">
        <v>82</v>
      </c>
      <c r="AL182" t="s" s="0">
        <v>4685</v>
      </c>
      <c r="AM182" t="s" s="0">
        <v>447</v>
      </c>
      <c r="AN182" t="s" s="0">
        <v>447</v>
      </c>
      <c r="AO182" t="s" s="0">
        <v>447</v>
      </c>
      <c r="AP182" t="s" s="0">
        <v>136</v>
      </c>
      <c r="AQ182" t="s" s="0">
        <v>4295</v>
      </c>
      <c r="AR182" t="s" s="0">
        <v>4296</v>
      </c>
      <c r="AS182" t="s" s="0">
        <v>4297</v>
      </c>
      <c r="AT182" t="s" s="0">
        <v>82</v>
      </c>
      <c r="AU182" t="s" s="0">
        <v>4298</v>
      </c>
      <c r="AV182" t="s" s="0">
        <v>82</v>
      </c>
      <c r="AW182" t="s" s="0">
        <v>4291</v>
      </c>
      <c r="AX182" t="s" s="0">
        <v>4299</v>
      </c>
      <c r="AY182" t="s" s="0">
        <v>4686</v>
      </c>
      <c r="AZ182" t="s" s="0">
        <v>147</v>
      </c>
      <c r="BA182" t="s" s="0">
        <v>173</v>
      </c>
      <c r="BB182" t="s" s="0">
        <v>136</v>
      </c>
      <c r="BC182" t="s" s="0">
        <v>82</v>
      </c>
      <c r="BD182" t="s" s="0">
        <v>82</v>
      </c>
      <c r="BE182" t="s" s="0">
        <v>82</v>
      </c>
      <c r="BF182" t="s" s="0">
        <v>82</v>
      </c>
      <c r="BG182" t="s" s="0">
        <v>82</v>
      </c>
      <c r="BH182" t="s" s="0">
        <v>82</v>
      </c>
      <c r="BI182" t="s" s="0">
        <v>4687</v>
      </c>
      <c r="BJ182" t="s" s="0">
        <v>4688</v>
      </c>
      <c r="BK182" t="s" s="361">
        <f>HYPERLINK("http://dx.doi.org/10.1371/journal.pone.0328906","http://dx.doi.org/10.1371/journal.pone.0328906")</f>
        <v>4689</v>
      </c>
      <c r="BL182" t="s" s="0">
        <v>82</v>
      </c>
      <c r="BM182" t="s" s="0">
        <v>82</v>
      </c>
      <c r="BN182" t="s" s="0">
        <v>685</v>
      </c>
      <c r="BO182" t="s" s="0">
        <v>644</v>
      </c>
      <c r="BP182" t="s" s="0">
        <v>645</v>
      </c>
      <c r="BQ182" t="s" s="0">
        <v>4690</v>
      </c>
      <c r="BR182" t="s" s="0">
        <v>4691</v>
      </c>
      <c r="BS182" t="s" s="0">
        <v>4692</v>
      </c>
      <c r="BT182" t="s" s="362">
        <f>HYPERLINK("https://www.webofscience.com/wos/woscc/full-record/WOS:001542585500034","View Record in Web of Science")</f>
        <v>120</v>
      </c>
      <c r="BU182" t="s" s="0">
        <v>121</v>
      </c>
      <c r="BV182" t="s" s="0">
        <v>82</v>
      </c>
      <c r="BW182" t="s" s="0">
        <v>82</v>
      </c>
      <c r="BX182" t="s" s="0">
        <v>122</v>
      </c>
    </row>
    <row r="183">
      <c r="A183" t="s" s="0">
        <v>78</v>
      </c>
      <c r="B183" t="s" s="0">
        <v>78</v>
      </c>
      <c r="C183" t="s" s="0">
        <v>78</v>
      </c>
      <c r="D183" t="s" s="0">
        <v>78</v>
      </c>
      <c r="E183" t="s" s="0">
        <v>4693</v>
      </c>
      <c r="F183" t="s" s="0">
        <v>4694</v>
      </c>
      <c r="G183" t="s" s="0">
        <v>4695</v>
      </c>
      <c r="H183" t="s" s="0">
        <v>82</v>
      </c>
      <c r="I183" t="s" s="0">
        <v>83</v>
      </c>
      <c r="J183" t="s" s="0">
        <v>4696</v>
      </c>
      <c r="K183" t="s" s="0">
        <v>4697</v>
      </c>
      <c r="L183" t="s" s="0">
        <v>4698</v>
      </c>
      <c r="M183" t="s" s="0">
        <v>4699</v>
      </c>
      <c r="N183" t="s" s="0">
        <v>4700</v>
      </c>
      <c r="O183" t="s" s="0">
        <v>4701</v>
      </c>
      <c r="P183" t="s" s="0">
        <v>4702</v>
      </c>
      <c r="Q183" t="s" s="0">
        <v>91</v>
      </c>
      <c r="R183" t="s" s="0">
        <v>82</v>
      </c>
      <c r="S183" t="s" s="0">
        <v>82</v>
      </c>
      <c r="T183" t="s" s="0">
        <v>82</v>
      </c>
      <c r="U183" t="s" s="0">
        <v>82</v>
      </c>
      <c r="V183" t="s" s="0">
        <v>4703</v>
      </c>
      <c r="W183" t="s" s="0">
        <v>4704</v>
      </c>
      <c r="X183" t="s" s="0">
        <v>82</v>
      </c>
      <c r="Y183" t="s" s="0">
        <v>82</v>
      </c>
      <c r="Z183" t="s" s="0">
        <v>94</v>
      </c>
      <c r="AA183" t="s" s="0">
        <v>95</v>
      </c>
      <c r="AB183" t="s" s="0">
        <v>82</v>
      </c>
      <c r="AC183" t="s" s="0">
        <v>82</v>
      </c>
      <c r="AD183" t="s" s="0">
        <v>82</v>
      </c>
      <c r="AE183" t="s" s="0">
        <v>82</v>
      </c>
      <c r="AF183" t="s" s="0">
        <v>82</v>
      </c>
      <c r="AG183" t="s" s="0">
        <v>4705</v>
      </c>
      <c r="AH183" t="s" s="0">
        <v>4706</v>
      </c>
      <c r="AI183" t="s" s="0">
        <v>82</v>
      </c>
      <c r="AJ183" t="s" s="0">
        <v>82</v>
      </c>
      <c r="AK183" t="s" s="0">
        <v>82</v>
      </c>
      <c r="AL183" t="s" s="0">
        <v>829</v>
      </c>
      <c r="AM183" t="s" s="0">
        <v>78</v>
      </c>
      <c r="AN183" t="s" s="0">
        <v>78</v>
      </c>
      <c r="AO183" t="s" s="0">
        <v>78</v>
      </c>
      <c r="AP183" t="s" s="0">
        <v>78</v>
      </c>
      <c r="AQ183" t="s" s="0">
        <v>400</v>
      </c>
      <c r="AR183" t="s" s="0">
        <v>401</v>
      </c>
      <c r="AS183" t="s" s="0">
        <v>402</v>
      </c>
      <c r="AT183" t="s" s="0">
        <v>4707</v>
      </c>
      <c r="AU183" t="s" s="0">
        <v>4708</v>
      </c>
      <c r="AV183" t="s" s="0">
        <v>82</v>
      </c>
      <c r="AW183" t="s" s="0">
        <v>4709</v>
      </c>
      <c r="AX183" t="s" s="0">
        <v>4710</v>
      </c>
      <c r="AY183" t="s" s="0">
        <v>4711</v>
      </c>
      <c r="AZ183" t="s" s="0">
        <v>181</v>
      </c>
      <c r="BA183" t="s" s="0">
        <v>4712</v>
      </c>
      <c r="BB183" t="s" s="0">
        <v>82</v>
      </c>
      <c r="BC183" t="s" s="0">
        <v>82</v>
      </c>
      <c r="BD183" t="s" s="0">
        <v>82</v>
      </c>
      <c r="BE183" t="s" s="0">
        <v>82</v>
      </c>
      <c r="BF183" t="s" s="0">
        <v>82</v>
      </c>
      <c r="BG183" t="s" s="0">
        <v>82</v>
      </c>
      <c r="BH183" t="s" s="0">
        <v>82</v>
      </c>
      <c r="BI183" t="s" s="0">
        <v>4713</v>
      </c>
      <c r="BJ183" t="s" s="0">
        <v>4714</v>
      </c>
      <c r="BK183" t="s" s="363">
        <f>HYPERLINK("http://dx.doi.org/10.1016/j.ijmedinf.2026.106575","http://dx.doi.org/10.1016/j.ijmedinf.2026.106575")</f>
        <v>4715</v>
      </c>
      <c r="BL183" t="s" s="0">
        <v>82</v>
      </c>
      <c r="BM183" t="s" s="0">
        <v>184</v>
      </c>
      <c r="BN183" t="s" s="0">
        <v>136</v>
      </c>
      <c r="BO183" t="s" s="0">
        <v>4716</v>
      </c>
      <c r="BP183" t="s" s="0">
        <v>4717</v>
      </c>
      <c r="BQ183" t="s" s="0">
        <v>4718</v>
      </c>
      <c r="BR183" t="s" s="0">
        <v>4719</v>
      </c>
      <c r="BS183" t="s" s="0">
        <v>4720</v>
      </c>
      <c r="BT183" t="s" s="364">
        <f>HYPERLINK("https://www.webofscience.com/wos/woscc/full-record/WOS:001812964700001","View Record in Web of Science")</f>
        <v>120</v>
      </c>
      <c r="BU183" t="s" s="0">
        <v>82</v>
      </c>
      <c r="BV183" t="s" s="0">
        <v>82</v>
      </c>
      <c r="BW183" t="s" s="0">
        <v>82</v>
      </c>
      <c r="BX183" t="s" s="0">
        <v>122</v>
      </c>
    </row>
    <row r="184">
      <c r="A184" t="s" s="0">
        <v>78</v>
      </c>
      <c r="B184" t="s" s="0">
        <v>78</v>
      </c>
      <c r="C184" t="s" s="0">
        <v>78</v>
      </c>
      <c r="D184" t="s" s="0">
        <v>78</v>
      </c>
      <c r="E184" t="s" s="0">
        <v>4721</v>
      </c>
      <c r="F184" t="s" s="0">
        <v>4722</v>
      </c>
      <c r="G184" t="s" s="0">
        <v>4723</v>
      </c>
      <c r="H184" t="s" s="0">
        <v>82</v>
      </c>
      <c r="I184" t="s" s="0">
        <v>83</v>
      </c>
      <c r="J184" t="s" s="0">
        <v>4724</v>
      </c>
      <c r="K184" t="s" s="0">
        <v>4725</v>
      </c>
      <c r="L184" t="s" s="0">
        <v>4726</v>
      </c>
      <c r="M184" t="s" s="0">
        <v>4727</v>
      </c>
      <c r="N184" t="s" s="0">
        <v>4728</v>
      </c>
      <c r="O184" t="s" s="0">
        <v>4729</v>
      </c>
      <c r="P184" t="s" s="0">
        <v>4730</v>
      </c>
      <c r="Q184" t="s" s="0">
        <v>91</v>
      </c>
      <c r="R184" t="s" s="0">
        <v>82</v>
      </c>
      <c r="S184" t="s" s="0">
        <v>82</v>
      </c>
      <c r="T184" t="s" s="0">
        <v>82</v>
      </c>
      <c r="U184" t="s" s="0">
        <v>82</v>
      </c>
      <c r="V184" t="s" s="0">
        <v>4731</v>
      </c>
      <c r="W184" t="s" s="0">
        <v>4732</v>
      </c>
      <c r="X184" t="s" s="0">
        <v>82</v>
      </c>
      <c r="Y184" t="s" s="0">
        <v>82</v>
      </c>
      <c r="Z184" t="s" s="0">
        <v>94</v>
      </c>
      <c r="AA184" t="s" s="0">
        <v>95</v>
      </c>
      <c r="AB184" t="s" s="0">
        <v>82</v>
      </c>
      <c r="AC184" t="s" s="0">
        <v>82</v>
      </c>
      <c r="AD184" t="s" s="0">
        <v>82</v>
      </c>
      <c r="AE184" t="s" s="0">
        <v>82</v>
      </c>
      <c r="AF184" t="s" s="0">
        <v>82</v>
      </c>
      <c r="AG184" t="s" s="0">
        <v>4733</v>
      </c>
      <c r="AH184" t="s" s="0">
        <v>4734</v>
      </c>
      <c r="AI184" t="s" s="0">
        <v>82</v>
      </c>
      <c r="AJ184" t="s" s="0">
        <v>82</v>
      </c>
      <c r="AK184" t="s" s="0">
        <v>82</v>
      </c>
      <c r="AL184" t="s" s="0">
        <v>273</v>
      </c>
      <c r="AM184" t="s" s="0">
        <v>78</v>
      </c>
      <c r="AN184" t="s" s="0">
        <v>78</v>
      </c>
      <c r="AO184" t="s" s="0">
        <v>77</v>
      </c>
      <c r="AP184" t="s" s="0">
        <v>77</v>
      </c>
      <c r="AQ184" t="s" s="0">
        <v>103</v>
      </c>
      <c r="AR184" t="s" s="0">
        <v>104</v>
      </c>
      <c r="AS184" t="s" s="0">
        <v>105</v>
      </c>
      <c r="AT184" t="s" s="0">
        <v>82</v>
      </c>
      <c r="AU184" t="s" s="0">
        <v>4735</v>
      </c>
      <c r="AV184" t="s" s="0">
        <v>82</v>
      </c>
      <c r="AW184" t="s" s="0">
        <v>4736</v>
      </c>
      <c r="AX184" t="s" s="0">
        <v>4737</v>
      </c>
      <c r="AY184" t="s" s="0">
        <v>4738</v>
      </c>
      <c r="AZ184" t="s" s="0">
        <v>181</v>
      </c>
      <c r="BA184" t="s" s="0">
        <v>1780</v>
      </c>
      <c r="BB184" t="s" s="0">
        <v>77</v>
      </c>
      <c r="BC184" t="s" s="0">
        <v>82</v>
      </c>
      <c r="BD184" t="s" s="0">
        <v>82</v>
      </c>
      <c r="BE184" t="s" s="0">
        <v>82</v>
      </c>
      <c r="BF184" t="s" s="0">
        <v>82</v>
      </c>
      <c r="BG184" t="s" s="0">
        <v>82</v>
      </c>
      <c r="BH184" t="s" s="0">
        <v>82</v>
      </c>
      <c r="BI184" t="s" s="0">
        <v>4739</v>
      </c>
      <c r="BJ184" t="s" s="0">
        <v>4740</v>
      </c>
      <c r="BK184" t="s" s="365">
        <f>HYPERLINK("http://dx.doi.org/10.1186/s12931-026-03711-5","http://dx.doi.org/10.1186/s12931-026-03711-5")</f>
        <v>4741</v>
      </c>
      <c r="BL184" t="s" s="0">
        <v>82</v>
      </c>
      <c r="BM184" t="s" s="0">
        <v>1003</v>
      </c>
      <c r="BN184" t="s" s="0">
        <v>115</v>
      </c>
      <c r="BO184" t="s" s="0">
        <v>1227</v>
      </c>
      <c r="BP184" t="s" s="0">
        <v>1227</v>
      </c>
      <c r="BQ184" t="s" s="0">
        <v>4742</v>
      </c>
      <c r="BR184" t="s" s="0">
        <v>4743</v>
      </c>
      <c r="BS184" t="s" s="0">
        <v>4744</v>
      </c>
      <c r="BT184" t="s" s="366">
        <f>HYPERLINK("https://www.webofscience.com/wos/woscc/full-record/WOS:001809255100001","View Record in Web of Science")</f>
        <v>120</v>
      </c>
      <c r="BU184" t="s" s="0">
        <v>4745</v>
      </c>
      <c r="BV184" t="s" s="0">
        <v>82</v>
      </c>
      <c r="BW184" t="s" s="0">
        <v>82</v>
      </c>
      <c r="BX184" t="s" s="0">
        <v>122</v>
      </c>
    </row>
    <row r="185">
      <c r="A185" t="s" s="0">
        <v>78</v>
      </c>
      <c r="B185" t="s" s="0">
        <v>78</v>
      </c>
      <c r="C185" t="s" s="0">
        <v>78</v>
      </c>
      <c r="D185" t="s" s="0">
        <v>78</v>
      </c>
      <c r="E185" t="s" s="0">
        <v>4746</v>
      </c>
      <c r="F185" t="s" s="0">
        <v>4747</v>
      </c>
      <c r="G185" t="s" s="0">
        <v>4748</v>
      </c>
      <c r="H185" t="s" s="0">
        <v>82</v>
      </c>
      <c r="I185" t="s" s="0">
        <v>83</v>
      </c>
      <c r="J185" t="s" s="0">
        <v>4749</v>
      </c>
      <c r="K185" t="s" s="0">
        <v>4750</v>
      </c>
      <c r="L185" t="s" s="0">
        <v>82</v>
      </c>
      <c r="M185" t="s" s="0">
        <v>82</v>
      </c>
      <c r="N185" t="s" s="0">
        <v>82</v>
      </c>
      <c r="O185" t="s" s="0">
        <v>4751</v>
      </c>
      <c r="P185" t="s" s="0">
        <v>4752</v>
      </c>
      <c r="Q185" t="s" s="0">
        <v>91</v>
      </c>
      <c r="R185" t="s" s="0">
        <v>82</v>
      </c>
      <c r="S185" t="s" s="0">
        <v>82</v>
      </c>
      <c r="T185" t="s" s="0">
        <v>82</v>
      </c>
      <c r="U185" t="s" s="0">
        <v>82</v>
      </c>
      <c r="V185" t="s" s="0">
        <v>4753</v>
      </c>
      <c r="W185" t="s" s="0">
        <v>2480</v>
      </c>
      <c r="X185" t="s" s="0">
        <v>82</v>
      </c>
      <c r="Y185" t="s" s="0">
        <v>82</v>
      </c>
      <c r="Z185" t="s" s="0">
        <v>94</v>
      </c>
      <c r="AA185" t="s" s="0">
        <v>95</v>
      </c>
      <c r="AB185" t="s" s="0">
        <v>82</v>
      </c>
      <c r="AC185" t="s" s="0">
        <v>82</v>
      </c>
      <c r="AD185" t="s" s="0">
        <v>82</v>
      </c>
      <c r="AE185" t="s" s="0">
        <v>82</v>
      </c>
      <c r="AF185" t="s" s="0">
        <v>82</v>
      </c>
      <c r="AG185" t="s" s="0">
        <v>4754</v>
      </c>
      <c r="AH185" t="s" s="0">
        <v>82</v>
      </c>
      <c r="AI185" t="s" s="0">
        <v>82</v>
      </c>
      <c r="AJ185" t="s" s="0">
        <v>82</v>
      </c>
      <c r="AK185" t="s" s="0">
        <v>82</v>
      </c>
      <c r="AL185" t="s" s="0">
        <v>548</v>
      </c>
      <c r="AM185" t="s" s="0">
        <v>78</v>
      </c>
      <c r="AN185" t="s" s="0">
        <v>78</v>
      </c>
      <c r="AO185" t="s" s="0">
        <v>138</v>
      </c>
      <c r="AP185" t="s" s="0">
        <v>319</v>
      </c>
      <c r="AQ185" t="s" s="0">
        <v>2484</v>
      </c>
      <c r="AR185" t="s" s="0">
        <v>2485</v>
      </c>
      <c r="AS185" t="s" s="0">
        <v>2486</v>
      </c>
      <c r="AT185" t="s" s="0">
        <v>2487</v>
      </c>
      <c r="AU185" t="s" s="0">
        <v>82</v>
      </c>
      <c r="AV185" t="s" s="0">
        <v>82</v>
      </c>
      <c r="AW185" t="s" s="0">
        <v>2488</v>
      </c>
      <c r="AX185" t="s" s="0">
        <v>2489</v>
      </c>
      <c r="AY185" t="s" s="0">
        <v>4755</v>
      </c>
      <c r="AZ185" t="s" s="0">
        <v>181</v>
      </c>
      <c r="BA185" t="s" s="0">
        <v>640</v>
      </c>
      <c r="BB185" t="s" s="0">
        <v>82</v>
      </c>
      <c r="BC185" t="s" s="0">
        <v>82</v>
      </c>
      <c r="BD185" t="s" s="0">
        <v>82</v>
      </c>
      <c r="BE185" t="s" s="0">
        <v>82</v>
      </c>
      <c r="BF185" t="s" s="0">
        <v>82</v>
      </c>
      <c r="BG185" t="s" s="0">
        <v>82</v>
      </c>
      <c r="BH185" t="s" s="0">
        <v>82</v>
      </c>
      <c r="BI185" t="s" s="0">
        <v>4756</v>
      </c>
      <c r="BJ185" t="s" s="0">
        <v>4757</v>
      </c>
      <c r="BK185" t="s" s="367">
        <f>HYPERLINK("http://dx.doi.org/10.3389/fendo.2025.1719698","http://dx.doi.org/10.3389/fendo.2025.1719698")</f>
        <v>4758</v>
      </c>
      <c r="BL185" t="s" s="0">
        <v>82</v>
      </c>
      <c r="BM185" t="s" s="0">
        <v>82</v>
      </c>
      <c r="BN185" t="s" s="0">
        <v>245</v>
      </c>
      <c r="BO185" t="s" s="0">
        <v>697</v>
      </c>
      <c r="BP185" t="s" s="0">
        <v>697</v>
      </c>
      <c r="BQ185" t="s" s="0">
        <v>4759</v>
      </c>
      <c r="BR185" t="s" s="0">
        <v>4760</v>
      </c>
      <c r="BS185" t="s" s="0">
        <v>4761</v>
      </c>
      <c r="BT185" t="s" s="368">
        <f>HYPERLINK("https://www.webofscience.com/wos/woscc/full-record/WOS:001667251100001","View Record in Web of Science")</f>
        <v>120</v>
      </c>
      <c r="BU185" t="s" s="0">
        <v>121</v>
      </c>
      <c r="BV185" t="s" s="0">
        <v>82</v>
      </c>
      <c r="BW185" t="s" s="0">
        <v>82</v>
      </c>
      <c r="BX185" t="s" s="0">
        <v>122</v>
      </c>
    </row>
    <row r="186">
      <c r="A186" t="s" s="0">
        <v>138</v>
      </c>
      <c r="B186" t="s" s="0">
        <v>78</v>
      </c>
      <c r="C186" t="s" s="0">
        <v>238</v>
      </c>
      <c r="D186" t="s" s="0">
        <v>78</v>
      </c>
      <c r="E186" t="s" s="0">
        <v>4762</v>
      </c>
      <c r="F186" t="s" s="0">
        <v>4763</v>
      </c>
      <c r="G186" t="s" s="0">
        <v>4764</v>
      </c>
      <c r="H186" t="s" s="0">
        <v>82</v>
      </c>
      <c r="I186" t="s" s="0">
        <v>83</v>
      </c>
      <c r="J186" t="s" s="0">
        <v>4765</v>
      </c>
      <c r="K186" t="s" s="0">
        <v>4766</v>
      </c>
      <c r="L186" t="s" s="0">
        <v>4767</v>
      </c>
      <c r="M186" t="s" s="0">
        <v>4768</v>
      </c>
      <c r="N186" t="s" s="0">
        <v>4769</v>
      </c>
      <c r="O186" t="s" s="0">
        <v>4770</v>
      </c>
      <c r="P186" t="s" s="0">
        <v>4771</v>
      </c>
      <c r="Q186" t="s" s="0">
        <v>91</v>
      </c>
      <c r="R186" t="s" s="0">
        <v>82</v>
      </c>
      <c r="S186" t="s" s="0">
        <v>82</v>
      </c>
      <c r="T186" t="s" s="0">
        <v>82</v>
      </c>
      <c r="U186" t="s" s="0">
        <v>82</v>
      </c>
      <c r="V186" t="s" s="0">
        <v>4772</v>
      </c>
      <c r="W186" t="s" s="0">
        <v>4773</v>
      </c>
      <c r="X186" t="s" s="0">
        <v>82</v>
      </c>
      <c r="Y186" t="s" s="0">
        <v>82</v>
      </c>
      <c r="Z186" t="s" s="0">
        <v>94</v>
      </c>
      <c r="AA186" t="s" s="0">
        <v>95</v>
      </c>
      <c r="AB186" t="s" s="0">
        <v>82</v>
      </c>
      <c r="AC186" t="s" s="0">
        <v>82</v>
      </c>
      <c r="AD186" t="s" s="0">
        <v>82</v>
      </c>
      <c r="AE186" t="s" s="0">
        <v>82</v>
      </c>
      <c r="AF186" t="s" s="0">
        <v>82</v>
      </c>
      <c r="AG186" t="s" s="0">
        <v>82</v>
      </c>
      <c r="AH186" t="s" s="0">
        <v>4774</v>
      </c>
      <c r="AI186" t="s" s="0">
        <v>4775</v>
      </c>
      <c r="AJ186" t="s" s="0">
        <v>4776</v>
      </c>
      <c r="AK186" t="s" s="0">
        <v>82</v>
      </c>
      <c r="AL186" t="s" s="0">
        <v>2081</v>
      </c>
      <c r="AM186" t="s" s="0">
        <v>2081</v>
      </c>
      <c r="AN186" t="s" s="0">
        <v>4777</v>
      </c>
      <c r="AO186" t="s" s="0">
        <v>102</v>
      </c>
      <c r="AP186" t="s" s="0">
        <v>548</v>
      </c>
      <c r="AQ186" t="s" s="0">
        <v>575</v>
      </c>
      <c r="AR186" t="s" s="0">
        <v>104</v>
      </c>
      <c r="AS186" t="s" s="0">
        <v>576</v>
      </c>
      <c r="AT186" t="s" s="0">
        <v>4778</v>
      </c>
      <c r="AU186" t="s" s="0">
        <v>4779</v>
      </c>
      <c r="AV186" t="s" s="0">
        <v>82</v>
      </c>
      <c r="AW186" t="s" s="0">
        <v>4780</v>
      </c>
      <c r="AX186" t="s" s="0">
        <v>4781</v>
      </c>
      <c r="AY186" t="s" s="0">
        <v>4782</v>
      </c>
      <c r="AZ186" t="s" s="0">
        <v>210</v>
      </c>
      <c r="BA186" t="s" s="0">
        <v>4783</v>
      </c>
      <c r="BB186" t="s" s="0">
        <v>82</v>
      </c>
      <c r="BC186" t="s" s="0">
        <v>82</v>
      </c>
      <c r="BD186" t="s" s="0">
        <v>82</v>
      </c>
      <c r="BE186" t="s" s="0">
        <v>82</v>
      </c>
      <c r="BF186" t="s" s="0">
        <v>82</v>
      </c>
      <c r="BG186" t="s" s="0">
        <v>82</v>
      </c>
      <c r="BH186" t="s" s="0">
        <v>82</v>
      </c>
      <c r="BI186" t="s" s="0">
        <v>4784</v>
      </c>
      <c r="BJ186" t="s" s="0">
        <v>4785</v>
      </c>
      <c r="BK186" t="s" s="369">
        <f>HYPERLINK("http://dx.doi.org/10.1136/bmj-2022-073800","http://dx.doi.org/10.1136/bmj-2022-073800")</f>
        <v>4786</v>
      </c>
      <c r="BL186" t="s" s="0">
        <v>82</v>
      </c>
      <c r="BM186" t="s" s="0">
        <v>82</v>
      </c>
      <c r="BN186" t="s" s="0">
        <v>154</v>
      </c>
      <c r="BO186" t="s" s="0">
        <v>354</v>
      </c>
      <c r="BP186" t="s" s="0">
        <v>355</v>
      </c>
      <c r="BQ186" t="s" s="0">
        <v>4787</v>
      </c>
      <c r="BR186" t="s" s="0">
        <v>4788</v>
      </c>
      <c r="BS186" t="s" s="0">
        <v>4789</v>
      </c>
      <c r="BT186" t="s" s="370">
        <f>HYPERLINK("https://www.webofscience.com/wos/woscc/full-record/WOS:001099483300002","View Record in Web of Science")</f>
        <v>120</v>
      </c>
      <c r="BU186" t="s" s="0">
        <v>256</v>
      </c>
      <c r="BV186" t="s" s="0">
        <v>82</v>
      </c>
      <c r="BW186" t="s" s="0">
        <v>82</v>
      </c>
      <c r="BX186" t="s" s="0">
        <v>122</v>
      </c>
    </row>
    <row r="187">
      <c r="A187" t="s" s="0">
        <v>78</v>
      </c>
      <c r="B187" t="s" s="0">
        <v>78</v>
      </c>
      <c r="C187" t="s" s="0">
        <v>78</v>
      </c>
      <c r="D187" t="s" s="0">
        <v>78</v>
      </c>
      <c r="E187" t="s" s="0">
        <v>4790</v>
      </c>
      <c r="F187" t="s" s="0">
        <v>4791</v>
      </c>
      <c r="G187" t="s" s="0">
        <v>4792</v>
      </c>
      <c r="H187" t="s" s="0">
        <v>82</v>
      </c>
      <c r="I187" t="s" s="0">
        <v>83</v>
      </c>
      <c r="J187" t="s" s="0">
        <v>4793</v>
      </c>
      <c r="K187" t="s" s="0">
        <v>4794</v>
      </c>
      <c r="L187" t="s" s="0">
        <v>4795</v>
      </c>
      <c r="M187" t="s" s="0">
        <v>4795</v>
      </c>
      <c r="N187" t="s" s="0">
        <v>4796</v>
      </c>
      <c r="O187" t="s" s="0">
        <v>4797</v>
      </c>
      <c r="P187" t="s" s="0">
        <v>4798</v>
      </c>
      <c r="Q187" t="s" s="0">
        <v>91</v>
      </c>
      <c r="R187" t="s" s="0">
        <v>82</v>
      </c>
      <c r="S187" t="s" s="0">
        <v>82</v>
      </c>
      <c r="T187" t="s" s="0">
        <v>82</v>
      </c>
      <c r="U187" t="s" s="0">
        <v>82</v>
      </c>
      <c r="V187" t="s" s="0">
        <v>4799</v>
      </c>
      <c r="W187" t="s" s="0">
        <v>4800</v>
      </c>
      <c r="X187" t="s" s="0">
        <v>82</v>
      </c>
      <c r="Y187" t="s" s="0">
        <v>82</v>
      </c>
      <c r="Z187" t="s" s="0">
        <v>94</v>
      </c>
      <c r="AA187" t="s" s="0">
        <v>95</v>
      </c>
      <c r="AB187" t="s" s="0">
        <v>82</v>
      </c>
      <c r="AC187" t="s" s="0">
        <v>82</v>
      </c>
      <c r="AD187" t="s" s="0">
        <v>82</v>
      </c>
      <c r="AE187" t="s" s="0">
        <v>82</v>
      </c>
      <c r="AF187" t="s" s="0">
        <v>82</v>
      </c>
      <c r="AG187" t="s" s="0">
        <v>82</v>
      </c>
      <c r="AH187" t="s" s="0">
        <v>4801</v>
      </c>
      <c r="AI187" t="s" s="0">
        <v>4802</v>
      </c>
      <c r="AJ187" t="s" s="0">
        <v>4803</v>
      </c>
      <c r="AK187" t="s" s="0">
        <v>82</v>
      </c>
      <c r="AL187" t="s" s="0">
        <v>1186</v>
      </c>
      <c r="AM187" t="s" s="0">
        <v>78</v>
      </c>
      <c r="AN187" t="s" s="0">
        <v>78</v>
      </c>
      <c r="AO187" t="s" s="0">
        <v>77</v>
      </c>
      <c r="AP187" t="s" s="0">
        <v>221</v>
      </c>
      <c r="AQ187" t="s" s="0">
        <v>600</v>
      </c>
      <c r="AR187" t="s" s="0">
        <v>601</v>
      </c>
      <c r="AS187" t="s" s="0">
        <v>602</v>
      </c>
      <c r="AT187" t="s" s="0">
        <v>4804</v>
      </c>
      <c r="AU187" t="s" s="0">
        <v>82</v>
      </c>
      <c r="AV187" t="s" s="0">
        <v>82</v>
      </c>
      <c r="AW187" t="s" s="0">
        <v>4805</v>
      </c>
      <c r="AX187" t="s" s="0">
        <v>4806</v>
      </c>
      <c r="AY187" t="s" s="0">
        <v>1394</v>
      </c>
      <c r="AZ187" t="s" s="0">
        <v>147</v>
      </c>
      <c r="BA187" t="s" s="0">
        <v>149</v>
      </c>
      <c r="BB187" t="s" s="0">
        <v>375</v>
      </c>
      <c r="BC187" t="s" s="0">
        <v>82</v>
      </c>
      <c r="BD187" t="s" s="0">
        <v>82</v>
      </c>
      <c r="BE187" t="s" s="0">
        <v>82</v>
      </c>
      <c r="BF187" t="s" s="0">
        <v>82</v>
      </c>
      <c r="BG187" t="s" s="0">
        <v>4807</v>
      </c>
      <c r="BH187" t="s" s="0">
        <v>4808</v>
      </c>
      <c r="BI187" t="s" s="0">
        <v>82</v>
      </c>
      <c r="BJ187" t="s" s="0">
        <v>4809</v>
      </c>
      <c r="BK187" t="s" s="371">
        <f>HYPERLINK("http://dx.doi.org/10.1016/S2352-3026(25)00068-7","http://dx.doi.org/10.1016/S2352-3026(25)00068-7")</f>
        <v>4810</v>
      </c>
      <c r="BL187" t="s" s="0">
        <v>82</v>
      </c>
      <c r="BM187" t="s" s="0">
        <v>1191</v>
      </c>
      <c r="BN187" t="s" s="0">
        <v>137</v>
      </c>
      <c r="BO187" t="s" s="0">
        <v>4811</v>
      </c>
      <c r="BP187" t="s" s="0">
        <v>4811</v>
      </c>
      <c r="BQ187" t="s" s="0">
        <v>4812</v>
      </c>
      <c r="BR187" t="s" s="0">
        <v>4813</v>
      </c>
      <c r="BS187" t="s" s="0">
        <v>4814</v>
      </c>
      <c r="BT187" t="s" s="372">
        <f>HYPERLINK("https://www.webofscience.com/wos/woscc/full-record/WOS:001503595800008","View Record in Web of Science")</f>
        <v>120</v>
      </c>
      <c r="BU187" t="s" s="0">
        <v>82</v>
      </c>
      <c r="BV187" t="s" s="0">
        <v>82</v>
      </c>
      <c r="BW187" t="s" s="0">
        <v>82</v>
      </c>
      <c r="BX187" t="s" s="0">
        <v>122</v>
      </c>
    </row>
    <row r="188">
      <c r="A188" t="s" s="0">
        <v>78</v>
      </c>
      <c r="B188" t="s" s="0">
        <v>78</v>
      </c>
      <c r="C188" t="s" s="0">
        <v>78</v>
      </c>
      <c r="D188" t="s" s="0">
        <v>78</v>
      </c>
      <c r="E188" t="s" s="0">
        <v>4815</v>
      </c>
      <c r="F188" t="s" s="0">
        <v>4816</v>
      </c>
      <c r="G188" t="s" s="0">
        <v>4817</v>
      </c>
      <c r="H188" t="s" s="0">
        <v>82</v>
      </c>
      <c r="I188" t="s" s="0">
        <v>83</v>
      </c>
      <c r="J188" t="s" s="0">
        <v>4818</v>
      </c>
      <c r="K188" t="s" s="0">
        <v>4819</v>
      </c>
      <c r="L188" t="s" s="0">
        <v>4820</v>
      </c>
      <c r="M188" t="s" s="0">
        <v>4820</v>
      </c>
      <c r="N188" t="s" s="0">
        <v>4821</v>
      </c>
      <c r="O188" t="s" s="0">
        <v>4822</v>
      </c>
      <c r="P188" t="s" s="0">
        <v>4823</v>
      </c>
      <c r="Q188" t="s" s="0">
        <v>91</v>
      </c>
      <c r="R188" t="s" s="0">
        <v>82</v>
      </c>
      <c r="S188" t="s" s="0">
        <v>82</v>
      </c>
      <c r="T188" t="s" s="0">
        <v>82</v>
      </c>
      <c r="U188" t="s" s="0">
        <v>82</v>
      </c>
      <c r="V188" t="s" s="0">
        <v>4824</v>
      </c>
      <c r="W188" t="s" s="0">
        <v>4825</v>
      </c>
      <c r="X188" t="s" s="0">
        <v>82</v>
      </c>
      <c r="Y188" t="s" s="0">
        <v>82</v>
      </c>
      <c r="Z188" t="s" s="0">
        <v>94</v>
      </c>
      <c r="AA188" t="s" s="0">
        <v>95</v>
      </c>
      <c r="AB188" t="s" s="0">
        <v>82</v>
      </c>
      <c r="AC188" t="s" s="0">
        <v>82</v>
      </c>
      <c r="AD188" t="s" s="0">
        <v>82</v>
      </c>
      <c r="AE188" t="s" s="0">
        <v>82</v>
      </c>
      <c r="AF188" t="s" s="0">
        <v>82</v>
      </c>
      <c r="AG188" t="s" s="0">
        <v>82</v>
      </c>
      <c r="AH188" t="s" s="0">
        <v>82</v>
      </c>
      <c r="AI188" t="s" s="0">
        <v>4826</v>
      </c>
      <c r="AJ188" t="s" s="0">
        <v>4827</v>
      </c>
      <c r="AK188" t="s" s="0">
        <v>82</v>
      </c>
      <c r="AL188" t="s" s="0">
        <v>831</v>
      </c>
      <c r="AM188" t="s" s="0">
        <v>375</v>
      </c>
      <c r="AN188" t="s" s="0">
        <v>375</v>
      </c>
      <c r="AO188" t="s" s="0">
        <v>102</v>
      </c>
      <c r="AP188" t="s" s="0">
        <v>102</v>
      </c>
      <c r="AQ188" t="s" s="0">
        <v>633</v>
      </c>
      <c r="AR188" t="s" s="0">
        <v>634</v>
      </c>
      <c r="AS188" t="s" s="0">
        <v>635</v>
      </c>
      <c r="AT188" t="s" s="0">
        <v>82</v>
      </c>
      <c r="AU188" t="s" s="0">
        <v>4828</v>
      </c>
      <c r="AV188" t="s" s="0">
        <v>82</v>
      </c>
      <c r="AW188" t="s" s="0">
        <v>4829</v>
      </c>
      <c r="AX188" t="s" s="0">
        <v>4830</v>
      </c>
      <c r="AY188" t="s" s="0">
        <v>153</v>
      </c>
      <c r="AZ188" t="s" s="0">
        <v>181</v>
      </c>
      <c r="BA188" t="s" s="0">
        <v>138</v>
      </c>
      <c r="BB188" t="s" s="0">
        <v>101</v>
      </c>
      <c r="BC188" t="s" s="0">
        <v>82</v>
      </c>
      <c r="BD188" t="s" s="0">
        <v>82</v>
      </c>
      <c r="BE188" t="s" s="0">
        <v>82</v>
      </c>
      <c r="BF188" t="s" s="0">
        <v>82</v>
      </c>
      <c r="BG188" t="s" s="0">
        <v>82</v>
      </c>
      <c r="BH188" t="s" s="0">
        <v>82</v>
      </c>
      <c r="BI188" t="s" s="0">
        <v>82</v>
      </c>
      <c r="BJ188" t="s" s="0">
        <v>4831</v>
      </c>
      <c r="BK188" t="s" s="373">
        <f>HYPERLINK("http://dx.doi.org/10.1038/s43018-026-01126-1","http://dx.doi.org/10.1038/s43018-026-01126-1")</f>
        <v>4832</v>
      </c>
      <c r="BL188" t="s" s="0">
        <v>82</v>
      </c>
      <c r="BM188" t="s" s="0">
        <v>153</v>
      </c>
      <c r="BN188" t="s" s="0">
        <v>115</v>
      </c>
      <c r="BO188" t="s" s="0">
        <v>4833</v>
      </c>
      <c r="BP188" t="s" s="0">
        <v>4833</v>
      </c>
      <c r="BQ188" t="s" s="0">
        <v>4834</v>
      </c>
      <c r="BR188" t="s" s="0">
        <v>4835</v>
      </c>
      <c r="BS188" t="s" s="0">
        <v>4836</v>
      </c>
      <c r="BT188" t="s" s="374">
        <f>HYPERLINK("https://www.webofscience.com/wos/woscc/full-record/WOS:001711488100001","View Record in Web of Science")</f>
        <v>120</v>
      </c>
      <c r="BU188" t="s" s="0">
        <v>4837</v>
      </c>
      <c r="BV188" t="s" s="0">
        <v>82</v>
      </c>
      <c r="BW188" t="s" s="0">
        <v>82</v>
      </c>
      <c r="BX188" t="s" s="0">
        <v>122</v>
      </c>
    </row>
    <row r="189">
      <c r="A189" t="s" s="0">
        <v>77</v>
      </c>
      <c r="B189" t="s" s="0">
        <v>78</v>
      </c>
      <c r="C189" t="s" s="0">
        <v>148</v>
      </c>
      <c r="D189" t="s" s="0">
        <v>78</v>
      </c>
      <c r="E189" t="s" s="0">
        <v>4838</v>
      </c>
      <c r="F189" t="s" s="0">
        <v>4839</v>
      </c>
      <c r="G189" t="s" s="0">
        <v>4840</v>
      </c>
      <c r="H189" t="s" s="0">
        <v>82</v>
      </c>
      <c r="I189" t="s" s="0">
        <v>83</v>
      </c>
      <c r="J189" t="s" s="0">
        <v>4841</v>
      </c>
      <c r="K189" t="s" s="0">
        <v>4842</v>
      </c>
      <c r="L189" t="s" s="0">
        <v>82</v>
      </c>
      <c r="M189" t="s" s="0">
        <v>82</v>
      </c>
      <c r="N189" t="s" s="0">
        <v>82</v>
      </c>
      <c r="O189" t="s" s="0">
        <v>4843</v>
      </c>
      <c r="P189" t="s" s="0">
        <v>4844</v>
      </c>
      <c r="Q189" t="s" s="0">
        <v>91</v>
      </c>
      <c r="R189" t="s" s="0">
        <v>82</v>
      </c>
      <c r="S189" t="s" s="0">
        <v>82</v>
      </c>
      <c r="T189" t="s" s="0">
        <v>82</v>
      </c>
      <c r="U189" t="s" s="0">
        <v>82</v>
      </c>
      <c r="V189" t="s" s="0">
        <v>4845</v>
      </c>
      <c r="W189" t="s" s="0">
        <v>4846</v>
      </c>
      <c r="X189" t="s" s="0">
        <v>82</v>
      </c>
      <c r="Y189" t="s" s="0">
        <v>82</v>
      </c>
      <c r="Z189" t="s" s="0">
        <v>94</v>
      </c>
      <c r="AA189" t="s" s="0">
        <v>95</v>
      </c>
      <c r="AB189" t="s" s="0">
        <v>82</v>
      </c>
      <c r="AC189" t="s" s="0">
        <v>82</v>
      </c>
      <c r="AD189" t="s" s="0">
        <v>82</v>
      </c>
      <c r="AE189" t="s" s="0">
        <v>82</v>
      </c>
      <c r="AF189" t="s" s="0">
        <v>82</v>
      </c>
      <c r="AG189" t="s" s="0">
        <v>82</v>
      </c>
      <c r="AH189" t="s" s="0">
        <v>4847</v>
      </c>
      <c r="AI189" t="s" s="0">
        <v>4848</v>
      </c>
      <c r="AJ189" t="s" s="0">
        <v>4849</v>
      </c>
      <c r="AK189" t="s" s="0">
        <v>82</v>
      </c>
      <c r="AL189" t="s" s="0">
        <v>828</v>
      </c>
      <c r="AM189" t="s" s="0">
        <v>464</v>
      </c>
      <c r="AN189" t="s" s="0">
        <v>4661</v>
      </c>
      <c r="AO189" t="s" s="0">
        <v>78</v>
      </c>
      <c r="AP189" t="s" s="0">
        <v>323</v>
      </c>
      <c r="AQ189" t="s" s="0">
        <v>4850</v>
      </c>
      <c r="AR189" t="s" s="0">
        <v>1417</v>
      </c>
      <c r="AS189" t="s" s="0">
        <v>4851</v>
      </c>
      <c r="AT189" t="s" s="0">
        <v>4852</v>
      </c>
      <c r="AU189" t="s" s="0">
        <v>4853</v>
      </c>
      <c r="AV189" t="s" s="0">
        <v>82</v>
      </c>
      <c r="AW189" t="s" s="0">
        <v>4854</v>
      </c>
      <c r="AX189" t="s" s="0">
        <v>4855</v>
      </c>
      <c r="AY189" t="s" s="0">
        <v>4856</v>
      </c>
      <c r="AZ189" t="s" s="0">
        <v>210</v>
      </c>
      <c r="BA189" t="s" s="0">
        <v>1869</v>
      </c>
      <c r="BB189" t="s" s="0">
        <v>137</v>
      </c>
      <c r="BC189" t="s" s="0">
        <v>82</v>
      </c>
      <c r="BD189" t="s" s="0">
        <v>82</v>
      </c>
      <c r="BE189" t="s" s="0">
        <v>82</v>
      </c>
      <c r="BF189" t="s" s="0">
        <v>82</v>
      </c>
      <c r="BG189" t="s" s="0">
        <v>4857</v>
      </c>
      <c r="BH189" t="s" s="0">
        <v>4858</v>
      </c>
      <c r="BI189" t="s" s="0">
        <v>82</v>
      </c>
      <c r="BJ189" t="s" s="0">
        <v>4859</v>
      </c>
      <c r="BK189" t="s" s="375">
        <f>HYPERLINK("http://dx.doi.org/10.1021/acs.jcim.3c00160","http://dx.doi.org/10.1021/acs.jcim.3c00160")</f>
        <v>4860</v>
      </c>
      <c r="BL189" t="s" s="0">
        <v>82</v>
      </c>
      <c r="BM189" t="s" s="0">
        <v>209</v>
      </c>
      <c r="BN189" t="s" s="0">
        <v>149</v>
      </c>
      <c r="BO189" t="s" s="0">
        <v>4861</v>
      </c>
      <c r="BP189" t="s" s="0">
        <v>4862</v>
      </c>
      <c r="BQ189" t="s" s="0">
        <v>4863</v>
      </c>
      <c r="BR189" t="s" s="0">
        <v>4864</v>
      </c>
      <c r="BS189" t="s" s="0">
        <v>4865</v>
      </c>
      <c r="BT189" t="s" s="376">
        <f>HYPERLINK("https://www.webofscience.com/wos/woscc/full-record/WOS:001022649400001","View Record in Web of Science")</f>
        <v>120</v>
      </c>
      <c r="BU189" t="s" s="0">
        <v>82</v>
      </c>
      <c r="BV189" t="s" s="0">
        <v>82</v>
      </c>
      <c r="BW189" t="s" s="0">
        <v>82</v>
      </c>
      <c r="BX189" t="s" s="0">
        <v>122</v>
      </c>
    </row>
    <row r="190">
      <c r="A190" t="s" s="0">
        <v>101</v>
      </c>
      <c r="B190" t="s" s="0">
        <v>78</v>
      </c>
      <c r="C190" t="s" s="0">
        <v>1161</v>
      </c>
      <c r="D190" t="s" s="0">
        <v>77</v>
      </c>
      <c r="E190" t="s" s="0">
        <v>4866</v>
      </c>
      <c r="F190" t="s" s="0">
        <v>4867</v>
      </c>
      <c r="G190" t="s" s="0">
        <v>4868</v>
      </c>
      <c r="H190" t="s" s="0">
        <v>82</v>
      </c>
      <c r="I190" t="s" s="0">
        <v>589</v>
      </c>
      <c r="J190" t="s" s="0">
        <v>4869</v>
      </c>
      <c r="K190" t="s" s="0">
        <v>4870</v>
      </c>
      <c r="L190" t="s" s="0">
        <v>4871</v>
      </c>
      <c r="M190" t="s" s="0">
        <v>4872</v>
      </c>
      <c r="N190" t="s" s="0">
        <v>4873</v>
      </c>
      <c r="O190" t="s" s="0">
        <v>4874</v>
      </c>
      <c r="P190" t="s" s="0">
        <v>4875</v>
      </c>
      <c r="Q190" t="s" s="0">
        <v>91</v>
      </c>
      <c r="R190" t="s" s="0">
        <v>82</v>
      </c>
      <c r="S190" t="s" s="0">
        <v>82</v>
      </c>
      <c r="T190" t="s" s="0">
        <v>82</v>
      </c>
      <c r="U190" t="s" s="0">
        <v>82</v>
      </c>
      <c r="V190" t="s" s="0">
        <v>4876</v>
      </c>
      <c r="W190" t="s" s="0">
        <v>4877</v>
      </c>
      <c r="X190" t="s" s="0">
        <v>82</v>
      </c>
      <c r="Y190" t="s" s="0">
        <v>82</v>
      </c>
      <c r="Z190" t="s" s="0">
        <v>94</v>
      </c>
      <c r="AA190" t="s" s="0">
        <v>95</v>
      </c>
      <c r="AB190" t="s" s="0">
        <v>82</v>
      </c>
      <c r="AC190" t="s" s="0">
        <v>82</v>
      </c>
      <c r="AD190" t="s" s="0">
        <v>82</v>
      </c>
      <c r="AE190" t="s" s="0">
        <v>82</v>
      </c>
      <c r="AF190" t="s" s="0">
        <v>82</v>
      </c>
      <c r="AG190" t="s" s="0">
        <v>82</v>
      </c>
      <c r="AH190" t="s" s="0">
        <v>4878</v>
      </c>
      <c r="AI190" t="s" s="0">
        <v>4879</v>
      </c>
      <c r="AJ190" t="s" s="0">
        <v>4880</v>
      </c>
      <c r="AK190" t="s" s="0">
        <v>82</v>
      </c>
      <c r="AL190" t="s" s="0">
        <v>745</v>
      </c>
      <c r="AM190" t="s" s="0">
        <v>3708</v>
      </c>
      <c r="AN190" t="s" s="0">
        <v>4881</v>
      </c>
      <c r="AO190" t="s" s="0">
        <v>447</v>
      </c>
      <c r="AP190" t="s" s="0">
        <v>1026</v>
      </c>
      <c r="AQ190" t="s" s="0">
        <v>4295</v>
      </c>
      <c r="AR190" t="s" s="0">
        <v>4296</v>
      </c>
      <c r="AS190" t="s" s="0">
        <v>4297</v>
      </c>
      <c r="AT190" t="s" s="0">
        <v>4882</v>
      </c>
      <c r="AU190" t="s" s="0">
        <v>4883</v>
      </c>
      <c r="AV190" t="s" s="0">
        <v>82</v>
      </c>
      <c r="AW190" t="s" s="0">
        <v>4884</v>
      </c>
      <c r="AX190" t="s" s="0">
        <v>4885</v>
      </c>
      <c r="AY190" t="s" s="0">
        <v>4886</v>
      </c>
      <c r="AZ190" t="s" s="0">
        <v>4301</v>
      </c>
      <c r="BA190" t="s" s="0">
        <v>349</v>
      </c>
      <c r="BB190" t="s" s="0">
        <v>137</v>
      </c>
      <c r="BC190" t="s" s="0">
        <v>82</v>
      </c>
      <c r="BD190" t="s" s="0">
        <v>82</v>
      </c>
      <c r="BE190" t="s" s="0">
        <v>82</v>
      </c>
      <c r="BF190" t="s" s="0">
        <v>82</v>
      </c>
      <c r="BG190" t="s" s="0">
        <v>82</v>
      </c>
      <c r="BH190" t="s" s="0">
        <v>82</v>
      </c>
      <c r="BI190" t="s" s="0">
        <v>4887</v>
      </c>
      <c r="BJ190" t="s" s="0">
        <v>4888</v>
      </c>
      <c r="BK190" t="s" s="377">
        <f>HYPERLINK("http://dx.doi.org/10.1371/journal.pmed.1002705","http://dx.doi.org/10.1371/journal.pmed.1002705")</f>
        <v>4889</v>
      </c>
      <c r="BL190" t="s" s="0">
        <v>82</v>
      </c>
      <c r="BM190" t="s" s="0">
        <v>82</v>
      </c>
      <c r="BN190" t="s" s="0">
        <v>173</v>
      </c>
      <c r="BO190" t="s" s="0">
        <v>354</v>
      </c>
      <c r="BP190" t="s" s="0">
        <v>355</v>
      </c>
      <c r="BQ190" t="s" s="0">
        <v>4890</v>
      </c>
      <c r="BR190" t="s" s="0">
        <v>4891</v>
      </c>
      <c r="BS190" t="s" s="0">
        <v>4892</v>
      </c>
      <c r="BT190" t="s" s="378">
        <f>HYPERLINK("https://www.webofscience.com/wos/woscc/full-record/WOS:000451827800021","View Record in Web of Science")</f>
        <v>120</v>
      </c>
      <c r="BU190" t="s" s="0">
        <v>121</v>
      </c>
      <c r="BV190" t="s" s="0">
        <v>82</v>
      </c>
      <c r="BW190" t="s" s="0">
        <v>82</v>
      </c>
      <c r="BX190" t="s" s="0">
        <v>122</v>
      </c>
    </row>
    <row r="191">
      <c r="A191" t="s" s="0">
        <v>78</v>
      </c>
      <c r="B191" t="s" s="0">
        <v>78</v>
      </c>
      <c r="C191" t="s" s="0">
        <v>136</v>
      </c>
      <c r="D191" t="s" s="0">
        <v>78</v>
      </c>
      <c r="E191" t="s" s="0">
        <v>4893</v>
      </c>
      <c r="F191" t="s" s="0">
        <v>4894</v>
      </c>
      <c r="G191" t="s" s="0">
        <v>4895</v>
      </c>
      <c r="H191" t="s" s="0">
        <v>82</v>
      </c>
      <c r="I191" t="s" s="0">
        <v>297</v>
      </c>
      <c r="J191" t="s" s="0">
        <v>4896</v>
      </c>
      <c r="K191" t="s" s="0">
        <v>4897</v>
      </c>
      <c r="L191" t="s" s="0">
        <v>4898</v>
      </c>
      <c r="M191" t="s" s="0">
        <v>4899</v>
      </c>
      <c r="N191" t="s" s="0">
        <v>4900</v>
      </c>
      <c r="O191" t="s" s="0">
        <v>4901</v>
      </c>
      <c r="P191" t="s" s="0">
        <v>4902</v>
      </c>
      <c r="Q191" t="s" s="0">
        <v>91</v>
      </c>
      <c r="R191" t="s" s="0">
        <v>82</v>
      </c>
      <c r="S191" t="s" s="0">
        <v>82</v>
      </c>
      <c r="T191" t="s" s="0">
        <v>82</v>
      </c>
      <c r="U191" t="s" s="0">
        <v>82</v>
      </c>
      <c r="V191" t="s" s="0">
        <v>4903</v>
      </c>
      <c r="W191" t="s" s="0">
        <v>4904</v>
      </c>
      <c r="X191" t="s" s="0">
        <v>82</v>
      </c>
      <c r="Y191" t="s" s="0">
        <v>82</v>
      </c>
      <c r="Z191" t="s" s="0">
        <v>94</v>
      </c>
      <c r="AA191" t="s" s="0">
        <v>95</v>
      </c>
      <c r="AB191" t="s" s="0">
        <v>82</v>
      </c>
      <c r="AC191" t="s" s="0">
        <v>82</v>
      </c>
      <c r="AD191" t="s" s="0">
        <v>82</v>
      </c>
      <c r="AE191" t="s" s="0">
        <v>82</v>
      </c>
      <c r="AF191" t="s" s="0">
        <v>82</v>
      </c>
      <c r="AG191" t="s" s="0">
        <v>4905</v>
      </c>
      <c r="AH191" t="s" s="0">
        <v>4906</v>
      </c>
      <c r="AI191" t="s" s="0">
        <v>4907</v>
      </c>
      <c r="AJ191" t="s" s="0">
        <v>82</v>
      </c>
      <c r="AK191" t="s" s="0">
        <v>82</v>
      </c>
      <c r="AL191" t="s" s="0">
        <v>2191</v>
      </c>
      <c r="AM191" t="s" s="0">
        <v>238</v>
      </c>
      <c r="AN191" t="s" s="0">
        <v>632</v>
      </c>
      <c r="AO191" t="s" s="0">
        <v>77</v>
      </c>
      <c r="AP191" t="s" s="0">
        <v>447</v>
      </c>
      <c r="AQ191" t="s" s="0">
        <v>575</v>
      </c>
      <c r="AR191" t="s" s="0">
        <v>104</v>
      </c>
      <c r="AS191" t="s" s="0">
        <v>576</v>
      </c>
      <c r="AT191" t="s" s="0">
        <v>82</v>
      </c>
      <c r="AU191" t="s" s="0">
        <v>4908</v>
      </c>
      <c r="AV191" t="s" s="0">
        <v>82</v>
      </c>
      <c r="AW191" t="s" s="0">
        <v>4909</v>
      </c>
      <c r="AX191" t="s" s="0">
        <v>4910</v>
      </c>
      <c r="AY191" t="s" s="0">
        <v>4911</v>
      </c>
      <c r="AZ191" t="s" s="0">
        <v>110</v>
      </c>
      <c r="BA191" t="s" s="0">
        <v>101</v>
      </c>
      <c r="BB191" t="s" s="0">
        <v>77</v>
      </c>
      <c r="BC191" t="s" s="0">
        <v>82</v>
      </c>
      <c r="BD191" t="s" s="0">
        <v>82</v>
      </c>
      <c r="BE191" t="s" s="0">
        <v>82</v>
      </c>
      <c r="BF191" t="s" s="0">
        <v>82</v>
      </c>
      <c r="BG191" t="s" s="0">
        <v>82</v>
      </c>
      <c r="BH191" t="s" s="0">
        <v>82</v>
      </c>
      <c r="BI191" t="s" s="0">
        <v>4912</v>
      </c>
      <c r="BJ191" t="s" s="0">
        <v>4913</v>
      </c>
      <c r="BK191" t="s" s="379">
        <f>HYPERLINK("http://dx.doi.org/10.1136/bmjonc-2023-000255","http://dx.doi.org/10.1136/bmjonc-2023-000255")</f>
        <v>4914</v>
      </c>
      <c r="BL191" t="s" s="0">
        <v>82</v>
      </c>
      <c r="BM191" t="s" s="0">
        <v>82</v>
      </c>
      <c r="BN191" t="s" s="0">
        <v>137</v>
      </c>
      <c r="BO191" t="s" s="0">
        <v>4833</v>
      </c>
      <c r="BP191" t="s" s="0">
        <v>4833</v>
      </c>
      <c r="BQ191" t="s" s="0">
        <v>4915</v>
      </c>
      <c r="BR191" t="s" s="0">
        <v>4916</v>
      </c>
      <c r="BS191" t="s" s="0">
        <v>4917</v>
      </c>
      <c r="BT191" t="s" s="380">
        <f>HYPERLINK("https://www.webofscience.com/wos/woscc/full-record/WOS:001732869200001","View Record in Web of Science")</f>
        <v>120</v>
      </c>
      <c r="BU191" t="s" s="0">
        <v>4918</v>
      </c>
      <c r="BV191" t="s" s="0">
        <v>82</v>
      </c>
      <c r="BW191" t="s" s="0">
        <v>82</v>
      </c>
      <c r="BX191" t="s" s="0">
        <v>122</v>
      </c>
    </row>
    <row r="192">
      <c r="A192" t="s" s="0">
        <v>78</v>
      </c>
      <c r="B192" t="s" s="0">
        <v>78</v>
      </c>
      <c r="C192" t="s" s="0">
        <v>78</v>
      </c>
      <c r="D192" t="s" s="0">
        <v>78</v>
      </c>
      <c r="E192" t="s" s="0">
        <v>4919</v>
      </c>
      <c r="F192" t="s" s="0">
        <v>4920</v>
      </c>
      <c r="G192" t="s" s="0">
        <v>4921</v>
      </c>
      <c r="H192" t="s" s="0">
        <v>82</v>
      </c>
      <c r="I192" t="s" s="0">
        <v>83</v>
      </c>
      <c r="J192" t="s" s="0">
        <v>4922</v>
      </c>
      <c r="K192" t="s" s="0">
        <v>4923</v>
      </c>
      <c r="L192" t="s" s="0">
        <v>4924</v>
      </c>
      <c r="M192" t="s" s="0">
        <v>4925</v>
      </c>
      <c r="N192" t="s" s="0">
        <v>4926</v>
      </c>
      <c r="O192" t="s" s="0">
        <v>4927</v>
      </c>
      <c r="P192" t="s" s="0">
        <v>4928</v>
      </c>
      <c r="Q192" t="s" s="0">
        <v>91</v>
      </c>
      <c r="R192" t="s" s="0">
        <v>82</v>
      </c>
      <c r="S192" t="s" s="0">
        <v>82</v>
      </c>
      <c r="T192" t="s" s="0">
        <v>82</v>
      </c>
      <c r="U192" t="s" s="0">
        <v>82</v>
      </c>
      <c r="V192" t="s" s="0">
        <v>4929</v>
      </c>
      <c r="W192" t="s" s="0">
        <v>4930</v>
      </c>
      <c r="X192" t="s" s="0">
        <v>82</v>
      </c>
      <c r="Y192" t="s" s="0">
        <v>82</v>
      </c>
      <c r="Z192" t="s" s="0">
        <v>94</v>
      </c>
      <c r="AA192" t="s" s="0">
        <v>95</v>
      </c>
      <c r="AB192" t="s" s="0">
        <v>82</v>
      </c>
      <c r="AC192" t="s" s="0">
        <v>82</v>
      </c>
      <c r="AD192" t="s" s="0">
        <v>82</v>
      </c>
      <c r="AE192" t="s" s="0">
        <v>82</v>
      </c>
      <c r="AF192" t="s" s="0">
        <v>82</v>
      </c>
      <c r="AG192" t="s" s="0">
        <v>4931</v>
      </c>
      <c r="AH192" t="s" s="0">
        <v>4932</v>
      </c>
      <c r="AI192" t="s" s="0">
        <v>82</v>
      </c>
      <c r="AJ192" t="s" s="0">
        <v>82</v>
      </c>
      <c r="AK192" t="s" s="0">
        <v>82</v>
      </c>
      <c r="AL192" t="s" s="0">
        <v>890</v>
      </c>
      <c r="AM192" t="s" s="0">
        <v>78</v>
      </c>
      <c r="AN192" t="s" s="0">
        <v>78</v>
      </c>
      <c r="AO192" t="s" s="0">
        <v>447</v>
      </c>
      <c r="AP192" t="s" s="0">
        <v>447</v>
      </c>
      <c r="AQ192" t="s" s="0">
        <v>103</v>
      </c>
      <c r="AR192" t="s" s="0">
        <v>104</v>
      </c>
      <c r="AS192" t="s" s="0">
        <v>105</v>
      </c>
      <c r="AT192" t="s" s="0">
        <v>4933</v>
      </c>
      <c r="AU192" t="s" s="0">
        <v>82</v>
      </c>
      <c r="AV192" t="s" s="0">
        <v>82</v>
      </c>
      <c r="AW192" t="s" s="0">
        <v>4934</v>
      </c>
      <c r="AX192" t="s" s="0">
        <v>4935</v>
      </c>
      <c r="AY192" t="s" s="0">
        <v>4936</v>
      </c>
      <c r="AZ192" t="s" s="0">
        <v>181</v>
      </c>
      <c r="BA192" t="s" s="0">
        <v>353</v>
      </c>
      <c r="BB192" t="s" s="0">
        <v>77</v>
      </c>
      <c r="BC192" t="s" s="0">
        <v>82</v>
      </c>
      <c r="BD192" t="s" s="0">
        <v>82</v>
      </c>
      <c r="BE192" t="s" s="0">
        <v>82</v>
      </c>
      <c r="BF192" t="s" s="0">
        <v>82</v>
      </c>
      <c r="BG192" t="s" s="0">
        <v>82</v>
      </c>
      <c r="BH192" t="s" s="0">
        <v>82</v>
      </c>
      <c r="BI192" t="s" s="0">
        <v>4937</v>
      </c>
      <c r="BJ192" t="s" s="0">
        <v>4938</v>
      </c>
      <c r="BK192" t="s" s="381">
        <f>HYPERLINK("http://dx.doi.org/10.1186/s12894-026-02127-z","http://dx.doi.org/10.1186/s12894-026-02127-z")</f>
        <v>4939</v>
      </c>
      <c r="BL192" t="s" s="0">
        <v>82</v>
      </c>
      <c r="BM192" t="s" s="0">
        <v>1365</v>
      </c>
      <c r="BN192" t="s" s="0">
        <v>323</v>
      </c>
      <c r="BO192" t="s" s="0">
        <v>1197</v>
      </c>
      <c r="BP192" t="s" s="0">
        <v>1197</v>
      </c>
      <c r="BQ192" t="s" s="0">
        <v>4940</v>
      </c>
      <c r="BR192" t="s" s="0">
        <v>4941</v>
      </c>
      <c r="BS192" t="s" s="0">
        <v>4942</v>
      </c>
      <c r="BT192" t="s" s="382">
        <f>HYPERLINK("https://www.webofscience.com/wos/woscc/full-record/WOS:001772202600002","View Record in Web of Science")</f>
        <v>120</v>
      </c>
      <c r="BU192" t="s" s="0">
        <v>121</v>
      </c>
      <c r="BV192" t="s" s="0">
        <v>82</v>
      </c>
      <c r="BW192" t="s" s="0">
        <v>82</v>
      </c>
      <c r="BX192" t="s" s="0">
        <v>122</v>
      </c>
    </row>
    <row r="193">
      <c r="A193" t="s" s="0">
        <v>78</v>
      </c>
      <c r="B193" t="s" s="0">
        <v>78</v>
      </c>
      <c r="C193" t="s" s="0">
        <v>344</v>
      </c>
      <c r="D193" t="s" s="0">
        <v>447</v>
      </c>
      <c r="E193" t="s" s="0">
        <v>4943</v>
      </c>
      <c r="F193" t="s" s="0">
        <v>4944</v>
      </c>
      <c r="G193" t="s" s="0">
        <v>4945</v>
      </c>
      <c r="H193" t="s" s="0">
        <v>82</v>
      </c>
      <c r="I193" t="s" s="0">
        <v>83</v>
      </c>
      <c r="J193" t="s" s="0">
        <v>4946</v>
      </c>
      <c r="K193" t="s" s="0">
        <v>4947</v>
      </c>
      <c r="L193" t="s" s="0">
        <v>4948</v>
      </c>
      <c r="M193" t="s" s="0">
        <v>4949</v>
      </c>
      <c r="N193" t="s" s="0">
        <v>4950</v>
      </c>
      <c r="O193" t="s" s="0">
        <v>4951</v>
      </c>
      <c r="P193" t="s" s="0">
        <v>4952</v>
      </c>
      <c r="Q193" t="s" s="0">
        <v>91</v>
      </c>
      <c r="R193" t="s" s="0">
        <v>82</v>
      </c>
      <c r="S193" t="s" s="0">
        <v>82</v>
      </c>
      <c r="T193" t="s" s="0">
        <v>82</v>
      </c>
      <c r="U193" t="s" s="0">
        <v>82</v>
      </c>
      <c r="V193" t="s" s="0">
        <v>4953</v>
      </c>
      <c r="W193" t="s" s="0">
        <v>4954</v>
      </c>
      <c r="X193" t="s" s="0">
        <v>82</v>
      </c>
      <c r="Y193" t="s" s="0">
        <v>82</v>
      </c>
      <c r="Z193" t="s" s="0">
        <v>94</v>
      </c>
      <c r="AA193" t="s" s="0">
        <v>95</v>
      </c>
      <c r="AB193" t="s" s="0">
        <v>82</v>
      </c>
      <c r="AC193" t="s" s="0">
        <v>82</v>
      </c>
      <c r="AD193" t="s" s="0">
        <v>82</v>
      </c>
      <c r="AE193" t="s" s="0">
        <v>82</v>
      </c>
      <c r="AF193" t="s" s="0">
        <v>82</v>
      </c>
      <c r="AG193" t="s" s="0">
        <v>4955</v>
      </c>
      <c r="AH193" t="s" s="0">
        <v>82</v>
      </c>
      <c r="AI193" t="s" s="0">
        <v>4956</v>
      </c>
      <c r="AJ193" t="s" s="0">
        <v>4957</v>
      </c>
      <c r="AK193" t="s" s="0">
        <v>82</v>
      </c>
      <c r="AL193" t="s" s="0">
        <v>148</v>
      </c>
      <c r="AM193" t="s" s="0">
        <v>3708</v>
      </c>
      <c r="AN193" t="s" s="0">
        <v>4958</v>
      </c>
      <c r="AO193" t="s" s="0">
        <v>77</v>
      </c>
      <c r="AP193" t="s" s="0">
        <v>1658</v>
      </c>
      <c r="AQ193" t="s" s="0">
        <v>575</v>
      </c>
      <c r="AR193" t="s" s="0">
        <v>104</v>
      </c>
      <c r="AS193" t="s" s="0">
        <v>576</v>
      </c>
      <c r="AT193" t="s" s="0">
        <v>4959</v>
      </c>
      <c r="AU193" t="s" s="0">
        <v>4960</v>
      </c>
      <c r="AV193" t="s" s="0">
        <v>82</v>
      </c>
      <c r="AW193" t="s" s="0">
        <v>4961</v>
      </c>
      <c r="AX193" t="s" s="0">
        <v>4962</v>
      </c>
      <c r="AY193" t="s" s="0">
        <v>1844</v>
      </c>
      <c r="AZ193" t="s" s="0">
        <v>525</v>
      </c>
      <c r="BA193" t="s" s="0">
        <v>2371</v>
      </c>
      <c r="BB193" t="s" s="0">
        <v>221</v>
      </c>
      <c r="BC193" t="s" s="0">
        <v>82</v>
      </c>
      <c r="BD193" t="s" s="0">
        <v>82</v>
      </c>
      <c r="BE193" t="s" s="0">
        <v>82</v>
      </c>
      <c r="BF193" t="s" s="0">
        <v>82</v>
      </c>
      <c r="BG193" t="s" s="0">
        <v>4566</v>
      </c>
      <c r="BH193" t="s" s="0">
        <v>4963</v>
      </c>
      <c r="BI193" t="s" s="0">
        <v>82</v>
      </c>
      <c r="BJ193" t="s" s="0">
        <v>4964</v>
      </c>
      <c r="BK193" t="s" s="383">
        <f>HYPERLINK("http://dx.doi.org/10.1136/bjophthalmol-2020-316594","http://dx.doi.org/10.1136/bjophthalmol-2020-316594")</f>
        <v>4965</v>
      </c>
      <c r="BL193" t="s" s="0">
        <v>82</v>
      </c>
      <c r="BM193" t="s" s="0">
        <v>82</v>
      </c>
      <c r="BN193" t="s" s="0">
        <v>375</v>
      </c>
      <c r="BO193" t="s" s="0">
        <v>2278</v>
      </c>
      <c r="BP193" t="s" s="0">
        <v>2278</v>
      </c>
      <c r="BQ193" t="s" s="0">
        <v>4966</v>
      </c>
      <c r="BR193" t="s" s="0">
        <v>4967</v>
      </c>
      <c r="BS193" t="s" s="0">
        <v>4968</v>
      </c>
      <c r="BT193" t="s" s="384">
        <f>HYPERLINK("https://www.webofscience.com/wos/woscc/full-record/WOS:000642451300021","View Record in Web of Science")</f>
        <v>120</v>
      </c>
      <c r="BU193" t="s" s="0">
        <v>256</v>
      </c>
      <c r="BV193" t="s" s="0">
        <v>82</v>
      </c>
      <c r="BW193" t="s" s="0">
        <v>82</v>
      </c>
      <c r="BX193" t="s" s="0">
        <v>122</v>
      </c>
    </row>
    <row r="194">
      <c r="A194" t="s" s="0">
        <v>78</v>
      </c>
      <c r="B194" t="s" s="0">
        <v>78</v>
      </c>
      <c r="C194" t="s" s="0">
        <v>101</v>
      </c>
      <c r="D194" t="s" s="0">
        <v>78</v>
      </c>
      <c r="E194" t="s" s="0">
        <v>4969</v>
      </c>
      <c r="F194" t="s" s="0">
        <v>4970</v>
      </c>
      <c r="G194" t="s" s="0">
        <v>4971</v>
      </c>
      <c r="H194" t="s" s="0">
        <v>82</v>
      </c>
      <c r="I194" t="s" s="0">
        <v>83</v>
      </c>
      <c r="J194" t="s" s="0">
        <v>4972</v>
      </c>
      <c r="K194" t="s" s="0">
        <v>4973</v>
      </c>
      <c r="L194" t="s" s="0">
        <v>82</v>
      </c>
      <c r="M194" t="s" s="0">
        <v>82</v>
      </c>
      <c r="N194" t="s" s="0">
        <v>82</v>
      </c>
      <c r="O194" t="s" s="0">
        <v>4974</v>
      </c>
      <c r="P194" t="s" s="0">
        <v>4975</v>
      </c>
      <c r="Q194" t="s" s="0">
        <v>91</v>
      </c>
      <c r="R194" t="s" s="0">
        <v>82</v>
      </c>
      <c r="S194" t="s" s="0">
        <v>82</v>
      </c>
      <c r="T194" t="s" s="0">
        <v>82</v>
      </c>
      <c r="U194" t="s" s="0">
        <v>82</v>
      </c>
      <c r="V194" t="s" s="0">
        <v>4976</v>
      </c>
      <c r="W194" t="s" s="0">
        <v>771</v>
      </c>
      <c r="X194" t="s" s="0">
        <v>82</v>
      </c>
      <c r="Y194" t="s" s="0">
        <v>82</v>
      </c>
      <c r="Z194" t="s" s="0">
        <v>94</v>
      </c>
      <c r="AA194" t="s" s="0">
        <v>95</v>
      </c>
      <c r="AB194" t="s" s="0">
        <v>82</v>
      </c>
      <c r="AC194" t="s" s="0">
        <v>82</v>
      </c>
      <c r="AD194" t="s" s="0">
        <v>82</v>
      </c>
      <c r="AE194" t="s" s="0">
        <v>82</v>
      </c>
      <c r="AF194" t="s" s="0">
        <v>82</v>
      </c>
      <c r="AG194" t="s" s="0">
        <v>82</v>
      </c>
      <c r="AH194" t="s" s="0">
        <v>4977</v>
      </c>
      <c r="AI194" t="s" s="0">
        <v>82</v>
      </c>
      <c r="AJ194" t="s" s="0">
        <v>4978</v>
      </c>
      <c r="AK194" t="s" s="0">
        <v>82</v>
      </c>
      <c r="AL194" t="s" s="0">
        <v>1526</v>
      </c>
      <c r="AM194" t="s" s="0">
        <v>323</v>
      </c>
      <c r="AN194" t="s" s="0">
        <v>323</v>
      </c>
      <c r="AO194" t="s" s="0">
        <v>78</v>
      </c>
      <c r="AP194" t="s" s="0">
        <v>221</v>
      </c>
      <c r="AQ194" t="s" s="0">
        <v>633</v>
      </c>
      <c r="AR194" t="s" s="0">
        <v>634</v>
      </c>
      <c r="AS194" t="s" s="0">
        <v>635</v>
      </c>
      <c r="AT194" t="s" s="0">
        <v>778</v>
      </c>
      <c r="AU194" t="s" s="0">
        <v>82</v>
      </c>
      <c r="AV194" t="s" s="0">
        <v>82</v>
      </c>
      <c r="AW194" t="s" s="0">
        <v>779</v>
      </c>
      <c r="AX194" t="s" s="0">
        <v>780</v>
      </c>
      <c r="AY194" t="s" s="0">
        <v>4979</v>
      </c>
      <c r="AZ194" t="s" s="0">
        <v>210</v>
      </c>
      <c r="BA194" t="s" s="0">
        <v>375</v>
      </c>
      <c r="BB194" t="s" s="0">
        <v>77</v>
      </c>
      <c r="BC194" t="s" s="0">
        <v>82</v>
      </c>
      <c r="BD194" t="s" s="0">
        <v>82</v>
      </c>
      <c r="BE194" t="s" s="0">
        <v>82</v>
      </c>
      <c r="BF194" t="s" s="0">
        <v>82</v>
      </c>
      <c r="BG194" t="s" s="0">
        <v>82</v>
      </c>
      <c r="BH194" t="s" s="0">
        <v>82</v>
      </c>
      <c r="BI194" t="s" s="0">
        <v>4980</v>
      </c>
      <c r="BJ194" t="s" s="0">
        <v>4981</v>
      </c>
      <c r="BK194" t="s" s="385">
        <f>HYPERLINK("http://dx.doi.org/10.1038/s41746-023-00875-y","http://dx.doi.org/10.1038/s41746-023-00875-y")</f>
        <v>4982</v>
      </c>
      <c r="BL194" t="s" s="0">
        <v>82</v>
      </c>
      <c r="BM194" t="s" s="0">
        <v>82</v>
      </c>
      <c r="BN194" t="s" s="0">
        <v>319</v>
      </c>
      <c r="BO194" t="s" s="0">
        <v>785</v>
      </c>
      <c r="BP194" t="s" s="0">
        <v>785</v>
      </c>
      <c r="BQ194" t="s" s="0">
        <v>4983</v>
      </c>
      <c r="BR194" t="s" s="0">
        <v>4984</v>
      </c>
      <c r="BS194" t="s" s="0">
        <v>4985</v>
      </c>
      <c r="BT194" t="s" s="386">
        <f>HYPERLINK("https://www.webofscience.com/wos/woscc/full-record/WOS:001033475900001","View Record in Web of Science")</f>
        <v>120</v>
      </c>
      <c r="BU194" t="s" s="0">
        <v>121</v>
      </c>
      <c r="BV194" t="s" s="0">
        <v>82</v>
      </c>
      <c r="BW194" t="s" s="0">
        <v>82</v>
      </c>
      <c r="BX194" t="s" s="0">
        <v>122</v>
      </c>
    </row>
    <row r="195">
      <c r="A195" t="s" s="0">
        <v>78</v>
      </c>
      <c r="B195" t="s" s="0">
        <v>78</v>
      </c>
      <c r="C195" t="s" s="0">
        <v>77</v>
      </c>
      <c r="D195" t="s" s="0">
        <v>78</v>
      </c>
      <c r="E195" t="s" s="0">
        <v>4986</v>
      </c>
      <c r="F195" t="s" s="0">
        <v>4987</v>
      </c>
      <c r="G195" t="s" s="0">
        <v>4988</v>
      </c>
      <c r="H195" t="s" s="0">
        <v>82</v>
      </c>
      <c r="I195" t="s" s="0">
        <v>83</v>
      </c>
      <c r="J195" t="s" s="0">
        <v>4989</v>
      </c>
      <c r="K195" t="s" s="0">
        <v>4990</v>
      </c>
      <c r="L195" t="s" s="0">
        <v>82</v>
      </c>
      <c r="M195" t="s" s="0">
        <v>82</v>
      </c>
      <c r="N195" t="s" s="0">
        <v>82</v>
      </c>
      <c r="O195" t="s" s="0">
        <v>4991</v>
      </c>
      <c r="P195" t="s" s="0">
        <v>4992</v>
      </c>
      <c r="Q195" t="s" s="0">
        <v>91</v>
      </c>
      <c r="R195" t="s" s="0">
        <v>82</v>
      </c>
      <c r="S195" t="s" s="0">
        <v>82</v>
      </c>
      <c r="T195" t="s" s="0">
        <v>82</v>
      </c>
      <c r="U195" t="s" s="0">
        <v>82</v>
      </c>
      <c r="V195" t="s" s="0">
        <v>4993</v>
      </c>
      <c r="W195" t="s" s="0">
        <v>4994</v>
      </c>
      <c r="X195" t="s" s="0">
        <v>82</v>
      </c>
      <c r="Y195" t="s" s="0">
        <v>82</v>
      </c>
      <c r="Z195" t="s" s="0">
        <v>94</v>
      </c>
      <c r="AA195" t="s" s="0">
        <v>169</v>
      </c>
      <c r="AB195" t="s" s="0">
        <v>82</v>
      </c>
      <c r="AC195" t="s" s="0">
        <v>82</v>
      </c>
      <c r="AD195" t="s" s="0">
        <v>82</v>
      </c>
      <c r="AE195" t="s" s="0">
        <v>82</v>
      </c>
      <c r="AF195" t="s" s="0">
        <v>82</v>
      </c>
      <c r="AG195" t="s" s="0">
        <v>4995</v>
      </c>
      <c r="AH195" t="s" s="0">
        <v>82</v>
      </c>
      <c r="AI195" t="s" s="0">
        <v>4996</v>
      </c>
      <c r="AJ195" t="s" s="0">
        <v>4997</v>
      </c>
      <c r="AK195" t="s" s="0">
        <v>82</v>
      </c>
      <c r="AL195" t="s" s="0">
        <v>4998</v>
      </c>
      <c r="AM195" t="s" s="0">
        <v>149</v>
      </c>
      <c r="AN195" t="s" s="0">
        <v>149</v>
      </c>
      <c r="AO195" t="s" s="0">
        <v>78</v>
      </c>
      <c r="AP195" t="s" s="0">
        <v>77</v>
      </c>
      <c r="AQ195" t="s" s="0">
        <v>2051</v>
      </c>
      <c r="AR195" t="s" s="0">
        <v>2128</v>
      </c>
      <c r="AS195" t="s" s="0">
        <v>2129</v>
      </c>
      <c r="AT195" t="s" s="0">
        <v>4999</v>
      </c>
      <c r="AU195" t="s" s="0">
        <v>5000</v>
      </c>
      <c r="AV195" t="s" s="0">
        <v>82</v>
      </c>
      <c r="AW195" t="s" s="0">
        <v>5001</v>
      </c>
      <c r="AX195" t="s" s="0">
        <v>5002</v>
      </c>
      <c r="AY195" t="s" s="0">
        <v>82</v>
      </c>
      <c r="AZ195" t="s" s="0">
        <v>110</v>
      </c>
      <c r="BA195" t="s" s="0">
        <v>82</v>
      </c>
      <c r="BB195" t="s" s="0">
        <v>82</v>
      </c>
      <c r="BC195" t="s" s="0">
        <v>82</v>
      </c>
      <c r="BD195" t="s" s="0">
        <v>82</v>
      </c>
      <c r="BE195" t="s" s="0">
        <v>82</v>
      </c>
      <c r="BF195" t="s" s="0">
        <v>82</v>
      </c>
      <c r="BG195" t="s" s="0">
        <v>82</v>
      </c>
      <c r="BH195" t="s" s="0">
        <v>82</v>
      </c>
      <c r="BI195" t="s" s="0">
        <v>82</v>
      </c>
      <c r="BJ195" t="s" s="0">
        <v>5003</v>
      </c>
      <c r="BK195" t="s" s="387">
        <f>HYPERLINK("http://dx.doi.org/10.1007/s11042-024-18543-y","http://dx.doi.org/10.1007/s11042-024-18543-y")</f>
        <v>5004</v>
      </c>
      <c r="BL195" t="s" s="0">
        <v>82</v>
      </c>
      <c r="BM195" t="s" s="0">
        <v>2108</v>
      </c>
      <c r="BN195" t="s" s="0">
        <v>173</v>
      </c>
      <c r="BO195" t="s" s="0">
        <v>5005</v>
      </c>
      <c r="BP195" t="s" s="0">
        <v>5006</v>
      </c>
      <c r="BQ195" t="s" s="0">
        <v>5007</v>
      </c>
      <c r="BR195" t="s" s="0">
        <v>82</v>
      </c>
      <c r="BS195" t="s" s="0">
        <v>5008</v>
      </c>
      <c r="BT195" t="s" s="388">
        <f>HYPERLINK("https://www.webofscience.com/wos/woscc/full-record/WOS:001167950900014","View Record in Web of Science")</f>
        <v>120</v>
      </c>
      <c r="BU195" t="s" s="0">
        <v>256</v>
      </c>
      <c r="BV195" t="s" s="0">
        <v>82</v>
      </c>
      <c r="BW195" t="s" s="0">
        <v>82</v>
      </c>
      <c r="BX195" t="s" s="0">
        <v>122</v>
      </c>
    </row>
    <row r="196">
      <c r="A196" t="s" s="0">
        <v>78</v>
      </c>
      <c r="B196" t="s" s="0">
        <v>78</v>
      </c>
      <c r="C196" t="s" s="0">
        <v>447</v>
      </c>
      <c r="D196" t="s" s="0">
        <v>78</v>
      </c>
      <c r="E196" t="s" s="0">
        <v>5009</v>
      </c>
      <c r="F196" t="s" s="0">
        <v>5010</v>
      </c>
      <c r="G196" t="s" s="0">
        <v>5011</v>
      </c>
      <c r="H196" t="s" s="0">
        <v>82</v>
      </c>
      <c r="I196" t="s" s="0">
        <v>83</v>
      </c>
      <c r="J196" t="s" s="0">
        <v>5012</v>
      </c>
      <c r="K196" t="s" s="0">
        <v>5013</v>
      </c>
      <c r="L196" t="s" s="0">
        <v>82</v>
      </c>
      <c r="M196" t="s" s="0">
        <v>82</v>
      </c>
      <c r="N196" t="s" s="0">
        <v>82</v>
      </c>
      <c r="O196" t="s" s="0">
        <v>5014</v>
      </c>
      <c r="P196" t="s" s="0">
        <v>5015</v>
      </c>
      <c r="Q196" t="s" s="0">
        <v>91</v>
      </c>
      <c r="R196" t="s" s="0">
        <v>82</v>
      </c>
      <c r="S196" t="s" s="0">
        <v>82</v>
      </c>
      <c r="T196" t="s" s="0">
        <v>82</v>
      </c>
      <c r="U196" t="s" s="0">
        <v>82</v>
      </c>
      <c r="V196" t="s" s="0">
        <v>5016</v>
      </c>
      <c r="W196" t="s" s="0">
        <v>2266</v>
      </c>
      <c r="X196" t="s" s="0">
        <v>82</v>
      </c>
      <c r="Y196" t="s" s="0">
        <v>82</v>
      </c>
      <c r="Z196" t="s" s="0">
        <v>94</v>
      </c>
      <c r="AA196" t="s" s="0">
        <v>95</v>
      </c>
      <c r="AB196" t="s" s="0">
        <v>82</v>
      </c>
      <c r="AC196" t="s" s="0">
        <v>82</v>
      </c>
      <c r="AD196" t="s" s="0">
        <v>82</v>
      </c>
      <c r="AE196" t="s" s="0">
        <v>82</v>
      </c>
      <c r="AF196" t="s" s="0">
        <v>82</v>
      </c>
      <c r="AG196" t="s" s="0">
        <v>82</v>
      </c>
      <c r="AH196" t="s" s="0">
        <v>5017</v>
      </c>
      <c r="AI196" t="s" s="0">
        <v>82</v>
      </c>
      <c r="AJ196" t="s" s="0">
        <v>82</v>
      </c>
      <c r="AK196" t="s" s="0">
        <v>82</v>
      </c>
      <c r="AL196" t="s" s="0">
        <v>273</v>
      </c>
      <c r="AM196" t="s" s="0">
        <v>138</v>
      </c>
      <c r="AN196" t="s" s="0">
        <v>136</v>
      </c>
      <c r="AO196" t="s" s="0">
        <v>78</v>
      </c>
      <c r="AP196" t="s" s="0">
        <v>319</v>
      </c>
      <c r="AQ196" t="s" s="0">
        <v>2269</v>
      </c>
      <c r="AR196" t="s" s="0">
        <v>104</v>
      </c>
      <c r="AS196" t="s" s="0">
        <v>2270</v>
      </c>
      <c r="AT196" t="s" s="0">
        <v>2271</v>
      </c>
      <c r="AU196" t="s" s="0">
        <v>2272</v>
      </c>
      <c r="AV196" t="s" s="0">
        <v>82</v>
      </c>
      <c r="AW196" t="s" s="0">
        <v>2266</v>
      </c>
      <c r="AX196" t="s" s="0">
        <v>2273</v>
      </c>
      <c r="AY196" t="s" s="0">
        <v>5018</v>
      </c>
      <c r="AZ196" t="s" s="0">
        <v>210</v>
      </c>
      <c r="BA196" t="s" s="0">
        <v>828</v>
      </c>
      <c r="BB196" t="s" s="0">
        <v>154</v>
      </c>
      <c r="BC196" t="s" s="0">
        <v>82</v>
      </c>
      <c r="BD196" t="s" s="0">
        <v>82</v>
      </c>
      <c r="BE196" t="s" s="0">
        <v>82</v>
      </c>
      <c r="BF196" t="s" s="0">
        <v>82</v>
      </c>
      <c r="BG196" t="s" s="0">
        <v>5019</v>
      </c>
      <c r="BH196" t="s" s="0">
        <v>5020</v>
      </c>
      <c r="BI196" t="s" s="0">
        <v>82</v>
      </c>
      <c r="BJ196" t="s" s="0">
        <v>5021</v>
      </c>
      <c r="BK196" t="s" s="389">
        <f>HYPERLINK("http://dx.doi.org/10.1038/s41433-023-02622-9","http://dx.doi.org/10.1038/s41433-023-02622-9")</f>
        <v>5022</v>
      </c>
      <c r="BL196" t="s" s="0">
        <v>82</v>
      </c>
      <c r="BM196" t="s" s="0">
        <v>5023</v>
      </c>
      <c r="BN196" t="s" s="0">
        <v>375</v>
      </c>
      <c r="BO196" t="s" s="0">
        <v>2278</v>
      </c>
      <c r="BP196" t="s" s="0">
        <v>2278</v>
      </c>
      <c r="BQ196" t="s" s="0">
        <v>5024</v>
      </c>
      <c r="BR196" t="s" s="0">
        <v>5025</v>
      </c>
      <c r="BS196" t="s" s="0">
        <v>5026</v>
      </c>
      <c r="BT196" t="s" s="390">
        <f>HYPERLINK("https://www.webofscience.com/wos/woscc/full-record/WOS:001006457500001","View Record in Web of Science")</f>
        <v>120</v>
      </c>
      <c r="BU196" t="s" s="0">
        <v>5027</v>
      </c>
      <c r="BV196" t="s" s="0">
        <v>82</v>
      </c>
      <c r="BW196" t="s" s="0">
        <v>82</v>
      </c>
      <c r="BX196" t="s" s="0">
        <v>122</v>
      </c>
    </row>
    <row r="197">
      <c r="A197" t="s" s="0">
        <v>78</v>
      </c>
      <c r="B197" t="s" s="0">
        <v>78</v>
      </c>
      <c r="C197" t="s" s="0">
        <v>77</v>
      </c>
      <c r="D197" t="s" s="0">
        <v>78</v>
      </c>
      <c r="E197" t="s" s="0">
        <v>5028</v>
      </c>
      <c r="F197" t="s" s="0">
        <v>5029</v>
      </c>
      <c r="G197" t="s" s="0">
        <v>5030</v>
      </c>
      <c r="H197" t="s" s="0">
        <v>82</v>
      </c>
      <c r="I197" t="s" s="0">
        <v>297</v>
      </c>
      <c r="J197" t="s" s="0">
        <v>5031</v>
      </c>
      <c r="K197" t="s" s="0">
        <v>5032</v>
      </c>
      <c r="L197" t="s" s="0">
        <v>82</v>
      </c>
      <c r="M197" t="s" s="0">
        <v>82</v>
      </c>
      <c r="N197" t="s" s="0">
        <v>82</v>
      </c>
      <c r="O197" t="s" s="0">
        <v>5033</v>
      </c>
      <c r="P197" t="s" s="0">
        <v>5034</v>
      </c>
      <c r="Q197" t="s" s="0">
        <v>91</v>
      </c>
      <c r="R197" t="s" s="0">
        <v>82</v>
      </c>
      <c r="S197" t="s" s="0">
        <v>82</v>
      </c>
      <c r="T197" t="s" s="0">
        <v>82</v>
      </c>
      <c r="U197" t="s" s="0">
        <v>82</v>
      </c>
      <c r="V197" t="s" s="0">
        <v>5035</v>
      </c>
      <c r="W197" t="s" s="0">
        <v>5036</v>
      </c>
      <c r="X197" t="s" s="0">
        <v>82</v>
      </c>
      <c r="Y197" t="s" s="0">
        <v>82</v>
      </c>
      <c r="Z197" t="s" s="0">
        <v>94</v>
      </c>
      <c r="AA197" t="s" s="0">
        <v>95</v>
      </c>
      <c r="AB197" t="s" s="0">
        <v>82</v>
      </c>
      <c r="AC197" t="s" s="0">
        <v>82</v>
      </c>
      <c r="AD197" t="s" s="0">
        <v>82</v>
      </c>
      <c r="AE197" t="s" s="0">
        <v>82</v>
      </c>
      <c r="AF197" t="s" s="0">
        <v>82</v>
      </c>
      <c r="AG197" t="s" s="0">
        <v>5037</v>
      </c>
      <c r="AH197" t="s" s="0">
        <v>5038</v>
      </c>
      <c r="AI197" t="s" s="0">
        <v>5039</v>
      </c>
      <c r="AJ197" t="s" s="0">
        <v>5040</v>
      </c>
      <c r="AK197" t="s" s="0">
        <v>82</v>
      </c>
      <c r="AL197" t="s" s="0">
        <v>890</v>
      </c>
      <c r="AM197" t="s" s="0">
        <v>319</v>
      </c>
      <c r="AN197" t="s" s="0">
        <v>245</v>
      </c>
      <c r="AO197" t="s" s="0">
        <v>78</v>
      </c>
      <c r="AP197" t="s" s="0">
        <v>102</v>
      </c>
      <c r="AQ197" t="s" s="0">
        <v>4242</v>
      </c>
      <c r="AR197" t="s" s="0">
        <v>4243</v>
      </c>
      <c r="AS197" t="s" s="0">
        <v>4244</v>
      </c>
      <c r="AT197" t="s" s="0">
        <v>5041</v>
      </c>
      <c r="AU197" t="s" s="0">
        <v>5042</v>
      </c>
      <c r="AV197" t="s" s="0">
        <v>82</v>
      </c>
      <c r="AW197" t="s" s="0">
        <v>5043</v>
      </c>
      <c r="AX197" t="s" s="0">
        <v>5044</v>
      </c>
      <c r="AY197" t="s" s="0">
        <v>1394</v>
      </c>
      <c r="AZ197" t="s" s="0">
        <v>147</v>
      </c>
      <c r="BA197" t="s" s="0">
        <v>201</v>
      </c>
      <c r="BB197" t="s" s="0">
        <v>101</v>
      </c>
      <c r="BC197" t="s" s="0">
        <v>82</v>
      </c>
      <c r="BD197" t="s" s="0">
        <v>82</v>
      </c>
      <c r="BE197" t="s" s="0">
        <v>82</v>
      </c>
      <c r="BF197" t="s" s="0">
        <v>82</v>
      </c>
      <c r="BG197" t="s" s="0">
        <v>1224</v>
      </c>
      <c r="BH197" t="s" s="0">
        <v>5045</v>
      </c>
      <c r="BI197" t="s" s="0">
        <v>82</v>
      </c>
      <c r="BJ197" t="s" s="0">
        <v>5046</v>
      </c>
      <c r="BK197" t="s" s="391">
        <f>HYPERLINK("http://dx.doi.org/10.1177/19714009241303078","http://dx.doi.org/10.1177/19714009241303078")</f>
        <v>5047</v>
      </c>
      <c r="BL197" t="s" s="0">
        <v>82</v>
      </c>
      <c r="BM197" t="s" s="0">
        <v>1457</v>
      </c>
      <c r="BN197" t="s" s="0">
        <v>245</v>
      </c>
      <c r="BO197" t="s" s="0">
        <v>5048</v>
      </c>
      <c r="BP197" t="s" s="0">
        <v>252</v>
      </c>
      <c r="BQ197" t="s" s="0">
        <v>5049</v>
      </c>
      <c r="BR197" t="s" s="0">
        <v>5050</v>
      </c>
      <c r="BS197" t="s" s="0">
        <v>5051</v>
      </c>
      <c r="BT197" t="s" s="392">
        <f>HYPERLINK("https://www.webofscience.com/wos/woscc/full-record/WOS:001364204600001","View Record in Web of Science")</f>
        <v>120</v>
      </c>
      <c r="BU197" t="s" s="0">
        <v>1265</v>
      </c>
      <c r="BV197" t="s" s="0">
        <v>82</v>
      </c>
      <c r="BW197" t="s" s="0">
        <v>82</v>
      </c>
      <c r="BX197" t="s" s="0">
        <v>122</v>
      </c>
    </row>
    <row r="198">
      <c r="A198" t="s" s="0">
        <v>102</v>
      </c>
      <c r="B198" t="s" s="0">
        <v>78</v>
      </c>
      <c r="C198" t="s" s="0">
        <v>685</v>
      </c>
      <c r="D198" t="s" s="0">
        <v>78</v>
      </c>
      <c r="E198" t="s" s="0">
        <v>5052</v>
      </c>
      <c r="F198" t="s" s="0">
        <v>5053</v>
      </c>
      <c r="G198" t="s" s="0">
        <v>5054</v>
      </c>
      <c r="H198" t="s" s="0">
        <v>82</v>
      </c>
      <c r="I198" t="s" s="0">
        <v>589</v>
      </c>
      <c r="J198" t="s" s="0">
        <v>5055</v>
      </c>
      <c r="K198" t="s" s="0">
        <v>5056</v>
      </c>
      <c r="L198" t="s" s="0">
        <v>5057</v>
      </c>
      <c r="M198" t="s" s="0">
        <v>5058</v>
      </c>
      <c r="N198" t="s" s="0">
        <v>5059</v>
      </c>
      <c r="O198" t="s" s="0">
        <v>5060</v>
      </c>
      <c r="P198" t="s" s="0">
        <v>5061</v>
      </c>
      <c r="Q198" t="s" s="0">
        <v>91</v>
      </c>
      <c r="R198" t="s" s="0">
        <v>82</v>
      </c>
      <c r="S198" t="s" s="0">
        <v>82</v>
      </c>
      <c r="T198" t="s" s="0">
        <v>82</v>
      </c>
      <c r="U198" t="s" s="0">
        <v>82</v>
      </c>
      <c r="V198" t="s" s="0">
        <v>5062</v>
      </c>
      <c r="W198" t="s" s="0">
        <v>5063</v>
      </c>
      <c r="X198" t="s" s="0">
        <v>82</v>
      </c>
      <c r="Y198" t="s" s="0">
        <v>82</v>
      </c>
      <c r="Z198" t="s" s="0">
        <v>94</v>
      </c>
      <c r="AA198" t="s" s="0">
        <v>95</v>
      </c>
      <c r="AB198" t="s" s="0">
        <v>82</v>
      </c>
      <c r="AC198" t="s" s="0">
        <v>82</v>
      </c>
      <c r="AD198" t="s" s="0">
        <v>82</v>
      </c>
      <c r="AE198" t="s" s="0">
        <v>82</v>
      </c>
      <c r="AF198" t="s" s="0">
        <v>82</v>
      </c>
      <c r="AG198" t="s" s="0">
        <v>5064</v>
      </c>
      <c r="AH198" t="s" s="0">
        <v>5065</v>
      </c>
      <c r="AI198" t="s" s="0">
        <v>5066</v>
      </c>
      <c r="AJ198" t="s" s="0">
        <v>5067</v>
      </c>
      <c r="AK198" t="s" s="0">
        <v>82</v>
      </c>
      <c r="AL198" t="s" s="0">
        <v>974</v>
      </c>
      <c r="AM198" t="s" s="0">
        <v>2081</v>
      </c>
      <c r="AN198" t="s" s="0">
        <v>608</v>
      </c>
      <c r="AO198" t="s" s="0">
        <v>101</v>
      </c>
      <c r="AP198" t="s" s="0">
        <v>1186</v>
      </c>
      <c r="AQ198" t="s" s="0">
        <v>491</v>
      </c>
      <c r="AR198" t="s" s="0">
        <v>492</v>
      </c>
      <c r="AS198" t="s" s="0">
        <v>493</v>
      </c>
      <c r="AT198" t="s" s="0">
        <v>5068</v>
      </c>
      <c r="AU198" t="s" s="0">
        <v>5069</v>
      </c>
      <c r="AV198" t="s" s="0">
        <v>82</v>
      </c>
      <c r="AW198" t="s" s="0">
        <v>5070</v>
      </c>
      <c r="AX198" t="s" s="0">
        <v>5071</v>
      </c>
      <c r="AY198" t="s" s="0">
        <v>607</v>
      </c>
      <c r="AZ198" t="s" s="0">
        <v>408</v>
      </c>
      <c r="BA198" t="s" s="0">
        <v>828</v>
      </c>
      <c r="BB198" t="s" s="0">
        <v>447</v>
      </c>
      <c r="BC198" t="s" s="0">
        <v>82</v>
      </c>
      <c r="BD198" t="s" s="0">
        <v>82</v>
      </c>
      <c r="BE198" t="s" s="0">
        <v>82</v>
      </c>
      <c r="BF198" t="s" s="0">
        <v>82</v>
      </c>
      <c r="BG198" t="s" s="0">
        <v>5072</v>
      </c>
      <c r="BH198" t="s" s="0">
        <v>2326</v>
      </c>
      <c r="BI198" t="s" s="0">
        <v>82</v>
      </c>
      <c r="BJ198" t="s" s="0">
        <v>5073</v>
      </c>
      <c r="BK198" t="s" s="393">
        <f>HYPERLINK("http://dx.doi.org/10.1002/jbmr.4477","http://dx.doi.org/10.1002/jbmr.4477")</f>
        <v>5074</v>
      </c>
      <c r="BL198" t="s" s="0">
        <v>82</v>
      </c>
      <c r="BM198" t="s" s="0">
        <v>1657</v>
      </c>
      <c r="BN198" t="s" s="0">
        <v>319</v>
      </c>
      <c r="BO198" t="s" s="0">
        <v>697</v>
      </c>
      <c r="BP198" t="s" s="0">
        <v>697</v>
      </c>
      <c r="BQ198" t="s" s="0">
        <v>5075</v>
      </c>
      <c r="BR198" t="s" s="0">
        <v>5076</v>
      </c>
      <c r="BS198" t="s" s="0">
        <v>5077</v>
      </c>
      <c r="BT198" t="s" s="394">
        <f>HYPERLINK("https://www.webofscience.com/wos/woscc/full-record/WOS:000729628900001","View Record in Web of Science")</f>
        <v>120</v>
      </c>
      <c r="BU198" t="s" s="0">
        <v>846</v>
      </c>
      <c r="BV198" t="s" s="0">
        <v>82</v>
      </c>
      <c r="BW198" t="s" s="0">
        <v>82</v>
      </c>
      <c r="BX198" t="s" s="0">
        <v>122</v>
      </c>
    </row>
    <row r="199">
      <c r="A199" t="s" s="0">
        <v>78</v>
      </c>
      <c r="B199" t="s" s="0">
        <v>78</v>
      </c>
      <c r="C199" t="s" s="0">
        <v>447</v>
      </c>
      <c r="D199" t="s" s="0">
        <v>78</v>
      </c>
      <c r="E199" t="s" s="0">
        <v>5078</v>
      </c>
      <c r="F199" t="s" s="0">
        <v>5079</v>
      </c>
      <c r="G199" t="s" s="0">
        <v>5080</v>
      </c>
      <c r="H199" t="s" s="0">
        <v>82</v>
      </c>
      <c r="I199" t="s" s="0">
        <v>297</v>
      </c>
      <c r="J199" t="s" s="0">
        <v>5081</v>
      </c>
      <c r="K199" t="s" s="0">
        <v>5082</v>
      </c>
      <c r="L199" t="s" s="0">
        <v>5083</v>
      </c>
      <c r="M199" t="s" s="0">
        <v>5084</v>
      </c>
      <c r="N199" t="s" s="0">
        <v>5085</v>
      </c>
      <c r="O199" t="s" s="0">
        <v>5086</v>
      </c>
      <c r="P199" t="s" s="0">
        <v>5087</v>
      </c>
      <c r="Q199" t="s" s="0">
        <v>91</v>
      </c>
      <c r="R199" t="s" s="0">
        <v>82</v>
      </c>
      <c r="S199" t="s" s="0">
        <v>82</v>
      </c>
      <c r="T199" t="s" s="0">
        <v>82</v>
      </c>
      <c r="U199" t="s" s="0">
        <v>82</v>
      </c>
      <c r="V199" t="s" s="0">
        <v>5088</v>
      </c>
      <c r="W199" t="s" s="0">
        <v>5089</v>
      </c>
      <c r="X199" t="s" s="0">
        <v>82</v>
      </c>
      <c r="Y199" t="s" s="0">
        <v>82</v>
      </c>
      <c r="Z199" t="s" s="0">
        <v>94</v>
      </c>
      <c r="AA199" t="s" s="0">
        <v>95</v>
      </c>
      <c r="AB199" t="s" s="0">
        <v>82</v>
      </c>
      <c r="AC199" t="s" s="0">
        <v>82</v>
      </c>
      <c r="AD199" t="s" s="0">
        <v>82</v>
      </c>
      <c r="AE199" t="s" s="0">
        <v>82</v>
      </c>
      <c r="AF199" t="s" s="0">
        <v>82</v>
      </c>
      <c r="AG199" t="s" s="0">
        <v>5090</v>
      </c>
      <c r="AH199" t="s" s="0">
        <v>5091</v>
      </c>
      <c r="AI199" t="s" s="0">
        <v>5092</v>
      </c>
      <c r="AJ199" t="s" s="0">
        <v>5093</v>
      </c>
      <c r="AK199" t="s" s="0">
        <v>82</v>
      </c>
      <c r="AL199" t="s" s="0">
        <v>1526</v>
      </c>
      <c r="AM199" t="s" s="0">
        <v>831</v>
      </c>
      <c r="AN199" t="s" s="0">
        <v>831</v>
      </c>
      <c r="AO199" t="s" s="0">
        <v>78</v>
      </c>
      <c r="AP199" t="s" s="0">
        <v>77</v>
      </c>
      <c r="AQ199" t="s" s="0">
        <v>491</v>
      </c>
      <c r="AR199" t="s" s="0">
        <v>492</v>
      </c>
      <c r="AS199" t="s" s="0">
        <v>493</v>
      </c>
      <c r="AT199" t="s" s="0">
        <v>82</v>
      </c>
      <c r="AU199" t="s" s="0">
        <v>5094</v>
      </c>
      <c r="AV199" t="s" s="0">
        <v>82</v>
      </c>
      <c r="AW199" t="s" s="0">
        <v>5095</v>
      </c>
      <c r="AX199" t="s" s="0">
        <v>5096</v>
      </c>
      <c r="AY199" t="s" s="0">
        <v>5097</v>
      </c>
      <c r="AZ199" t="s" s="0">
        <v>110</v>
      </c>
      <c r="BA199" t="s" s="0">
        <v>375</v>
      </c>
      <c r="BB199" t="s" s="0">
        <v>77</v>
      </c>
      <c r="BC199" t="s" s="0">
        <v>82</v>
      </c>
      <c r="BD199" t="s" s="0">
        <v>82</v>
      </c>
      <c r="BE199" t="s" s="0">
        <v>82</v>
      </c>
      <c r="BF199" t="s" s="0">
        <v>82</v>
      </c>
      <c r="BG199" t="s" s="0">
        <v>82</v>
      </c>
      <c r="BH199" t="s" s="0">
        <v>82</v>
      </c>
      <c r="BI199" t="s" s="0">
        <v>5098</v>
      </c>
      <c r="BJ199" t="s" s="0">
        <v>5099</v>
      </c>
      <c r="BK199" t="s" s="395">
        <f>HYPERLINK("http://dx.doi.org/10.1093/noajnl/vdae199","http://dx.doi.org/10.1093/noajnl/vdae199")</f>
        <v>5100</v>
      </c>
      <c r="BL199" t="s" s="0">
        <v>82</v>
      </c>
      <c r="BM199" t="s" s="0">
        <v>82</v>
      </c>
      <c r="BN199" t="s" s="0">
        <v>149</v>
      </c>
      <c r="BO199" t="s" s="0">
        <v>5101</v>
      </c>
      <c r="BP199" t="s" s="0">
        <v>5102</v>
      </c>
      <c r="BQ199" t="s" s="0">
        <v>5103</v>
      </c>
      <c r="BR199" t="s" s="0">
        <v>5104</v>
      </c>
      <c r="BS199" t="s" s="0">
        <v>5105</v>
      </c>
      <c r="BT199" t="s" s="396">
        <f>HYPERLINK("https://www.webofscience.com/wos/woscc/full-record/WOS:001373564800001","View Record in Web of Science")</f>
        <v>120</v>
      </c>
      <c r="BU199" t="s" s="0">
        <v>121</v>
      </c>
      <c r="BV199" t="s" s="0">
        <v>82</v>
      </c>
      <c r="BW199" t="s" s="0">
        <v>82</v>
      </c>
      <c r="BX199" t="s" s="0">
        <v>122</v>
      </c>
    </row>
    <row r="200">
      <c r="A200" t="s" s="0">
        <v>221</v>
      </c>
      <c r="B200" t="s" s="0">
        <v>78</v>
      </c>
      <c r="C200" t="s" s="0">
        <v>640</v>
      </c>
      <c r="D200" t="s" s="0">
        <v>78</v>
      </c>
      <c r="E200" t="s" s="0">
        <v>5106</v>
      </c>
      <c r="F200" t="s" s="0">
        <v>5107</v>
      </c>
      <c r="G200" t="s" s="0">
        <v>5108</v>
      </c>
      <c r="H200" t="s" s="0">
        <v>82</v>
      </c>
      <c r="I200" t="s" s="0">
        <v>83</v>
      </c>
      <c r="J200" t="s" s="0">
        <v>5109</v>
      </c>
      <c r="K200" t="s" s="0">
        <v>5110</v>
      </c>
      <c r="L200" t="s" s="0">
        <v>5111</v>
      </c>
      <c r="M200" t="s" s="0">
        <v>5112</v>
      </c>
      <c r="N200" t="s" s="0">
        <v>5113</v>
      </c>
      <c r="O200" t="s" s="0">
        <v>5114</v>
      </c>
      <c r="P200" t="s" s="0">
        <v>5115</v>
      </c>
      <c r="Q200" t="s" s="0">
        <v>91</v>
      </c>
      <c r="R200" t="s" s="0">
        <v>82</v>
      </c>
      <c r="S200" t="s" s="0">
        <v>82</v>
      </c>
      <c r="T200" t="s" s="0">
        <v>82</v>
      </c>
      <c r="U200" t="s" s="0">
        <v>82</v>
      </c>
      <c r="V200" t="s" s="0">
        <v>5116</v>
      </c>
      <c r="W200" t="s" s="0">
        <v>269</v>
      </c>
      <c r="X200" t="s" s="0">
        <v>82</v>
      </c>
      <c r="Y200" t="s" s="0">
        <v>82</v>
      </c>
      <c r="Z200" t="s" s="0">
        <v>94</v>
      </c>
      <c r="AA200" t="s" s="0">
        <v>95</v>
      </c>
      <c r="AB200" t="s" s="0">
        <v>82</v>
      </c>
      <c r="AC200" t="s" s="0">
        <v>82</v>
      </c>
      <c r="AD200" t="s" s="0">
        <v>82</v>
      </c>
      <c r="AE200" t="s" s="0">
        <v>82</v>
      </c>
      <c r="AF200" t="s" s="0">
        <v>82</v>
      </c>
      <c r="AG200" t="s" s="0">
        <v>82</v>
      </c>
      <c r="AH200" t="s" s="0">
        <v>5117</v>
      </c>
      <c r="AI200" t="s" s="0">
        <v>5118</v>
      </c>
      <c r="AJ200" t="s" s="0">
        <v>5119</v>
      </c>
      <c r="AK200" t="s" s="0">
        <v>82</v>
      </c>
      <c r="AL200" t="s" s="0">
        <v>399</v>
      </c>
      <c r="AM200" t="s" s="0">
        <v>244</v>
      </c>
      <c r="AN200" t="s" s="0">
        <v>1061</v>
      </c>
      <c r="AO200" t="s" s="0">
        <v>78</v>
      </c>
      <c r="AP200" t="s" s="0">
        <v>349</v>
      </c>
      <c r="AQ200" t="s" s="0">
        <v>277</v>
      </c>
      <c r="AR200" t="s" s="0">
        <v>278</v>
      </c>
      <c r="AS200" t="s" s="0">
        <v>279</v>
      </c>
      <c r="AT200" t="s" s="0">
        <v>82</v>
      </c>
      <c r="AU200" t="s" s="0">
        <v>280</v>
      </c>
      <c r="AV200" t="s" s="0">
        <v>82</v>
      </c>
      <c r="AW200" t="s" s="0">
        <v>281</v>
      </c>
      <c r="AX200" t="s" s="0">
        <v>282</v>
      </c>
      <c r="AY200" t="s" s="0">
        <v>1838</v>
      </c>
      <c r="AZ200" t="s" s="0">
        <v>525</v>
      </c>
      <c r="BA200" t="s" s="0">
        <v>101</v>
      </c>
      <c r="BB200" t="s" s="0">
        <v>375</v>
      </c>
      <c r="BC200" t="s" s="0">
        <v>82</v>
      </c>
      <c r="BD200" t="s" s="0">
        <v>82</v>
      </c>
      <c r="BE200" t="s" s="0">
        <v>82</v>
      </c>
      <c r="BF200" t="s" s="0">
        <v>82</v>
      </c>
      <c r="BG200" t="s" s="0">
        <v>5120</v>
      </c>
      <c r="BH200" t="s" s="0">
        <v>5121</v>
      </c>
      <c r="BI200" t="s" s="0">
        <v>82</v>
      </c>
      <c r="BJ200" t="s" s="0">
        <v>5122</v>
      </c>
      <c r="BK200" t="s" s="397">
        <f>HYPERLINK("http://dx.doi.org/10.1016/S2589-7500(21)00056-X","http://dx.doi.org/10.1016/S2589-7500(21)00056-X")</f>
        <v>5123</v>
      </c>
      <c r="BL200" t="s" s="0">
        <v>82</v>
      </c>
      <c r="BM200" t="s" s="0">
        <v>1844</v>
      </c>
      <c r="BN200" t="s" s="0">
        <v>319</v>
      </c>
      <c r="BO200" t="s" s="0">
        <v>289</v>
      </c>
      <c r="BP200" t="s" s="0">
        <v>290</v>
      </c>
      <c r="BQ200" t="s" s="0">
        <v>5124</v>
      </c>
      <c r="BR200" t="s" s="0">
        <v>5125</v>
      </c>
      <c r="BS200" t="s" s="0">
        <v>5126</v>
      </c>
      <c r="BT200" t="s" s="398">
        <f>HYPERLINK("https://www.webofscience.com/wos/woscc/full-record/WOS:000654685600005","View Record in Web of Science")</f>
        <v>120</v>
      </c>
      <c r="BU200" t="s" s="0">
        <v>121</v>
      </c>
      <c r="BV200" t="s" s="0">
        <v>82</v>
      </c>
      <c r="BW200" t="s" s="0">
        <v>82</v>
      </c>
      <c r="BX200" t="s" s="0">
        <v>122</v>
      </c>
    </row>
    <row r="201">
      <c r="A201" t="s" s="0">
        <v>375</v>
      </c>
      <c r="B201" t="s" s="0">
        <v>78</v>
      </c>
      <c r="C201" t="s" s="0">
        <v>149</v>
      </c>
      <c r="D201" t="s" s="0">
        <v>78</v>
      </c>
      <c r="E201" t="s" s="0">
        <v>5127</v>
      </c>
      <c r="F201" t="s" s="0">
        <v>5128</v>
      </c>
      <c r="G201" t="s" s="0">
        <v>5129</v>
      </c>
      <c r="H201" t="s" s="0">
        <v>82</v>
      </c>
      <c r="I201" t="s" s="0">
        <v>83</v>
      </c>
      <c r="J201" t="s" s="0">
        <v>5130</v>
      </c>
      <c r="K201" t="s" s="0">
        <v>5131</v>
      </c>
      <c r="L201" t="s" s="0">
        <v>82</v>
      </c>
      <c r="M201" t="s" s="0">
        <v>82</v>
      </c>
      <c r="N201" t="s" s="0">
        <v>82</v>
      </c>
      <c r="O201" t="s" s="0">
        <v>5132</v>
      </c>
      <c r="P201" t="s" s="0">
        <v>5133</v>
      </c>
      <c r="Q201" t="s" s="0">
        <v>91</v>
      </c>
      <c r="R201" t="s" s="0">
        <v>82</v>
      </c>
      <c r="S201" t="s" s="0">
        <v>82</v>
      </c>
      <c r="T201" t="s" s="0">
        <v>82</v>
      </c>
      <c r="U201" t="s" s="0">
        <v>82</v>
      </c>
      <c r="V201" t="s" s="0">
        <v>5134</v>
      </c>
      <c r="W201" t="s" s="0">
        <v>5135</v>
      </c>
      <c r="X201" t="s" s="0">
        <v>82</v>
      </c>
      <c r="Y201" t="s" s="0">
        <v>82</v>
      </c>
      <c r="Z201" t="s" s="0">
        <v>94</v>
      </c>
      <c r="AA201" t="s" s="0">
        <v>95</v>
      </c>
      <c r="AB201" t="s" s="0">
        <v>82</v>
      </c>
      <c r="AC201" t="s" s="0">
        <v>82</v>
      </c>
      <c r="AD201" t="s" s="0">
        <v>82</v>
      </c>
      <c r="AE201" t="s" s="0">
        <v>82</v>
      </c>
      <c r="AF201" t="s" s="0">
        <v>82</v>
      </c>
      <c r="AG201" t="s" s="0">
        <v>5136</v>
      </c>
      <c r="AH201" t="s" s="0">
        <v>396</v>
      </c>
      <c r="AI201" t="s" s="0">
        <v>82</v>
      </c>
      <c r="AJ201" t="s" s="0">
        <v>5137</v>
      </c>
      <c r="AK201" t="s" s="0">
        <v>82</v>
      </c>
      <c r="AL201" t="s" s="0">
        <v>640</v>
      </c>
      <c r="AM201" t="s" s="0">
        <v>464</v>
      </c>
      <c r="AN201" t="s" s="0">
        <v>5138</v>
      </c>
      <c r="AO201" t="s" s="0">
        <v>78</v>
      </c>
      <c r="AP201" t="s" s="0">
        <v>137</v>
      </c>
      <c r="AQ201" t="s" s="0">
        <v>600</v>
      </c>
      <c r="AR201" t="s" s="0">
        <v>601</v>
      </c>
      <c r="AS201" t="s" s="0">
        <v>602</v>
      </c>
      <c r="AT201" t="s" s="0">
        <v>5139</v>
      </c>
      <c r="AU201" t="s" s="0">
        <v>5140</v>
      </c>
      <c r="AV201" t="s" s="0">
        <v>82</v>
      </c>
      <c r="AW201" t="s" s="0">
        <v>5141</v>
      </c>
      <c r="AX201" t="s" s="0">
        <v>5142</v>
      </c>
      <c r="AY201" t="s" s="0">
        <v>1071</v>
      </c>
      <c r="AZ201" t="s" s="0">
        <v>525</v>
      </c>
      <c r="BA201" t="s" s="0">
        <v>2081</v>
      </c>
      <c r="BB201" t="s" s="0">
        <v>82</v>
      </c>
      <c r="BC201" t="s" s="0">
        <v>82</v>
      </c>
      <c r="BD201" t="s" s="0">
        <v>82</v>
      </c>
      <c r="BE201" t="s" s="0">
        <v>82</v>
      </c>
      <c r="BF201" t="s" s="0">
        <v>82</v>
      </c>
      <c r="BG201" t="s" s="0">
        <v>4685</v>
      </c>
      <c r="BH201" t="s" s="0">
        <v>5138</v>
      </c>
      <c r="BI201" t="s" s="0">
        <v>82</v>
      </c>
      <c r="BJ201" t="s" s="0">
        <v>5143</v>
      </c>
      <c r="BK201" t="s" s="399">
        <f>HYPERLINK("http://dx.doi.org/10.1016/j.ejmp.2021.02.010","http://dx.doi.org/10.1016/j.ejmp.2021.02.010")</f>
        <v>5144</v>
      </c>
      <c r="BL201" t="s" s="0">
        <v>82</v>
      </c>
      <c r="BM201" t="s" s="0">
        <v>1071</v>
      </c>
      <c r="BN201" t="s" s="0">
        <v>136</v>
      </c>
      <c r="BO201" t="s" s="0">
        <v>414</v>
      </c>
      <c r="BP201" t="s" s="0">
        <v>414</v>
      </c>
      <c r="BQ201" t="s" s="0">
        <v>5145</v>
      </c>
      <c r="BR201" t="s" s="0">
        <v>5146</v>
      </c>
      <c r="BS201" t="s" s="0">
        <v>5147</v>
      </c>
      <c r="BT201" t="s" s="400">
        <f>HYPERLINK("https://www.webofscience.com/wos/woscc/full-record/WOS:000657912000007","View Record in Web of Science")</f>
        <v>120</v>
      </c>
      <c r="BU201" t="s" s="0">
        <v>846</v>
      </c>
      <c r="BV201" t="s" s="0">
        <v>82</v>
      </c>
      <c r="BW201" t="s" s="0">
        <v>82</v>
      </c>
      <c r="BX201" t="s" s="0">
        <v>122</v>
      </c>
    </row>
    <row r="202">
      <c r="A202" t="s" s="0">
        <v>78</v>
      </c>
      <c r="B202" t="s" s="0">
        <v>78</v>
      </c>
      <c r="C202" t="s" s="0">
        <v>102</v>
      </c>
      <c r="D202" t="s" s="0">
        <v>78</v>
      </c>
      <c r="E202" t="s" s="0">
        <v>5148</v>
      </c>
      <c r="F202" t="s" s="0">
        <v>5149</v>
      </c>
      <c r="G202" t="s" s="0">
        <v>5150</v>
      </c>
      <c r="H202" t="s" s="0">
        <v>82</v>
      </c>
      <c r="I202" t="s" s="0">
        <v>83</v>
      </c>
      <c r="J202" t="s" s="0">
        <v>5151</v>
      </c>
      <c r="K202" t="s" s="0">
        <v>5152</v>
      </c>
      <c r="L202" t="s" s="0">
        <v>5153</v>
      </c>
      <c r="M202" t="s" s="0">
        <v>5154</v>
      </c>
      <c r="N202" t="s" s="0">
        <v>5155</v>
      </c>
      <c r="O202" t="s" s="0">
        <v>5156</v>
      </c>
      <c r="P202" t="s" s="0">
        <v>5157</v>
      </c>
      <c r="Q202" t="s" s="0">
        <v>91</v>
      </c>
      <c r="R202" t="s" s="0">
        <v>82</v>
      </c>
      <c r="S202" t="s" s="0">
        <v>82</v>
      </c>
      <c r="T202" t="s" s="0">
        <v>82</v>
      </c>
      <c r="U202" t="s" s="0">
        <v>82</v>
      </c>
      <c r="V202" t="s" s="0">
        <v>5158</v>
      </c>
      <c r="W202" t="s" s="0">
        <v>2293</v>
      </c>
      <c r="X202" t="s" s="0">
        <v>82</v>
      </c>
      <c r="Y202" t="s" s="0">
        <v>82</v>
      </c>
      <c r="Z202" t="s" s="0">
        <v>94</v>
      </c>
      <c r="AA202" t="s" s="0">
        <v>95</v>
      </c>
      <c r="AB202" t="s" s="0">
        <v>82</v>
      </c>
      <c r="AC202" t="s" s="0">
        <v>82</v>
      </c>
      <c r="AD202" t="s" s="0">
        <v>82</v>
      </c>
      <c r="AE202" t="s" s="0">
        <v>82</v>
      </c>
      <c r="AF202" t="s" s="0">
        <v>82</v>
      </c>
      <c r="AG202" t="s" s="0">
        <v>5159</v>
      </c>
      <c r="AH202" t="s" s="0">
        <v>82</v>
      </c>
      <c r="AI202" t="s" s="0">
        <v>5160</v>
      </c>
      <c r="AJ202" t="s" s="0">
        <v>5161</v>
      </c>
      <c r="AK202" t="s" s="0">
        <v>82</v>
      </c>
      <c r="AL202" t="s" s="0">
        <v>1780</v>
      </c>
      <c r="AM202" t="s" s="0">
        <v>319</v>
      </c>
      <c r="AN202" t="s" s="0">
        <v>115</v>
      </c>
      <c r="AO202" t="s" s="0">
        <v>78</v>
      </c>
      <c r="AP202" t="s" s="0">
        <v>138</v>
      </c>
      <c r="AQ202" t="s" s="0">
        <v>2051</v>
      </c>
      <c r="AR202" t="s" s="0">
        <v>203</v>
      </c>
      <c r="AS202" t="s" s="0">
        <v>2052</v>
      </c>
      <c r="AT202" t="s" s="0">
        <v>2298</v>
      </c>
      <c r="AU202" t="s" s="0">
        <v>2299</v>
      </c>
      <c r="AV202" t="s" s="0">
        <v>82</v>
      </c>
      <c r="AW202" t="s" s="0">
        <v>2300</v>
      </c>
      <c r="AX202" t="s" s="0">
        <v>2301</v>
      </c>
      <c r="AY202" t="s" s="0">
        <v>668</v>
      </c>
      <c r="AZ202" t="s" s="0">
        <v>110</v>
      </c>
      <c r="BA202" t="s" s="0">
        <v>890</v>
      </c>
      <c r="BB202" t="s" s="0">
        <v>102</v>
      </c>
      <c r="BC202" t="s" s="0">
        <v>82</v>
      </c>
      <c r="BD202" t="s" s="0">
        <v>82</v>
      </c>
      <c r="BE202" t="s" s="0">
        <v>82</v>
      </c>
      <c r="BF202" t="s" s="0">
        <v>82</v>
      </c>
      <c r="BG202" t="s" s="0">
        <v>5162</v>
      </c>
      <c r="BH202" t="s" s="0">
        <v>5163</v>
      </c>
      <c r="BI202" t="s" s="0">
        <v>82</v>
      </c>
      <c r="BJ202" t="s" s="0">
        <v>5164</v>
      </c>
      <c r="BK202" t="s" s="401">
        <f>HYPERLINK("http://dx.doi.org/10.1007/s00330-023-10235-9","http://dx.doi.org/10.1007/s00330-023-10235-9")</f>
        <v>5165</v>
      </c>
      <c r="BL202" t="s" s="0">
        <v>82</v>
      </c>
      <c r="BM202" t="s" s="0">
        <v>82</v>
      </c>
      <c r="BN202" t="s" s="0">
        <v>137</v>
      </c>
      <c r="BO202" t="s" s="0">
        <v>414</v>
      </c>
      <c r="BP202" t="s" s="0">
        <v>414</v>
      </c>
      <c r="BQ202" t="s" s="0">
        <v>5166</v>
      </c>
      <c r="BR202" t="s" s="0">
        <v>5167</v>
      </c>
      <c r="BS202" t="s" s="0">
        <v>5168</v>
      </c>
      <c r="BT202" t="s" s="402">
        <f>HYPERLINK("https://www.webofscience.com/wos/woscc/full-record/WOS:001379776200061","View Record in Web of Science")</f>
        <v>120</v>
      </c>
      <c r="BU202" t="s" s="0">
        <v>4837</v>
      </c>
      <c r="BV202" t="s" s="0">
        <v>82</v>
      </c>
      <c r="BW202" t="s" s="0">
        <v>82</v>
      </c>
      <c r="BX202" t="s" s="0">
        <v>122</v>
      </c>
    </row>
    <row r="203">
      <c r="A203" t="s" s="0">
        <v>77</v>
      </c>
      <c r="B203" t="s" s="0">
        <v>78</v>
      </c>
      <c r="C203" t="s" s="0">
        <v>447</v>
      </c>
      <c r="D203" t="s" s="0">
        <v>78</v>
      </c>
      <c r="E203" t="s" s="0">
        <v>5169</v>
      </c>
      <c r="F203" t="s" s="0">
        <v>5170</v>
      </c>
      <c r="G203" t="s" s="0">
        <v>5171</v>
      </c>
      <c r="H203" t="s" s="0">
        <v>82</v>
      </c>
      <c r="I203" t="s" s="0">
        <v>83</v>
      </c>
      <c r="J203" t="s" s="0">
        <v>5172</v>
      </c>
      <c r="K203" t="s" s="0">
        <v>5173</v>
      </c>
      <c r="L203" t="s" s="0">
        <v>82</v>
      </c>
      <c r="M203" t="s" s="0">
        <v>82</v>
      </c>
      <c r="N203" t="s" s="0">
        <v>82</v>
      </c>
      <c r="O203" t="s" s="0">
        <v>5174</v>
      </c>
      <c r="P203" t="s" s="0">
        <v>5175</v>
      </c>
      <c r="Q203" t="s" s="0">
        <v>91</v>
      </c>
      <c r="R203" t="s" s="0">
        <v>82</v>
      </c>
      <c r="S203" t="s" s="0">
        <v>82</v>
      </c>
      <c r="T203" t="s" s="0">
        <v>82</v>
      </c>
      <c r="U203" t="s" s="0">
        <v>82</v>
      </c>
      <c r="V203" t="s" s="0">
        <v>5176</v>
      </c>
      <c r="W203" t="s" s="0">
        <v>394</v>
      </c>
      <c r="X203" t="s" s="0">
        <v>82</v>
      </c>
      <c r="Y203" t="s" s="0">
        <v>82</v>
      </c>
      <c r="Z203" t="s" s="0">
        <v>94</v>
      </c>
      <c r="AA203" t="s" s="0">
        <v>95</v>
      </c>
      <c r="AB203" t="s" s="0">
        <v>82</v>
      </c>
      <c r="AC203" t="s" s="0">
        <v>82</v>
      </c>
      <c r="AD203" t="s" s="0">
        <v>82</v>
      </c>
      <c r="AE203" t="s" s="0">
        <v>82</v>
      </c>
      <c r="AF203" t="s" s="0">
        <v>82</v>
      </c>
      <c r="AG203" t="s" s="0">
        <v>5177</v>
      </c>
      <c r="AH203" t="s" s="0">
        <v>5178</v>
      </c>
      <c r="AI203" t="s" s="0">
        <v>5179</v>
      </c>
      <c r="AJ203" t="s" s="0">
        <v>5180</v>
      </c>
      <c r="AK203" t="s" s="0">
        <v>82</v>
      </c>
      <c r="AL203" t="s" s="0">
        <v>1780</v>
      </c>
      <c r="AM203" t="s" s="0">
        <v>149</v>
      </c>
      <c r="AN203" t="s" s="0">
        <v>115</v>
      </c>
      <c r="AO203" t="s" s="0">
        <v>78</v>
      </c>
      <c r="AP203" t="s" s="0">
        <v>136</v>
      </c>
      <c r="AQ203" t="s" s="0">
        <v>400</v>
      </c>
      <c r="AR203" t="s" s="0">
        <v>401</v>
      </c>
      <c r="AS203" t="s" s="0">
        <v>402</v>
      </c>
      <c r="AT203" t="s" s="0">
        <v>403</v>
      </c>
      <c r="AU203" t="s" s="0">
        <v>404</v>
      </c>
      <c r="AV203" t="s" s="0">
        <v>82</v>
      </c>
      <c r="AW203" t="s" s="0">
        <v>405</v>
      </c>
      <c r="AX203" t="s" s="0">
        <v>406</v>
      </c>
      <c r="AY203" t="s" s="0">
        <v>1457</v>
      </c>
      <c r="AZ203" t="s" s="0">
        <v>110</v>
      </c>
      <c r="BA203" t="s" s="0">
        <v>1218</v>
      </c>
      <c r="BB203" t="s" s="0">
        <v>82</v>
      </c>
      <c r="BC203" t="s" s="0">
        <v>82</v>
      </c>
      <c r="BD203" t="s" s="0">
        <v>82</v>
      </c>
      <c r="BE203" t="s" s="0">
        <v>82</v>
      </c>
      <c r="BF203" t="s" s="0">
        <v>82</v>
      </c>
      <c r="BG203" t="s" s="0">
        <v>82</v>
      </c>
      <c r="BH203" t="s" s="0">
        <v>82</v>
      </c>
      <c r="BI203" t="s" s="0">
        <v>5181</v>
      </c>
      <c r="BJ203" t="s" s="0">
        <v>5182</v>
      </c>
      <c r="BK203" t="s" s="403">
        <f>HYPERLINK("http://dx.doi.org/10.1016/j.ejrad.2024.111685","http://dx.doi.org/10.1016/j.ejrad.2024.111685")</f>
        <v>5183</v>
      </c>
      <c r="BL203" t="s" s="0">
        <v>82</v>
      </c>
      <c r="BM203" t="s" s="0">
        <v>250</v>
      </c>
      <c r="BN203" t="s" s="0">
        <v>136</v>
      </c>
      <c r="BO203" t="s" s="0">
        <v>414</v>
      </c>
      <c r="BP203" t="s" s="0">
        <v>414</v>
      </c>
      <c r="BQ203" t="s" s="0">
        <v>5184</v>
      </c>
      <c r="BR203" t="s" s="0">
        <v>5185</v>
      </c>
      <c r="BS203" t="s" s="0">
        <v>5186</v>
      </c>
      <c r="BT203" t="s" s="404">
        <f>HYPERLINK("https://www.webofscience.com/wos/woscc/full-record/WOS:001303983600001","View Record in Web of Science")</f>
        <v>120</v>
      </c>
      <c r="BU203" t="s" s="0">
        <v>82</v>
      </c>
      <c r="BV203" t="s" s="0">
        <v>82</v>
      </c>
      <c r="BW203" t="s" s="0">
        <v>82</v>
      </c>
      <c r="BX203" t="s" s="0">
        <v>122</v>
      </c>
    </row>
    <row r="204">
      <c r="A204" t="s" s="0">
        <v>78</v>
      </c>
      <c r="B204" t="s" s="0">
        <v>78</v>
      </c>
      <c r="C204" t="s" s="0">
        <v>447</v>
      </c>
      <c r="D204" t="s" s="0">
        <v>78</v>
      </c>
      <c r="E204" t="s" s="0">
        <v>5187</v>
      </c>
      <c r="F204" t="s" s="0">
        <v>5188</v>
      </c>
      <c r="G204" t="s" s="0">
        <v>5189</v>
      </c>
      <c r="H204" t="s" s="0">
        <v>82</v>
      </c>
      <c r="I204" t="s" s="0">
        <v>83</v>
      </c>
      <c r="J204" t="s" s="0">
        <v>5190</v>
      </c>
      <c r="K204" t="s" s="0">
        <v>5191</v>
      </c>
      <c r="L204" t="s" s="0">
        <v>5192</v>
      </c>
      <c r="M204" t="s" s="0">
        <v>5193</v>
      </c>
      <c r="N204" t="s" s="0">
        <v>5194</v>
      </c>
      <c r="O204" t="s" s="0">
        <v>5195</v>
      </c>
      <c r="P204" t="s" s="0">
        <v>5196</v>
      </c>
      <c r="Q204" t="s" s="0">
        <v>91</v>
      </c>
      <c r="R204" t="s" s="0">
        <v>82</v>
      </c>
      <c r="S204" t="s" s="0">
        <v>82</v>
      </c>
      <c r="T204" t="s" s="0">
        <v>82</v>
      </c>
      <c r="U204" t="s" s="0">
        <v>82</v>
      </c>
      <c r="V204" t="s" s="0">
        <v>5197</v>
      </c>
      <c r="W204" t="s" s="0">
        <v>5198</v>
      </c>
      <c r="X204" t="s" s="0">
        <v>82</v>
      </c>
      <c r="Y204" t="s" s="0">
        <v>82</v>
      </c>
      <c r="Z204" t="s" s="0">
        <v>94</v>
      </c>
      <c r="AA204" t="s" s="0">
        <v>95</v>
      </c>
      <c r="AB204" t="s" s="0">
        <v>82</v>
      </c>
      <c r="AC204" t="s" s="0">
        <v>82</v>
      </c>
      <c r="AD204" t="s" s="0">
        <v>82</v>
      </c>
      <c r="AE204" t="s" s="0">
        <v>82</v>
      </c>
      <c r="AF204" t="s" s="0">
        <v>82</v>
      </c>
      <c r="AG204" t="s" s="0">
        <v>5199</v>
      </c>
      <c r="AH204" t="s" s="0">
        <v>5200</v>
      </c>
      <c r="AI204" t="s" s="0">
        <v>5201</v>
      </c>
      <c r="AJ204" t="s" s="0">
        <v>5202</v>
      </c>
      <c r="AK204" t="s" s="0">
        <v>82</v>
      </c>
      <c r="AL204" t="s" s="0">
        <v>111</v>
      </c>
      <c r="AM204" t="s" s="0">
        <v>137</v>
      </c>
      <c r="AN204" t="s" s="0">
        <v>137</v>
      </c>
      <c r="AO204" t="s" s="0">
        <v>447</v>
      </c>
      <c r="AP204" t="s" s="0">
        <v>102</v>
      </c>
      <c r="AQ204" t="s" s="0">
        <v>491</v>
      </c>
      <c r="AR204" t="s" s="0">
        <v>492</v>
      </c>
      <c r="AS204" t="s" s="0">
        <v>493</v>
      </c>
      <c r="AT204" t="s" s="0">
        <v>5203</v>
      </c>
      <c r="AU204" t="s" s="0">
        <v>5204</v>
      </c>
      <c r="AV204" t="s" s="0">
        <v>82</v>
      </c>
      <c r="AW204" t="s" s="0">
        <v>5198</v>
      </c>
      <c r="AX204" t="s" s="0">
        <v>5198</v>
      </c>
      <c r="AY204" t="s" s="0">
        <v>5205</v>
      </c>
      <c r="AZ204" t="s" s="0">
        <v>110</v>
      </c>
      <c r="BA204" t="s" s="0">
        <v>4685</v>
      </c>
      <c r="BB204" t="s" s="0">
        <v>101</v>
      </c>
      <c r="BC204" t="s" s="0">
        <v>82</v>
      </c>
      <c r="BD204" t="s" s="0">
        <v>82</v>
      </c>
      <c r="BE204" t="s" s="0">
        <v>82</v>
      </c>
      <c r="BF204" t="s" s="0">
        <v>82</v>
      </c>
      <c r="BG204" t="s" s="0">
        <v>5206</v>
      </c>
      <c r="BH204" t="s" s="0">
        <v>5207</v>
      </c>
      <c r="BI204" t="s" s="0">
        <v>82</v>
      </c>
      <c r="BJ204" t="s" s="0">
        <v>5208</v>
      </c>
      <c r="BK204" t="s" s="405">
        <f>HYPERLINK("http://dx.doi.org/10.1093/rheumatology/keae215","http://dx.doi.org/10.1093/rheumatology/keae215")</f>
        <v>5209</v>
      </c>
      <c r="BL204" t="s" s="0">
        <v>82</v>
      </c>
      <c r="BM204" t="s" s="0">
        <v>376</v>
      </c>
      <c r="BN204" t="s" s="0">
        <v>319</v>
      </c>
      <c r="BO204" t="s" s="0">
        <v>5210</v>
      </c>
      <c r="BP204" t="s" s="0">
        <v>5210</v>
      </c>
      <c r="BQ204" t="s" s="0">
        <v>5211</v>
      </c>
      <c r="BR204" t="s" s="0">
        <v>5212</v>
      </c>
      <c r="BS204" t="s" s="0">
        <v>5213</v>
      </c>
      <c r="BT204" t="s" s="406">
        <f>HYPERLINK("https://www.webofscience.com/wos/woscc/full-record/WOS:001222519100001","View Record in Web of Science")</f>
        <v>120</v>
      </c>
      <c r="BU204" t="s" s="0">
        <v>2442</v>
      </c>
      <c r="BV204" t="s" s="0">
        <v>82</v>
      </c>
      <c r="BW204" t="s" s="0">
        <v>82</v>
      </c>
      <c r="BX204" t="s" s="0">
        <v>122</v>
      </c>
    </row>
    <row r="205">
      <c r="A205" t="s" s="0">
        <v>78</v>
      </c>
      <c r="B205" t="s" s="0">
        <v>78</v>
      </c>
      <c r="C205" t="s" s="0">
        <v>447</v>
      </c>
      <c r="D205" t="s" s="0">
        <v>78</v>
      </c>
      <c r="E205" t="s" s="0">
        <v>5214</v>
      </c>
      <c r="F205" t="s" s="0">
        <v>5215</v>
      </c>
      <c r="G205" t="s" s="0">
        <v>5216</v>
      </c>
      <c r="H205" t="s" s="0">
        <v>82</v>
      </c>
      <c r="I205" t="s" s="0">
        <v>83</v>
      </c>
      <c r="J205" t="s" s="0">
        <v>5217</v>
      </c>
      <c r="K205" t="s" s="0">
        <v>5218</v>
      </c>
      <c r="L205" t="s" s="0">
        <v>5219</v>
      </c>
      <c r="M205" t="s" s="0">
        <v>5220</v>
      </c>
      <c r="N205" t="s" s="0">
        <v>5221</v>
      </c>
      <c r="O205" t="s" s="0">
        <v>5222</v>
      </c>
      <c r="P205" t="s" s="0">
        <v>5223</v>
      </c>
      <c r="Q205" t="s" s="0">
        <v>91</v>
      </c>
      <c r="R205" t="s" s="0">
        <v>82</v>
      </c>
      <c r="S205" t="s" s="0">
        <v>82</v>
      </c>
      <c r="T205" t="s" s="0">
        <v>82</v>
      </c>
      <c r="U205" t="s" s="0">
        <v>82</v>
      </c>
      <c r="V205" t="s" s="0">
        <v>5224</v>
      </c>
      <c r="W205" t="s" s="0">
        <v>4358</v>
      </c>
      <c r="X205" t="s" s="0">
        <v>82</v>
      </c>
      <c r="Y205" t="s" s="0">
        <v>82</v>
      </c>
      <c r="Z205" t="s" s="0">
        <v>94</v>
      </c>
      <c r="AA205" t="s" s="0">
        <v>95</v>
      </c>
      <c r="AB205" t="s" s="0">
        <v>82</v>
      </c>
      <c r="AC205" t="s" s="0">
        <v>82</v>
      </c>
      <c r="AD205" t="s" s="0">
        <v>82</v>
      </c>
      <c r="AE205" t="s" s="0">
        <v>82</v>
      </c>
      <c r="AF205" t="s" s="0">
        <v>82</v>
      </c>
      <c r="AG205" t="s" s="0">
        <v>5225</v>
      </c>
      <c r="AH205" t="s" s="0">
        <v>5226</v>
      </c>
      <c r="AI205" t="s" s="0">
        <v>82</v>
      </c>
      <c r="AJ205" t="s" s="0">
        <v>5227</v>
      </c>
      <c r="AK205" t="s" s="0">
        <v>82</v>
      </c>
      <c r="AL205" t="s" s="0">
        <v>1026</v>
      </c>
      <c r="AM205" t="s" s="0">
        <v>375</v>
      </c>
      <c r="AN205" t="s" s="0">
        <v>138</v>
      </c>
      <c r="AO205" t="s" s="0">
        <v>375</v>
      </c>
      <c r="AP205" t="s" s="0">
        <v>115</v>
      </c>
      <c r="AQ205" t="s" s="0">
        <v>1710</v>
      </c>
      <c r="AR205" t="s" s="0">
        <v>1711</v>
      </c>
      <c r="AS205" t="s" s="0">
        <v>1712</v>
      </c>
      <c r="AT205" t="s" s="0">
        <v>4363</v>
      </c>
      <c r="AU205" t="s" s="0">
        <v>82</v>
      </c>
      <c r="AV205" t="s" s="0">
        <v>82</v>
      </c>
      <c r="AW205" t="s" s="0">
        <v>4364</v>
      </c>
      <c r="AX205" t="s" s="0">
        <v>4365</v>
      </c>
      <c r="AY205" t="s" s="0">
        <v>5228</v>
      </c>
      <c r="AZ205" t="s" s="0">
        <v>147</v>
      </c>
      <c r="BA205" t="s" s="0">
        <v>1780</v>
      </c>
      <c r="BB205" t="s" s="0">
        <v>82</v>
      </c>
      <c r="BC205" t="s" s="0">
        <v>82</v>
      </c>
      <c r="BD205" t="s" s="0">
        <v>82</v>
      </c>
      <c r="BE205" t="s" s="0">
        <v>82</v>
      </c>
      <c r="BF205" t="s" s="0">
        <v>82</v>
      </c>
      <c r="BG205" t="s" s="0">
        <v>82</v>
      </c>
      <c r="BH205" t="s" s="0">
        <v>82</v>
      </c>
      <c r="BI205" t="s" s="0">
        <v>5229</v>
      </c>
      <c r="BJ205" t="s" s="0">
        <v>5230</v>
      </c>
      <c r="BK205" t="s" s="407">
        <f>HYPERLINK("http://dx.doi.org/10.2196/67576","http://dx.doi.org/10.2196/67576")</f>
        <v>5231</v>
      </c>
      <c r="BL205" t="s" s="0">
        <v>82</v>
      </c>
      <c r="BM205" t="s" s="0">
        <v>82</v>
      </c>
      <c r="BN205" t="s" s="0">
        <v>349</v>
      </c>
      <c r="BO205" t="s" s="0">
        <v>785</v>
      </c>
      <c r="BP205" t="s" s="0">
        <v>785</v>
      </c>
      <c r="BQ205" t="s" s="0">
        <v>5232</v>
      </c>
      <c r="BR205" t="s" s="0">
        <v>5233</v>
      </c>
      <c r="BS205" t="s" s="0">
        <v>5234</v>
      </c>
      <c r="BT205" t="s" s="408">
        <f>HYPERLINK("https://www.webofscience.com/wos/woscc/full-record/WOS:001462271200003","View Record in Web of Science")</f>
        <v>120</v>
      </c>
      <c r="BU205" t="s" s="0">
        <v>121</v>
      </c>
      <c r="BV205" t="s" s="0">
        <v>82</v>
      </c>
      <c r="BW205" t="s" s="0">
        <v>82</v>
      </c>
      <c r="BX205" t="s" s="0">
        <v>122</v>
      </c>
    </row>
    <row r="206">
      <c r="A206" t="s" s="0">
        <v>78</v>
      </c>
      <c r="B206" t="s" s="0">
        <v>78</v>
      </c>
      <c r="C206" t="s" s="0">
        <v>78</v>
      </c>
      <c r="D206" t="s" s="0">
        <v>78</v>
      </c>
      <c r="E206" t="s" s="0">
        <v>5235</v>
      </c>
      <c r="F206" t="s" s="0">
        <v>5236</v>
      </c>
      <c r="G206" t="s" s="0">
        <v>5237</v>
      </c>
      <c r="H206" t="s" s="0">
        <v>82</v>
      </c>
      <c r="I206" t="s" s="0">
        <v>83</v>
      </c>
      <c r="J206" t="s" s="0">
        <v>5238</v>
      </c>
      <c r="K206" t="s" s="0">
        <v>5239</v>
      </c>
      <c r="L206" t="s" s="0">
        <v>5240</v>
      </c>
      <c r="M206" t="s" s="0">
        <v>5240</v>
      </c>
      <c r="N206" t="s" s="0">
        <v>5240</v>
      </c>
      <c r="O206" t="s" s="0">
        <v>5241</v>
      </c>
      <c r="P206" t="s" s="0">
        <v>5242</v>
      </c>
      <c r="Q206" t="s" s="0">
        <v>91</v>
      </c>
      <c r="R206" t="s" s="0">
        <v>82</v>
      </c>
      <c r="S206" t="s" s="0">
        <v>82</v>
      </c>
      <c r="T206" t="s" s="0">
        <v>82</v>
      </c>
      <c r="U206" t="s" s="0">
        <v>82</v>
      </c>
      <c r="V206" t="s" s="0">
        <v>5243</v>
      </c>
      <c r="W206" t="s" s="0">
        <v>5244</v>
      </c>
      <c r="X206" t="s" s="0">
        <v>82</v>
      </c>
      <c r="Y206" t="s" s="0">
        <v>82</v>
      </c>
      <c r="Z206" t="s" s="0">
        <v>94</v>
      </c>
      <c r="AA206" t="s" s="0">
        <v>95</v>
      </c>
      <c r="AB206" t="s" s="0">
        <v>82</v>
      </c>
      <c r="AC206" t="s" s="0">
        <v>82</v>
      </c>
      <c r="AD206" t="s" s="0">
        <v>82</v>
      </c>
      <c r="AE206" t="s" s="0">
        <v>82</v>
      </c>
      <c r="AF206" t="s" s="0">
        <v>82</v>
      </c>
      <c r="AG206" t="s" s="0">
        <v>5245</v>
      </c>
      <c r="AH206" t="s" s="0">
        <v>82</v>
      </c>
      <c r="AI206" t="s" s="0">
        <v>5246</v>
      </c>
      <c r="AJ206" t="s" s="0">
        <v>5247</v>
      </c>
      <c r="AK206" t="s" s="0">
        <v>82</v>
      </c>
      <c r="AL206" t="s" s="0">
        <v>154</v>
      </c>
      <c r="AM206" t="s" s="0">
        <v>447</v>
      </c>
      <c r="AN206" t="s" s="0">
        <v>447</v>
      </c>
      <c r="AO206" t="s" s="0">
        <v>78</v>
      </c>
      <c r="AP206" t="s" s="0">
        <v>78</v>
      </c>
      <c r="AQ206" t="s" s="0">
        <v>1280</v>
      </c>
      <c r="AR206" t="s" s="0">
        <v>104</v>
      </c>
      <c r="AS206" t="s" s="0">
        <v>1281</v>
      </c>
      <c r="AT206" t="s" s="0">
        <v>5248</v>
      </c>
      <c r="AU206" t="s" s="0">
        <v>5249</v>
      </c>
      <c r="AV206" t="s" s="0">
        <v>82</v>
      </c>
      <c r="AW206" t="s" s="0">
        <v>5250</v>
      </c>
      <c r="AX206" t="s" s="0">
        <v>5251</v>
      </c>
      <c r="AY206" t="s" s="0">
        <v>552</v>
      </c>
      <c r="AZ206" t="s" s="0">
        <v>210</v>
      </c>
      <c r="BA206" t="s" s="0">
        <v>4685</v>
      </c>
      <c r="BB206" t="s" s="0">
        <v>137</v>
      </c>
      <c r="BC206" t="s" s="0">
        <v>82</v>
      </c>
      <c r="BD206" t="s" s="0">
        <v>82</v>
      </c>
      <c r="BE206" t="s" s="0">
        <v>82</v>
      </c>
      <c r="BF206" t="s" s="0">
        <v>82</v>
      </c>
      <c r="BG206" t="s" s="0">
        <v>5252</v>
      </c>
      <c r="BH206" t="s" s="0">
        <v>5253</v>
      </c>
      <c r="BI206" t="s" s="0">
        <v>5254</v>
      </c>
      <c r="BJ206" t="s" s="0">
        <v>5255</v>
      </c>
      <c r="BK206" t="s" s="409">
        <f>HYPERLINK("http://dx.doi.org/10.1177/02841851231202323","http://dx.doi.org/10.1177/02841851231202323")</f>
        <v>5256</v>
      </c>
      <c r="BL206" t="s" s="0">
        <v>82</v>
      </c>
      <c r="BM206" t="s" s="0">
        <v>804</v>
      </c>
      <c r="BN206" t="s" s="0">
        <v>245</v>
      </c>
      <c r="BO206" t="s" s="0">
        <v>414</v>
      </c>
      <c r="BP206" t="s" s="0">
        <v>414</v>
      </c>
      <c r="BQ206" t="s" s="0">
        <v>5257</v>
      </c>
      <c r="BR206" t="s" s="0">
        <v>5258</v>
      </c>
      <c r="BS206" t="s" s="0">
        <v>5259</v>
      </c>
      <c r="BT206" t="s" s="410">
        <f>HYPERLINK("https://www.webofscience.com/wos/woscc/full-record/WOS:001070641500001","View Record in Web of Science")</f>
        <v>120</v>
      </c>
      <c r="BU206" t="s" s="0">
        <v>82</v>
      </c>
      <c r="BV206" t="s" s="0">
        <v>82</v>
      </c>
      <c r="BW206" t="s" s="0">
        <v>82</v>
      </c>
      <c r="BX206" t="s" s="0">
        <v>122</v>
      </c>
    </row>
    <row r="207">
      <c r="A207" t="s" s="0">
        <v>78</v>
      </c>
      <c r="B207" t="s" s="0">
        <v>78</v>
      </c>
      <c r="C207" t="s" s="0">
        <v>78</v>
      </c>
      <c r="D207" t="s" s="0">
        <v>78</v>
      </c>
      <c r="E207" t="s" s="0">
        <v>5260</v>
      </c>
      <c r="F207" t="s" s="0">
        <v>5261</v>
      </c>
      <c r="G207" t="s" s="0">
        <v>5262</v>
      </c>
      <c r="H207" t="s" s="0">
        <v>82</v>
      </c>
      <c r="I207" t="s" s="0">
        <v>83</v>
      </c>
      <c r="J207" t="s" s="0">
        <v>5263</v>
      </c>
      <c r="K207" t="s" s="0">
        <v>5264</v>
      </c>
      <c r="L207" t="s" s="0">
        <v>82</v>
      </c>
      <c r="M207" t="s" s="0">
        <v>82</v>
      </c>
      <c r="N207" t="s" s="0">
        <v>82</v>
      </c>
      <c r="O207" t="s" s="0">
        <v>5265</v>
      </c>
      <c r="P207" t="s" s="0">
        <v>5266</v>
      </c>
      <c r="Q207" t="s" s="0">
        <v>91</v>
      </c>
      <c r="R207" t="s" s="0">
        <v>82</v>
      </c>
      <c r="S207" t="s" s="0">
        <v>82</v>
      </c>
      <c r="T207" t="s" s="0">
        <v>82</v>
      </c>
      <c r="U207" t="s" s="0">
        <v>82</v>
      </c>
      <c r="V207" t="s" s="0">
        <v>5267</v>
      </c>
      <c r="W207" t="s" s="0">
        <v>394</v>
      </c>
      <c r="X207" t="s" s="0">
        <v>82</v>
      </c>
      <c r="Y207" t="s" s="0">
        <v>82</v>
      </c>
      <c r="Z207" t="s" s="0">
        <v>94</v>
      </c>
      <c r="AA207" t="s" s="0">
        <v>95</v>
      </c>
      <c r="AB207" t="s" s="0">
        <v>82</v>
      </c>
      <c r="AC207" t="s" s="0">
        <v>82</v>
      </c>
      <c r="AD207" t="s" s="0">
        <v>82</v>
      </c>
      <c r="AE207" t="s" s="0">
        <v>82</v>
      </c>
      <c r="AF207" t="s" s="0">
        <v>82</v>
      </c>
      <c r="AG207" t="s" s="0">
        <v>5268</v>
      </c>
      <c r="AH207" t="s" s="0">
        <v>5269</v>
      </c>
      <c r="AI207" t="s" s="0">
        <v>5270</v>
      </c>
      <c r="AJ207" t="s" s="0">
        <v>5271</v>
      </c>
      <c r="AK207" t="s" s="0">
        <v>82</v>
      </c>
      <c r="AL207" t="s" s="0">
        <v>239</v>
      </c>
      <c r="AM207" t="s" s="0">
        <v>78</v>
      </c>
      <c r="AN207" t="s" s="0">
        <v>78</v>
      </c>
      <c r="AO207" t="s" s="0">
        <v>78</v>
      </c>
      <c r="AP207" t="s" s="0">
        <v>78</v>
      </c>
      <c r="AQ207" t="s" s="0">
        <v>400</v>
      </c>
      <c r="AR207" t="s" s="0">
        <v>401</v>
      </c>
      <c r="AS207" t="s" s="0">
        <v>402</v>
      </c>
      <c r="AT207" t="s" s="0">
        <v>403</v>
      </c>
      <c r="AU207" t="s" s="0">
        <v>404</v>
      </c>
      <c r="AV207" t="s" s="0">
        <v>82</v>
      </c>
      <c r="AW207" t="s" s="0">
        <v>405</v>
      </c>
      <c r="AX207" t="s" s="0">
        <v>406</v>
      </c>
      <c r="AY207" t="s" s="0">
        <v>146</v>
      </c>
      <c r="AZ207" t="s" s="0">
        <v>147</v>
      </c>
      <c r="BA207" t="s" s="0">
        <v>5272</v>
      </c>
      <c r="BB207" t="s" s="0">
        <v>82</v>
      </c>
      <c r="BC207" t="s" s="0">
        <v>82</v>
      </c>
      <c r="BD207" t="s" s="0">
        <v>82</v>
      </c>
      <c r="BE207" t="s" s="0">
        <v>82</v>
      </c>
      <c r="BF207" t="s" s="0">
        <v>82</v>
      </c>
      <c r="BG207" t="s" s="0">
        <v>82</v>
      </c>
      <c r="BH207" t="s" s="0">
        <v>82</v>
      </c>
      <c r="BI207" t="s" s="0">
        <v>5273</v>
      </c>
      <c r="BJ207" t="s" s="0">
        <v>5274</v>
      </c>
      <c r="BK207" t="s" s="411">
        <f>HYPERLINK("http://dx.doi.org/10.1016/j.ejrad.2025.112430","http://dx.doi.org/10.1016/j.ejrad.2025.112430")</f>
        <v>5275</v>
      </c>
      <c r="BL207" t="s" s="0">
        <v>82</v>
      </c>
      <c r="BM207" t="s" s="0">
        <v>1191</v>
      </c>
      <c r="BN207" t="s" s="0">
        <v>375</v>
      </c>
      <c r="BO207" t="s" s="0">
        <v>414</v>
      </c>
      <c r="BP207" t="s" s="0">
        <v>414</v>
      </c>
      <c r="BQ207" t="s" s="0">
        <v>5276</v>
      </c>
      <c r="BR207" t="s" s="0">
        <v>5277</v>
      </c>
      <c r="BS207" t="s" s="0">
        <v>5278</v>
      </c>
      <c r="BT207" t="s" s="412">
        <f>HYPERLINK("https://www.webofscience.com/wos/woscc/full-record/WOS:001584231900001","View Record in Web of Science")</f>
        <v>120</v>
      </c>
      <c r="BU207" t="s" s="0">
        <v>82</v>
      </c>
      <c r="BV207" t="s" s="0">
        <v>82</v>
      </c>
      <c r="BW207" t="s" s="0">
        <v>82</v>
      </c>
      <c r="BX207" t="s" s="0">
        <v>122</v>
      </c>
    </row>
    <row r="208">
      <c r="A208" t="s" s="0">
        <v>78</v>
      </c>
      <c r="B208" t="s" s="0">
        <v>78</v>
      </c>
      <c r="C208" t="s" s="0">
        <v>77</v>
      </c>
      <c r="D208" t="s" s="0">
        <v>78</v>
      </c>
      <c r="E208" t="s" s="0">
        <v>5279</v>
      </c>
      <c r="F208" t="s" s="0">
        <v>5280</v>
      </c>
      <c r="G208" t="s" s="0">
        <v>5281</v>
      </c>
      <c r="H208" t="s" s="0">
        <v>82</v>
      </c>
      <c r="I208" t="s" s="0">
        <v>83</v>
      </c>
      <c r="J208" t="s" s="0">
        <v>5282</v>
      </c>
      <c r="K208" t="s" s="0">
        <v>5283</v>
      </c>
      <c r="L208" t="s" s="0">
        <v>5284</v>
      </c>
      <c r="M208" t="s" s="0">
        <v>5285</v>
      </c>
      <c r="N208" t="s" s="0">
        <v>5286</v>
      </c>
      <c r="O208" t="s" s="0">
        <v>5287</v>
      </c>
      <c r="P208" t="s" s="0">
        <v>5288</v>
      </c>
      <c r="Q208" t="s" s="0">
        <v>91</v>
      </c>
      <c r="R208" t="s" s="0">
        <v>82</v>
      </c>
      <c r="S208" t="s" s="0">
        <v>82</v>
      </c>
      <c r="T208" t="s" s="0">
        <v>82</v>
      </c>
      <c r="U208" t="s" s="0">
        <v>82</v>
      </c>
      <c r="V208" t="s" s="0">
        <v>5289</v>
      </c>
      <c r="W208" t="s" s="0">
        <v>3900</v>
      </c>
      <c r="X208" t="s" s="0">
        <v>82</v>
      </c>
      <c r="Y208" t="s" s="0">
        <v>82</v>
      </c>
      <c r="Z208" t="s" s="0">
        <v>94</v>
      </c>
      <c r="AA208" t="s" s="0">
        <v>95</v>
      </c>
      <c r="AB208" t="s" s="0">
        <v>82</v>
      </c>
      <c r="AC208" t="s" s="0">
        <v>82</v>
      </c>
      <c r="AD208" t="s" s="0">
        <v>82</v>
      </c>
      <c r="AE208" t="s" s="0">
        <v>82</v>
      </c>
      <c r="AF208" t="s" s="0">
        <v>82</v>
      </c>
      <c r="AG208" t="s" s="0">
        <v>5290</v>
      </c>
      <c r="AH208" t="s" s="0">
        <v>82</v>
      </c>
      <c r="AI208" t="s" s="0">
        <v>5291</v>
      </c>
      <c r="AJ208" t="s" s="0">
        <v>5292</v>
      </c>
      <c r="AK208" t="s" s="0">
        <v>82</v>
      </c>
      <c r="AL208" t="s" s="0">
        <v>1502</v>
      </c>
      <c r="AM208" t="s" s="0">
        <v>77</v>
      </c>
      <c r="AN208" t="s" s="0">
        <v>77</v>
      </c>
      <c r="AO208" t="s" s="0">
        <v>78</v>
      </c>
      <c r="AP208" t="s" s="0">
        <v>447</v>
      </c>
      <c r="AQ208" t="s" s="0">
        <v>312</v>
      </c>
      <c r="AR208" t="s" s="0">
        <v>313</v>
      </c>
      <c r="AS208" t="s" s="0">
        <v>314</v>
      </c>
      <c r="AT208" t="s" s="0">
        <v>82</v>
      </c>
      <c r="AU208" t="s" s="0">
        <v>3904</v>
      </c>
      <c r="AV208" t="s" s="0">
        <v>82</v>
      </c>
      <c r="AW208" t="s" s="0">
        <v>3900</v>
      </c>
      <c r="AX208" t="s" s="0">
        <v>3905</v>
      </c>
      <c r="AY208" t="s" s="0">
        <v>1191</v>
      </c>
      <c r="AZ208" t="s" s="0">
        <v>147</v>
      </c>
      <c r="BA208" t="s" s="0">
        <v>149</v>
      </c>
      <c r="BB208" t="s" s="0">
        <v>77</v>
      </c>
      <c r="BC208" t="s" s="0">
        <v>82</v>
      </c>
      <c r="BD208" t="s" s="0">
        <v>82</v>
      </c>
      <c r="BE208" t="s" s="0">
        <v>82</v>
      </c>
      <c r="BF208" t="s" s="0">
        <v>82</v>
      </c>
      <c r="BG208" t="s" s="0">
        <v>82</v>
      </c>
      <c r="BH208" t="s" s="0">
        <v>82</v>
      </c>
      <c r="BI208" t="s" s="0">
        <v>173</v>
      </c>
      <c r="BJ208" t="s" s="0">
        <v>5293</v>
      </c>
      <c r="BK208" t="s" s="413">
        <f>HYPERLINK("http://dx.doi.org/10.3390/bioengineering12010020","http://dx.doi.org/10.3390/bioengineering12010020")</f>
        <v>5294</v>
      </c>
      <c r="BL208" t="s" s="0">
        <v>82</v>
      </c>
      <c r="BM208" t="s" s="0">
        <v>82</v>
      </c>
      <c r="BN208" t="s" s="0">
        <v>149</v>
      </c>
      <c r="BO208" t="s" s="0">
        <v>3909</v>
      </c>
      <c r="BP208" t="s" s="0">
        <v>3910</v>
      </c>
      <c r="BQ208" t="s" s="0">
        <v>5295</v>
      </c>
      <c r="BR208" t="s" s="0">
        <v>5296</v>
      </c>
      <c r="BS208" t="s" s="0">
        <v>5297</v>
      </c>
      <c r="BT208" t="s" s="414">
        <f>HYPERLINK("https://www.webofscience.com/wos/woscc/full-record/WOS:001404576600001","View Record in Web of Science")</f>
        <v>120</v>
      </c>
      <c r="BU208" t="s" s="0">
        <v>121</v>
      </c>
      <c r="BV208" t="s" s="0">
        <v>82</v>
      </c>
      <c r="BW208" t="s" s="0">
        <v>82</v>
      </c>
      <c r="BX208" t="s" s="0">
        <v>122</v>
      </c>
    </row>
    <row r="209">
      <c r="A209" t="s" s="0">
        <v>78</v>
      </c>
      <c r="B209" t="s" s="0">
        <v>78</v>
      </c>
      <c r="C209" t="s" s="0">
        <v>221</v>
      </c>
      <c r="D209" t="s" s="0">
        <v>78</v>
      </c>
      <c r="E209" t="s" s="0">
        <v>5298</v>
      </c>
      <c r="F209" t="s" s="0">
        <v>5299</v>
      </c>
      <c r="G209" t="s" s="0">
        <v>5300</v>
      </c>
      <c r="H209" t="s" s="0">
        <v>82</v>
      </c>
      <c r="I209" t="s" s="0">
        <v>83</v>
      </c>
      <c r="J209" t="s" s="0">
        <v>5301</v>
      </c>
      <c r="K209" t="s" s="0">
        <v>5302</v>
      </c>
      <c r="L209" t="s" s="0">
        <v>82</v>
      </c>
      <c r="M209" t="s" s="0">
        <v>82</v>
      </c>
      <c r="N209" t="s" s="0">
        <v>82</v>
      </c>
      <c r="O209" t="s" s="0">
        <v>5303</v>
      </c>
      <c r="P209" t="s" s="0">
        <v>5304</v>
      </c>
      <c r="Q209" t="s" s="0">
        <v>91</v>
      </c>
      <c r="R209" t="s" s="0">
        <v>82</v>
      </c>
      <c r="S209" t="s" s="0">
        <v>82</v>
      </c>
      <c r="T209" t="s" s="0">
        <v>82</v>
      </c>
      <c r="U209" t="s" s="0">
        <v>82</v>
      </c>
      <c r="V209" t="s" s="0">
        <v>5305</v>
      </c>
      <c r="W209" t="s" s="0">
        <v>1677</v>
      </c>
      <c r="X209" t="s" s="0">
        <v>82</v>
      </c>
      <c r="Y209" t="s" s="0">
        <v>82</v>
      </c>
      <c r="Z209" t="s" s="0">
        <v>94</v>
      </c>
      <c r="AA209" t="s" s="0">
        <v>95</v>
      </c>
      <c r="AB209" t="s" s="0">
        <v>82</v>
      </c>
      <c r="AC209" t="s" s="0">
        <v>82</v>
      </c>
      <c r="AD209" t="s" s="0">
        <v>82</v>
      </c>
      <c r="AE209" t="s" s="0">
        <v>82</v>
      </c>
      <c r="AF209" t="s" s="0">
        <v>82</v>
      </c>
      <c r="AG209" t="s" s="0">
        <v>82</v>
      </c>
      <c r="AH209" t="s" s="0">
        <v>5306</v>
      </c>
      <c r="AI209" t="s" s="0">
        <v>5307</v>
      </c>
      <c r="AJ209" t="s" s="0">
        <v>5308</v>
      </c>
      <c r="AK209" t="s" s="0">
        <v>82</v>
      </c>
      <c r="AL209" t="s" s="0">
        <v>831</v>
      </c>
      <c r="AM209" t="s" s="0">
        <v>1320</v>
      </c>
      <c r="AN209" t="s" s="0">
        <v>173</v>
      </c>
      <c r="AO209" t="s" s="0">
        <v>77</v>
      </c>
      <c r="AP209" t="s" s="0">
        <v>136</v>
      </c>
      <c r="AQ209" t="s" s="0">
        <v>1681</v>
      </c>
      <c r="AR209" t="s" s="0">
        <v>1682</v>
      </c>
      <c r="AS209" t="s" s="0">
        <v>1683</v>
      </c>
      <c r="AT209" t="s" s="0">
        <v>1684</v>
      </c>
      <c r="AU209" t="s" s="0">
        <v>1685</v>
      </c>
      <c r="AV209" t="s" s="0">
        <v>82</v>
      </c>
      <c r="AW209" t="s" s="0">
        <v>1686</v>
      </c>
      <c r="AX209" t="s" s="0">
        <v>1687</v>
      </c>
      <c r="AY209" t="s" s="0">
        <v>5309</v>
      </c>
      <c r="AZ209" t="s" s="0">
        <v>408</v>
      </c>
      <c r="BA209" t="s" s="0">
        <v>1526</v>
      </c>
      <c r="BB209" t="s" s="0">
        <v>149</v>
      </c>
      <c r="BC209" t="s" s="0">
        <v>82</v>
      </c>
      <c r="BD209" t="s" s="0">
        <v>82</v>
      </c>
      <c r="BE209" t="s" s="0">
        <v>82</v>
      </c>
      <c r="BF209" t="s" s="0">
        <v>82</v>
      </c>
      <c r="BG209" t="s" s="0">
        <v>5310</v>
      </c>
      <c r="BH209" t="s" s="0">
        <v>5311</v>
      </c>
      <c r="BI209" t="s" s="0">
        <v>82</v>
      </c>
      <c r="BJ209" t="s" s="0">
        <v>5312</v>
      </c>
      <c r="BK209" t="s" s="415">
        <f>HYPERLINK("http://dx.doi.org/10.3174/ajnr.A7695","http://dx.doi.org/10.3174/ajnr.A7695")</f>
        <v>5313</v>
      </c>
      <c r="BL209" t="s" s="0">
        <v>82</v>
      </c>
      <c r="BM209" t="s" s="0">
        <v>1716</v>
      </c>
      <c r="BN209" t="s" s="0">
        <v>375</v>
      </c>
      <c r="BO209" t="s" s="0">
        <v>1692</v>
      </c>
      <c r="BP209" t="s" s="0">
        <v>1693</v>
      </c>
      <c r="BQ209" t="s" s="0">
        <v>5314</v>
      </c>
      <c r="BR209" t="s" s="0">
        <v>5315</v>
      </c>
      <c r="BS209" t="s" s="0">
        <v>5316</v>
      </c>
      <c r="BT209" t="s" s="416">
        <f>HYPERLINK("https://www.webofscience.com/wos/woscc/full-record/WOS:000883714700001","View Record in Web of Science")</f>
        <v>120</v>
      </c>
      <c r="BU209" t="s" s="0">
        <v>159</v>
      </c>
      <c r="BV209" t="s" s="0">
        <v>82</v>
      </c>
      <c r="BW209" t="s" s="0">
        <v>82</v>
      </c>
      <c r="BX209" t="s" s="0">
        <v>122</v>
      </c>
    </row>
    <row r="210">
      <c r="A210" t="s" s="0">
        <v>78</v>
      </c>
      <c r="B210" t="s" s="0">
        <v>78</v>
      </c>
      <c r="C210" t="s" s="0">
        <v>78</v>
      </c>
      <c r="D210" t="s" s="0">
        <v>78</v>
      </c>
      <c r="E210" t="s" s="0">
        <v>5317</v>
      </c>
      <c r="F210" t="s" s="0">
        <v>5318</v>
      </c>
      <c r="G210" t="s" s="0">
        <v>5319</v>
      </c>
      <c r="H210" t="s" s="0">
        <v>82</v>
      </c>
      <c r="I210" t="s" s="0">
        <v>83</v>
      </c>
      <c r="J210" t="s" s="0">
        <v>5320</v>
      </c>
      <c r="K210" t="s" s="0">
        <v>5321</v>
      </c>
      <c r="L210" t="s" s="0">
        <v>5322</v>
      </c>
      <c r="M210" t="s" s="0">
        <v>5323</v>
      </c>
      <c r="N210" t="s" s="0">
        <v>5324</v>
      </c>
      <c r="O210" t="s" s="0">
        <v>5325</v>
      </c>
      <c r="P210" t="s" s="0">
        <v>5326</v>
      </c>
      <c r="Q210" t="s" s="0">
        <v>91</v>
      </c>
      <c r="R210" t="s" s="0">
        <v>82</v>
      </c>
      <c r="S210" t="s" s="0">
        <v>5327</v>
      </c>
      <c r="T210" t="s" s="0">
        <v>82</v>
      </c>
      <c r="U210" t="s" s="0">
        <v>82</v>
      </c>
      <c r="V210" t="s" s="0">
        <v>5328</v>
      </c>
      <c r="W210" t="s" s="0">
        <v>5329</v>
      </c>
      <c r="X210" t="s" s="0">
        <v>82</v>
      </c>
      <c r="Y210" t="s" s="0">
        <v>82</v>
      </c>
      <c r="Z210" t="s" s="0">
        <v>94</v>
      </c>
      <c r="AA210" t="s" s="0">
        <v>169</v>
      </c>
      <c r="AB210" t="s" s="0">
        <v>82</v>
      </c>
      <c r="AC210" t="s" s="0">
        <v>82</v>
      </c>
      <c r="AD210" t="s" s="0">
        <v>82</v>
      </c>
      <c r="AE210" t="s" s="0">
        <v>82</v>
      </c>
      <c r="AF210" t="s" s="0">
        <v>82</v>
      </c>
      <c r="AG210" t="s" s="0">
        <v>5330</v>
      </c>
      <c r="AH210" t="s" s="0">
        <v>5331</v>
      </c>
      <c r="AI210" t="s" s="0">
        <v>5332</v>
      </c>
      <c r="AJ210" t="s" s="0">
        <v>82</v>
      </c>
      <c r="AK210" t="s" s="0">
        <v>82</v>
      </c>
      <c r="AL210" t="s" s="0">
        <v>344</v>
      </c>
      <c r="AM210" t="s" s="0">
        <v>78</v>
      </c>
      <c r="AN210" t="s" s="0">
        <v>78</v>
      </c>
      <c r="AO210" t="s" s="0">
        <v>78</v>
      </c>
      <c r="AP210" t="s" s="0">
        <v>78</v>
      </c>
      <c r="AQ210" t="s" s="0">
        <v>5333</v>
      </c>
      <c r="AR210" t="s" s="0">
        <v>313</v>
      </c>
      <c r="AS210" t="s" s="0">
        <v>5334</v>
      </c>
      <c r="AT210" t="s" s="0">
        <v>5335</v>
      </c>
      <c r="AU210" t="s" s="0">
        <v>5336</v>
      </c>
      <c r="AV210" t="s" s="0">
        <v>82</v>
      </c>
      <c r="AW210" t="s" s="0">
        <v>5329</v>
      </c>
      <c r="AX210" t="s" s="0">
        <v>5337</v>
      </c>
      <c r="AY210" t="s" s="0">
        <v>82</v>
      </c>
      <c r="AZ210" t="s" s="0">
        <v>181</v>
      </c>
      <c r="BA210" t="s" s="0">
        <v>82</v>
      </c>
      <c r="BB210" t="s" s="0">
        <v>82</v>
      </c>
      <c r="BC210" t="s" s="0">
        <v>82</v>
      </c>
      <c r="BD210" t="s" s="0">
        <v>82</v>
      </c>
      <c r="BE210" t="s" s="0">
        <v>82</v>
      </c>
      <c r="BF210" t="s" s="0">
        <v>82</v>
      </c>
      <c r="BG210" t="s" s="0">
        <v>82</v>
      </c>
      <c r="BH210" t="s" s="0">
        <v>82</v>
      </c>
      <c r="BI210" t="s" s="0">
        <v>82</v>
      </c>
      <c r="BJ210" t="s" s="0">
        <v>5338</v>
      </c>
      <c r="BK210" t="s" s="417">
        <f>HYPERLINK("http://dx.doi.org/10.1159/000551704","http://dx.doi.org/10.1159/000551704")</f>
        <v>5339</v>
      </c>
      <c r="BL210" t="s" s="0">
        <v>82</v>
      </c>
      <c r="BM210" t="s" s="0">
        <v>1365</v>
      </c>
      <c r="BN210" t="s" s="0">
        <v>239</v>
      </c>
      <c r="BO210" t="s" s="0">
        <v>5340</v>
      </c>
      <c r="BP210" t="s" s="0">
        <v>5340</v>
      </c>
      <c r="BQ210" t="s" s="0">
        <v>5341</v>
      </c>
      <c r="BR210" t="s" s="0">
        <v>5342</v>
      </c>
      <c r="BS210" t="s" s="0">
        <v>5343</v>
      </c>
      <c r="BT210" t="s" s="418">
        <f>HYPERLINK("https://www.webofscience.com/wos/woscc/full-record/WOS:001801595900001","View Record in Web of Science")</f>
        <v>120</v>
      </c>
      <c r="BU210" t="s" s="0">
        <v>5344</v>
      </c>
      <c r="BV210" t="s" s="0">
        <v>82</v>
      </c>
      <c r="BW210" t="s" s="0">
        <v>82</v>
      </c>
      <c r="BX210" t="s" s="0">
        <v>122</v>
      </c>
    </row>
    <row r="211">
      <c r="A211" t="s" s="0">
        <v>78</v>
      </c>
      <c r="B211" t="s" s="0">
        <v>78</v>
      </c>
      <c r="C211" t="s" s="0">
        <v>77</v>
      </c>
      <c r="D211" t="s" s="0">
        <v>78</v>
      </c>
      <c r="E211" t="s" s="0">
        <v>5345</v>
      </c>
      <c r="F211" t="s" s="0">
        <v>5346</v>
      </c>
      <c r="G211" t="s" s="0">
        <v>5347</v>
      </c>
      <c r="H211" t="s" s="0">
        <v>82</v>
      </c>
      <c r="I211" t="s" s="0">
        <v>83</v>
      </c>
      <c r="J211" t="s" s="0">
        <v>5348</v>
      </c>
      <c r="K211" t="s" s="0">
        <v>5349</v>
      </c>
      <c r="L211" t="s" s="0">
        <v>5350</v>
      </c>
      <c r="M211" t="s" s="0">
        <v>5350</v>
      </c>
      <c r="N211" t="s" s="0">
        <v>5351</v>
      </c>
      <c r="O211" t="s" s="0">
        <v>5352</v>
      </c>
      <c r="P211" t="s" s="0">
        <v>5353</v>
      </c>
      <c r="Q211" t="s" s="0">
        <v>91</v>
      </c>
      <c r="R211" t="s" s="0">
        <v>82</v>
      </c>
      <c r="S211" t="s" s="0">
        <v>5354</v>
      </c>
      <c r="T211" t="s" s="0">
        <v>82</v>
      </c>
      <c r="U211" t="s" s="0">
        <v>82</v>
      </c>
      <c r="V211" t="s" s="0">
        <v>5355</v>
      </c>
      <c r="W211" t="s" s="0">
        <v>5356</v>
      </c>
      <c r="X211" t="s" s="0">
        <v>82</v>
      </c>
      <c r="Y211" t="s" s="0">
        <v>82</v>
      </c>
      <c r="Z211" t="s" s="0">
        <v>94</v>
      </c>
      <c r="AA211" t="s" s="0">
        <v>169</v>
      </c>
      <c r="AB211" t="s" s="0">
        <v>82</v>
      </c>
      <c r="AC211" t="s" s="0">
        <v>82</v>
      </c>
      <c r="AD211" t="s" s="0">
        <v>82</v>
      </c>
      <c r="AE211" t="s" s="0">
        <v>82</v>
      </c>
      <c r="AF211" t="s" s="0">
        <v>82</v>
      </c>
      <c r="AG211" t="s" s="0">
        <v>5357</v>
      </c>
      <c r="AH211" t="s" s="0">
        <v>5358</v>
      </c>
      <c r="AI211" t="s" s="0">
        <v>82</v>
      </c>
      <c r="AJ211" t="s" s="0">
        <v>5359</v>
      </c>
      <c r="AK211" t="s" s="0">
        <v>82</v>
      </c>
      <c r="AL211" t="s" s="0">
        <v>1320</v>
      </c>
      <c r="AM211" t="s" s="0">
        <v>375</v>
      </c>
      <c r="AN211" t="s" s="0">
        <v>138</v>
      </c>
      <c r="AO211" t="s" s="0">
        <v>77</v>
      </c>
      <c r="AP211" t="s" s="0">
        <v>319</v>
      </c>
      <c r="AQ211" t="s" s="0">
        <v>4242</v>
      </c>
      <c r="AR211" t="s" s="0">
        <v>4243</v>
      </c>
      <c r="AS211" t="s" s="0">
        <v>4244</v>
      </c>
      <c r="AT211" t="s" s="0">
        <v>5360</v>
      </c>
      <c r="AU211" t="s" s="0">
        <v>5361</v>
      </c>
      <c r="AV211" t="s" s="0">
        <v>82</v>
      </c>
      <c r="AW211" t="s" s="0">
        <v>5362</v>
      </c>
      <c r="AX211" t="s" s="0">
        <v>5363</v>
      </c>
      <c r="AY211" t="s" s="0">
        <v>82</v>
      </c>
      <c r="AZ211" t="s" s="0">
        <v>110</v>
      </c>
      <c r="BA211" t="s" s="0">
        <v>82</v>
      </c>
      <c r="BB211" t="s" s="0">
        <v>82</v>
      </c>
      <c r="BC211" t="s" s="0">
        <v>82</v>
      </c>
      <c r="BD211" t="s" s="0">
        <v>82</v>
      </c>
      <c r="BE211" t="s" s="0">
        <v>82</v>
      </c>
      <c r="BF211" t="s" s="0">
        <v>82</v>
      </c>
      <c r="BG211" t="s" s="0">
        <v>82</v>
      </c>
      <c r="BH211" t="s" s="0">
        <v>82</v>
      </c>
      <c r="BI211" t="s" s="0">
        <v>82</v>
      </c>
      <c r="BJ211" t="s" s="0">
        <v>5364</v>
      </c>
      <c r="BK211" t="s" s="419">
        <f>HYPERLINK("http://dx.doi.org/10.1177/15266028241295563","http://dx.doi.org/10.1177/15266028241295563")</f>
        <v>5365</v>
      </c>
      <c r="BL211" t="s" s="0">
        <v>82</v>
      </c>
      <c r="BM211" t="s" s="0">
        <v>1457</v>
      </c>
      <c r="BN211" t="s" s="0">
        <v>136</v>
      </c>
      <c r="BO211" t="s" s="0">
        <v>5366</v>
      </c>
      <c r="BP211" t="s" s="0">
        <v>5367</v>
      </c>
      <c r="BQ211" t="s" s="0">
        <v>5368</v>
      </c>
      <c r="BR211" t="s" s="0">
        <v>5369</v>
      </c>
      <c r="BS211" t="s" s="0">
        <v>5370</v>
      </c>
      <c r="BT211" t="s" s="420">
        <f>HYPERLINK("https://www.webofscience.com/wos/woscc/full-record/WOS:001353382400001","View Record in Web of Science")</f>
        <v>120</v>
      </c>
      <c r="BU211" t="s" s="0">
        <v>256</v>
      </c>
      <c r="BV211" t="s" s="0">
        <v>82</v>
      </c>
      <c r="BW211" t="s" s="0">
        <v>82</v>
      </c>
      <c r="BX211" t="s" s="0">
        <v>122</v>
      </c>
    </row>
    <row r="212">
      <c r="A212" t="s" s="0">
        <v>447</v>
      </c>
      <c r="B212" t="s" s="0">
        <v>78</v>
      </c>
      <c r="C212" t="s" s="0">
        <v>77</v>
      </c>
      <c r="D212" t="s" s="0">
        <v>78</v>
      </c>
      <c r="E212" t="s" s="0">
        <v>5371</v>
      </c>
      <c r="F212" t="s" s="0">
        <v>5372</v>
      </c>
      <c r="G212" t="s" s="0">
        <v>5373</v>
      </c>
      <c r="H212" t="s" s="0">
        <v>82</v>
      </c>
      <c r="I212" t="s" s="0">
        <v>83</v>
      </c>
      <c r="J212" t="s" s="0">
        <v>5374</v>
      </c>
      <c r="K212" t="s" s="0">
        <v>5375</v>
      </c>
      <c r="L212" t="s" s="0">
        <v>5376</v>
      </c>
      <c r="M212" t="s" s="0">
        <v>5377</v>
      </c>
      <c r="N212" t="s" s="0">
        <v>5378</v>
      </c>
      <c r="O212" t="s" s="0">
        <v>5379</v>
      </c>
      <c r="P212" t="s" s="0">
        <v>5380</v>
      </c>
      <c r="Q212" t="s" s="0">
        <v>91</v>
      </c>
      <c r="R212" t="s" s="0">
        <v>82</v>
      </c>
      <c r="S212" t="s" s="0">
        <v>82</v>
      </c>
      <c r="T212" t="s" s="0">
        <v>82</v>
      </c>
      <c r="U212" t="s" s="0">
        <v>82</v>
      </c>
      <c r="V212" t="s" s="0">
        <v>5381</v>
      </c>
      <c r="W212" t="s" s="0">
        <v>5382</v>
      </c>
      <c r="X212" t="s" s="0">
        <v>82</v>
      </c>
      <c r="Y212" t="s" s="0">
        <v>82</v>
      </c>
      <c r="Z212" t="s" s="0">
        <v>94</v>
      </c>
      <c r="AA212" t="s" s="0">
        <v>95</v>
      </c>
      <c r="AB212" t="s" s="0">
        <v>82</v>
      </c>
      <c r="AC212" t="s" s="0">
        <v>82</v>
      </c>
      <c r="AD212" t="s" s="0">
        <v>82</v>
      </c>
      <c r="AE212" t="s" s="0">
        <v>82</v>
      </c>
      <c r="AF212" t="s" s="0">
        <v>82</v>
      </c>
      <c r="AG212" t="s" s="0">
        <v>82</v>
      </c>
      <c r="AH212" t="s" s="0">
        <v>5383</v>
      </c>
      <c r="AI212" t="s" s="0">
        <v>5384</v>
      </c>
      <c r="AJ212" t="s" s="0">
        <v>5385</v>
      </c>
      <c r="AK212" t="s" s="0">
        <v>82</v>
      </c>
      <c r="AL212" t="s" s="0">
        <v>4661</v>
      </c>
      <c r="AM212" t="s" s="0">
        <v>375</v>
      </c>
      <c r="AN212" t="s" s="0">
        <v>136</v>
      </c>
      <c r="AO212" t="s" s="0">
        <v>101</v>
      </c>
      <c r="AP212" t="s" s="0">
        <v>349</v>
      </c>
      <c r="AQ212" t="s" s="0">
        <v>5386</v>
      </c>
      <c r="AR212" t="s" s="0">
        <v>1417</v>
      </c>
      <c r="AS212" t="s" s="0">
        <v>5387</v>
      </c>
      <c r="AT212" t="s" s="0">
        <v>5388</v>
      </c>
      <c r="AU212" t="s" s="0">
        <v>5389</v>
      </c>
      <c r="AV212" t="s" s="0">
        <v>82</v>
      </c>
      <c r="AW212" t="s" s="0">
        <v>5390</v>
      </c>
      <c r="AX212" t="s" s="0">
        <v>5391</v>
      </c>
      <c r="AY212" t="s" s="0">
        <v>5392</v>
      </c>
      <c r="AZ212" t="s" s="0">
        <v>110</v>
      </c>
      <c r="BA212" t="s" s="0">
        <v>138</v>
      </c>
      <c r="BB212" t="s" s="0">
        <v>82</v>
      </c>
      <c r="BC212" t="s" s="0">
        <v>82</v>
      </c>
      <c r="BD212" t="s" s="0">
        <v>82</v>
      </c>
      <c r="BE212" t="s" s="0">
        <v>82</v>
      </c>
      <c r="BF212" t="s" s="0">
        <v>82</v>
      </c>
      <c r="BG212" t="s" s="0">
        <v>82</v>
      </c>
      <c r="BH212" t="s" s="0">
        <v>82</v>
      </c>
      <c r="BI212" t="s" s="0">
        <v>5393</v>
      </c>
      <c r="BJ212" t="s" s="0">
        <v>5394</v>
      </c>
      <c r="BK212" t="s" s="421">
        <f>HYPERLINK("http://dx.doi.org/10.34133/research.0426","http://dx.doi.org/10.34133/research.0426")</f>
        <v>5395</v>
      </c>
      <c r="BL212" t="s" s="0">
        <v>82</v>
      </c>
      <c r="BM212" t="s" s="0">
        <v>82</v>
      </c>
      <c r="BN212" t="s" s="0">
        <v>349</v>
      </c>
      <c r="BO212" t="s" s="0">
        <v>644</v>
      </c>
      <c r="BP212" t="s" s="0">
        <v>645</v>
      </c>
      <c r="BQ212" t="s" s="0">
        <v>5396</v>
      </c>
      <c r="BR212" t="s" s="0">
        <v>5397</v>
      </c>
      <c r="BS212" t="s" s="0">
        <v>5398</v>
      </c>
      <c r="BT212" t="s" s="422">
        <f>HYPERLINK("https://www.webofscience.com/wos/woscc/full-record/WOS:001292248700001","View Record in Web of Science")</f>
        <v>120</v>
      </c>
      <c r="BU212" t="s" s="0">
        <v>121</v>
      </c>
      <c r="BV212" t="s" s="0">
        <v>82</v>
      </c>
      <c r="BW212" t="s" s="0">
        <v>82</v>
      </c>
      <c r="BX212" t="s" s="0">
        <v>122</v>
      </c>
    </row>
    <row r="213">
      <c r="A213" t="s" s="0">
        <v>78</v>
      </c>
      <c r="B213" t="s" s="0">
        <v>78</v>
      </c>
      <c r="C213" t="s" s="0">
        <v>319</v>
      </c>
      <c r="D213" t="s" s="0">
        <v>78</v>
      </c>
      <c r="E213" t="s" s="0">
        <v>5399</v>
      </c>
      <c r="F213" t="s" s="0">
        <v>5400</v>
      </c>
      <c r="G213" t="s" s="0">
        <v>5401</v>
      </c>
      <c r="H213" t="s" s="0">
        <v>82</v>
      </c>
      <c r="I213" t="s" s="0">
        <v>83</v>
      </c>
      <c r="J213" t="s" s="0">
        <v>5402</v>
      </c>
      <c r="K213" t="s" s="0">
        <v>5403</v>
      </c>
      <c r="L213" t="s" s="0">
        <v>5404</v>
      </c>
      <c r="M213" t="s" s="0">
        <v>5405</v>
      </c>
      <c r="N213" t="s" s="0">
        <v>5406</v>
      </c>
      <c r="O213" t="s" s="0">
        <v>5407</v>
      </c>
      <c r="P213" t="s" s="0">
        <v>5408</v>
      </c>
      <c r="Q213" t="s" s="0">
        <v>91</v>
      </c>
      <c r="R213" t="s" s="0">
        <v>82</v>
      </c>
      <c r="S213" t="s" s="0">
        <v>82</v>
      </c>
      <c r="T213" t="s" s="0">
        <v>82</v>
      </c>
      <c r="U213" t="s" s="0">
        <v>82</v>
      </c>
      <c r="V213" t="s" s="0">
        <v>5409</v>
      </c>
      <c r="W213" t="s" s="0">
        <v>2293</v>
      </c>
      <c r="X213" t="s" s="0">
        <v>82</v>
      </c>
      <c r="Y213" t="s" s="0">
        <v>82</v>
      </c>
      <c r="Z213" t="s" s="0">
        <v>94</v>
      </c>
      <c r="AA213" t="s" s="0">
        <v>95</v>
      </c>
      <c r="AB213" t="s" s="0">
        <v>82</v>
      </c>
      <c r="AC213" t="s" s="0">
        <v>82</v>
      </c>
      <c r="AD213" t="s" s="0">
        <v>82</v>
      </c>
      <c r="AE213" t="s" s="0">
        <v>82</v>
      </c>
      <c r="AF213" t="s" s="0">
        <v>82</v>
      </c>
      <c r="AG213" t="s" s="0">
        <v>5410</v>
      </c>
      <c r="AH213" t="s" s="0">
        <v>5411</v>
      </c>
      <c r="AI213" t="s" s="0">
        <v>5412</v>
      </c>
      <c r="AJ213" t="s" s="0">
        <v>5413</v>
      </c>
      <c r="AK213" t="s" s="0">
        <v>82</v>
      </c>
      <c r="AL213" t="s" s="0">
        <v>1186</v>
      </c>
      <c r="AM213" t="s" s="0">
        <v>548</v>
      </c>
      <c r="AN213" t="s" s="0">
        <v>273</v>
      </c>
      <c r="AO213" t="s" s="0">
        <v>78</v>
      </c>
      <c r="AP213" t="s" s="0">
        <v>375</v>
      </c>
      <c r="AQ213" t="s" s="0">
        <v>2051</v>
      </c>
      <c r="AR213" t="s" s="0">
        <v>203</v>
      </c>
      <c r="AS213" t="s" s="0">
        <v>2052</v>
      </c>
      <c r="AT213" t="s" s="0">
        <v>2298</v>
      </c>
      <c r="AU213" t="s" s="0">
        <v>2299</v>
      </c>
      <c r="AV213" t="s" s="0">
        <v>82</v>
      </c>
      <c r="AW213" t="s" s="0">
        <v>2300</v>
      </c>
      <c r="AX213" t="s" s="0">
        <v>2301</v>
      </c>
      <c r="AY213" t="s" s="0">
        <v>209</v>
      </c>
      <c r="AZ213" t="s" s="0">
        <v>210</v>
      </c>
      <c r="BA213" t="s" s="0">
        <v>1502</v>
      </c>
      <c r="BB213" t="s" s="0">
        <v>221</v>
      </c>
      <c r="BC213" t="s" s="0">
        <v>82</v>
      </c>
      <c r="BD213" t="s" s="0">
        <v>82</v>
      </c>
      <c r="BE213" t="s" s="0">
        <v>82</v>
      </c>
      <c r="BF213" t="s" s="0">
        <v>82</v>
      </c>
      <c r="BG213" t="s" s="0">
        <v>5414</v>
      </c>
      <c r="BH213" t="s" s="0">
        <v>5415</v>
      </c>
      <c r="BI213" t="s" s="0">
        <v>82</v>
      </c>
      <c r="BJ213" t="s" s="0">
        <v>5416</v>
      </c>
      <c r="BK213" t="s" s="423">
        <f>HYPERLINK("http://dx.doi.org/10.1007/s00330-022-09315-z","http://dx.doi.org/10.1007/s00330-022-09315-z")</f>
        <v>5417</v>
      </c>
      <c r="BL213" t="s" s="0">
        <v>82</v>
      </c>
      <c r="BM213" t="s" s="0">
        <v>728</v>
      </c>
      <c r="BN213" t="s" s="0">
        <v>319</v>
      </c>
      <c r="BO213" t="s" s="0">
        <v>414</v>
      </c>
      <c r="BP213" t="s" s="0">
        <v>414</v>
      </c>
      <c r="BQ213" t="s" s="0">
        <v>5418</v>
      </c>
      <c r="BR213" t="s" s="0">
        <v>5419</v>
      </c>
      <c r="BS213" t="s" s="0">
        <v>5420</v>
      </c>
      <c r="BT213" t="s" s="424">
        <f>HYPERLINK("https://www.webofscience.com/wos/woscc/full-record/WOS:000911288500001","View Record in Web of Science")</f>
        <v>120</v>
      </c>
      <c r="BU213" t="s" s="0">
        <v>82</v>
      </c>
      <c r="BV213" t="s" s="0">
        <v>82</v>
      </c>
      <c r="BW213" t="s" s="0">
        <v>82</v>
      </c>
      <c r="BX213" t="s" s="0">
        <v>122</v>
      </c>
    </row>
    <row r="214">
      <c r="A214" t="s" s="0">
        <v>78</v>
      </c>
      <c r="B214" t="s" s="0">
        <v>78</v>
      </c>
      <c r="C214" t="s" s="0">
        <v>77</v>
      </c>
      <c r="D214" t="s" s="0">
        <v>78</v>
      </c>
      <c r="E214" t="s" s="0">
        <v>5421</v>
      </c>
      <c r="F214" t="s" s="0">
        <v>5422</v>
      </c>
      <c r="G214" t="s" s="0">
        <v>5423</v>
      </c>
      <c r="H214" t="s" s="0">
        <v>82</v>
      </c>
      <c r="I214" t="s" s="0">
        <v>83</v>
      </c>
      <c r="J214" t="s" s="0">
        <v>5424</v>
      </c>
      <c r="K214" t="s" s="0">
        <v>5425</v>
      </c>
      <c r="L214" t="s" s="0">
        <v>5426</v>
      </c>
      <c r="M214" t="s" s="0">
        <v>5427</v>
      </c>
      <c r="N214" t="s" s="0">
        <v>5428</v>
      </c>
      <c r="O214" t="s" s="0">
        <v>5429</v>
      </c>
      <c r="P214" t="s" s="0">
        <v>5430</v>
      </c>
      <c r="Q214" t="s" s="0">
        <v>91</v>
      </c>
      <c r="R214" t="s" s="0">
        <v>82</v>
      </c>
      <c r="S214" t="s" s="0">
        <v>82</v>
      </c>
      <c r="T214" t="s" s="0">
        <v>82</v>
      </c>
      <c r="U214" t="s" s="0">
        <v>82</v>
      </c>
      <c r="V214" t="s" s="0">
        <v>5431</v>
      </c>
      <c r="W214" t="s" s="0">
        <v>3637</v>
      </c>
      <c r="X214" t="s" s="0">
        <v>82</v>
      </c>
      <c r="Y214" t="s" s="0">
        <v>82</v>
      </c>
      <c r="Z214" t="s" s="0">
        <v>94</v>
      </c>
      <c r="AA214" t="s" s="0">
        <v>95</v>
      </c>
      <c r="AB214" t="s" s="0">
        <v>82</v>
      </c>
      <c r="AC214" t="s" s="0">
        <v>82</v>
      </c>
      <c r="AD214" t="s" s="0">
        <v>82</v>
      </c>
      <c r="AE214" t="s" s="0">
        <v>82</v>
      </c>
      <c r="AF214" t="s" s="0">
        <v>82</v>
      </c>
      <c r="AG214" t="s" s="0">
        <v>82</v>
      </c>
      <c r="AH214" t="s" s="0">
        <v>5432</v>
      </c>
      <c r="AI214" t="s" s="0">
        <v>5433</v>
      </c>
      <c r="AJ214" t="s" s="0">
        <v>5434</v>
      </c>
      <c r="AK214" t="s" s="0">
        <v>82</v>
      </c>
      <c r="AL214" t="s" s="0">
        <v>100</v>
      </c>
      <c r="AM214" t="s" s="0">
        <v>640</v>
      </c>
      <c r="AN214" t="s" s="0">
        <v>239</v>
      </c>
      <c r="AO214" t="s" s="0">
        <v>78</v>
      </c>
      <c r="AP214" t="s" s="0">
        <v>447</v>
      </c>
      <c r="AQ214" t="s" s="0">
        <v>633</v>
      </c>
      <c r="AR214" t="s" s="0">
        <v>634</v>
      </c>
      <c r="AS214" t="s" s="0">
        <v>635</v>
      </c>
      <c r="AT214" t="s" s="0">
        <v>3642</v>
      </c>
      <c r="AU214" t="s" s="0">
        <v>82</v>
      </c>
      <c r="AV214" t="s" s="0">
        <v>82</v>
      </c>
      <c r="AW214" t="s" s="0">
        <v>3643</v>
      </c>
      <c r="AX214" t="s" s="0">
        <v>3644</v>
      </c>
      <c r="AY214" t="s" s="0">
        <v>5435</v>
      </c>
      <c r="AZ214" t="s" s="0">
        <v>408</v>
      </c>
      <c r="BA214" t="s" s="0">
        <v>149</v>
      </c>
      <c r="BB214" t="s" s="0">
        <v>77</v>
      </c>
      <c r="BC214" t="s" s="0">
        <v>82</v>
      </c>
      <c r="BD214" t="s" s="0">
        <v>82</v>
      </c>
      <c r="BE214" t="s" s="0">
        <v>82</v>
      </c>
      <c r="BF214" t="s" s="0">
        <v>82</v>
      </c>
      <c r="BG214" t="s" s="0">
        <v>82</v>
      </c>
      <c r="BH214" t="s" s="0">
        <v>82</v>
      </c>
      <c r="BI214" t="s" s="0">
        <v>5436</v>
      </c>
      <c r="BJ214" t="s" s="0">
        <v>5437</v>
      </c>
      <c r="BK214" t="s" s="425">
        <f>HYPERLINK("http://dx.doi.org/10.1038/s41598-022-16514-7","http://dx.doi.org/10.1038/s41598-022-16514-7")</f>
        <v>5438</v>
      </c>
      <c r="BL214" t="s" s="0">
        <v>82</v>
      </c>
      <c r="BM214" t="s" s="0">
        <v>82</v>
      </c>
      <c r="BN214" t="s" s="0">
        <v>137</v>
      </c>
      <c r="BO214" t="s" s="0">
        <v>644</v>
      </c>
      <c r="BP214" t="s" s="0">
        <v>645</v>
      </c>
      <c r="BQ214" t="s" s="0">
        <v>5439</v>
      </c>
      <c r="BR214" t="s" s="0">
        <v>5440</v>
      </c>
      <c r="BS214" t="s" s="0">
        <v>5441</v>
      </c>
      <c r="BT214" t="s" s="426">
        <f>HYPERLINK("https://www.webofscience.com/wos/woscc/full-record/WOS:000831887000056","View Record in Web of Science")</f>
        <v>120</v>
      </c>
      <c r="BU214" t="s" s="0">
        <v>121</v>
      </c>
      <c r="BV214" t="s" s="0">
        <v>82</v>
      </c>
      <c r="BW214" t="s" s="0">
        <v>82</v>
      </c>
      <c r="BX214" t="s" s="0">
        <v>122</v>
      </c>
    </row>
    <row r="215">
      <c r="A215" t="s" s="0">
        <v>102</v>
      </c>
      <c r="B215" t="s" s="0">
        <v>78</v>
      </c>
      <c r="C215" t="s" s="0">
        <v>100</v>
      </c>
      <c r="D215" t="s" s="0">
        <v>77</v>
      </c>
      <c r="E215" t="s" s="0">
        <v>5442</v>
      </c>
      <c r="F215" t="s" s="0">
        <v>5443</v>
      </c>
      <c r="G215" t="s" s="0">
        <v>5444</v>
      </c>
      <c r="H215" t="s" s="0">
        <v>82</v>
      </c>
      <c r="I215" t="s" s="0">
        <v>83</v>
      </c>
      <c r="J215" t="s" s="0">
        <v>5445</v>
      </c>
      <c r="K215" t="s" s="0">
        <v>5446</v>
      </c>
      <c r="L215" t="s" s="0">
        <v>82</v>
      </c>
      <c r="M215" t="s" s="0">
        <v>82</v>
      </c>
      <c r="N215" t="s" s="0">
        <v>82</v>
      </c>
      <c r="O215" t="s" s="0">
        <v>5447</v>
      </c>
      <c r="P215" t="s" s="0">
        <v>5448</v>
      </c>
      <c r="Q215" t="s" s="0">
        <v>91</v>
      </c>
      <c r="R215" t="s" s="0">
        <v>82</v>
      </c>
      <c r="S215" t="s" s="0">
        <v>82</v>
      </c>
      <c r="T215" t="s" s="0">
        <v>82</v>
      </c>
      <c r="U215" t="s" s="0">
        <v>82</v>
      </c>
      <c r="V215" t="s" s="0">
        <v>5449</v>
      </c>
      <c r="W215" t="s" s="0">
        <v>5450</v>
      </c>
      <c r="X215" t="s" s="0">
        <v>82</v>
      </c>
      <c r="Y215" t="s" s="0">
        <v>82</v>
      </c>
      <c r="Z215" t="s" s="0">
        <v>94</v>
      </c>
      <c r="AA215" t="s" s="0">
        <v>95</v>
      </c>
      <c r="AB215" t="s" s="0">
        <v>82</v>
      </c>
      <c r="AC215" t="s" s="0">
        <v>82</v>
      </c>
      <c r="AD215" t="s" s="0">
        <v>82</v>
      </c>
      <c r="AE215" t="s" s="0">
        <v>82</v>
      </c>
      <c r="AF215" t="s" s="0">
        <v>82</v>
      </c>
      <c r="AG215" t="s" s="0">
        <v>5451</v>
      </c>
      <c r="AH215" t="s" s="0">
        <v>5452</v>
      </c>
      <c r="AI215" t="s" s="0">
        <v>5453</v>
      </c>
      <c r="AJ215" t="s" s="0">
        <v>5454</v>
      </c>
      <c r="AK215" t="s" s="0">
        <v>82</v>
      </c>
      <c r="AL215" t="s" s="0">
        <v>640</v>
      </c>
      <c r="AM215" t="s" s="0">
        <v>409</v>
      </c>
      <c r="AN215" t="s" s="0">
        <v>5455</v>
      </c>
      <c r="AO215" t="s" s="0">
        <v>77</v>
      </c>
      <c r="AP215" t="s" s="0">
        <v>173</v>
      </c>
      <c r="AQ215" t="s" s="0">
        <v>174</v>
      </c>
      <c r="AR215" t="s" s="0">
        <v>175</v>
      </c>
      <c r="AS215" t="s" s="0">
        <v>176</v>
      </c>
      <c r="AT215" t="s" s="0">
        <v>5456</v>
      </c>
      <c r="AU215" t="s" s="0">
        <v>5457</v>
      </c>
      <c r="AV215" t="s" s="0">
        <v>82</v>
      </c>
      <c r="AW215" t="s" s="0">
        <v>5458</v>
      </c>
      <c r="AX215" t="s" s="0">
        <v>5459</v>
      </c>
      <c r="AY215" t="s" s="0">
        <v>283</v>
      </c>
      <c r="AZ215" t="s" s="0">
        <v>284</v>
      </c>
      <c r="BA215" t="s" s="0">
        <v>1186</v>
      </c>
      <c r="BB215" t="s" s="0">
        <v>221</v>
      </c>
      <c r="BC215" t="s" s="0">
        <v>82</v>
      </c>
      <c r="BD215" t="s" s="0">
        <v>82</v>
      </c>
      <c r="BE215" t="s" s="0">
        <v>82</v>
      </c>
      <c r="BF215" t="s" s="0">
        <v>82</v>
      </c>
      <c r="BG215" t="s" s="0">
        <v>5460</v>
      </c>
      <c r="BH215" t="s" s="0">
        <v>5461</v>
      </c>
      <c r="BI215" t="s" s="0">
        <v>82</v>
      </c>
      <c r="BJ215" t="s" s="0">
        <v>5462</v>
      </c>
      <c r="BK215" t="s" s="427">
        <f>HYPERLINK("http://dx.doi.org/10.1111/jce.13889","http://dx.doi.org/10.1111/jce.13889")</f>
        <v>5463</v>
      </c>
      <c r="BL215" t="s" s="0">
        <v>82</v>
      </c>
      <c r="BM215" t="s" s="0">
        <v>82</v>
      </c>
      <c r="BN215" t="s" s="0">
        <v>138</v>
      </c>
      <c r="BO215" t="s" s="0">
        <v>503</v>
      </c>
      <c r="BP215" t="s" s="0">
        <v>504</v>
      </c>
      <c r="BQ215" t="s" s="0">
        <v>5464</v>
      </c>
      <c r="BR215" t="s" s="0">
        <v>5465</v>
      </c>
      <c r="BS215" t="s" s="0">
        <v>5466</v>
      </c>
      <c r="BT215" t="s" s="428">
        <f>HYPERLINK("https://www.webofscience.com/wos/woscc/full-record/WOS:000471046800006","View Record in Web of Science")</f>
        <v>120</v>
      </c>
      <c r="BU215" t="s" s="0">
        <v>82</v>
      </c>
      <c r="BV215" t="s" s="0">
        <v>82</v>
      </c>
      <c r="BW215" t="s" s="0">
        <v>82</v>
      </c>
      <c r="BX215" t="s" s="0">
        <v>122</v>
      </c>
    </row>
    <row r="216">
      <c r="A216" t="s" s="0">
        <v>447</v>
      </c>
      <c r="B216" t="s" s="0">
        <v>78</v>
      </c>
      <c r="C216" t="s" s="0">
        <v>447</v>
      </c>
      <c r="D216" t="s" s="0">
        <v>78</v>
      </c>
      <c r="E216" t="s" s="0">
        <v>5467</v>
      </c>
      <c r="F216" t="s" s="0">
        <v>5468</v>
      </c>
      <c r="G216" t="s" s="0">
        <v>5469</v>
      </c>
      <c r="H216" t="s" s="0">
        <v>82</v>
      </c>
      <c r="I216" t="s" s="0">
        <v>83</v>
      </c>
      <c r="J216" t="s" s="0">
        <v>5470</v>
      </c>
      <c r="K216" t="s" s="0">
        <v>5471</v>
      </c>
      <c r="L216" t="s" s="0">
        <v>5472</v>
      </c>
      <c r="M216" t="s" s="0">
        <v>5473</v>
      </c>
      <c r="N216" t="s" s="0">
        <v>5474</v>
      </c>
      <c r="O216" t="s" s="0">
        <v>5475</v>
      </c>
      <c r="P216" t="s" s="0">
        <v>5476</v>
      </c>
      <c r="Q216" t="s" s="0">
        <v>91</v>
      </c>
      <c r="R216" t="s" s="0">
        <v>82</v>
      </c>
      <c r="S216" t="s" s="0">
        <v>82</v>
      </c>
      <c r="T216" t="s" s="0">
        <v>82</v>
      </c>
      <c r="U216" t="s" s="0">
        <v>82</v>
      </c>
      <c r="V216" t="s" s="0">
        <v>5477</v>
      </c>
      <c r="W216" t="s" s="0">
        <v>771</v>
      </c>
      <c r="X216" t="s" s="0">
        <v>82</v>
      </c>
      <c r="Y216" t="s" s="0">
        <v>82</v>
      </c>
      <c r="Z216" t="s" s="0">
        <v>94</v>
      </c>
      <c r="AA216" t="s" s="0">
        <v>95</v>
      </c>
      <c r="AB216" t="s" s="0">
        <v>82</v>
      </c>
      <c r="AC216" t="s" s="0">
        <v>82</v>
      </c>
      <c r="AD216" t="s" s="0">
        <v>82</v>
      </c>
      <c r="AE216" t="s" s="0">
        <v>82</v>
      </c>
      <c r="AF216" t="s" s="0">
        <v>82</v>
      </c>
      <c r="AG216" t="s" s="0">
        <v>82</v>
      </c>
      <c r="AH216" t="s" s="0">
        <v>82</v>
      </c>
      <c r="AI216" t="s" s="0">
        <v>5478</v>
      </c>
      <c r="AJ216" t="s" s="0">
        <v>5479</v>
      </c>
      <c r="AK216" t="s" s="0">
        <v>82</v>
      </c>
      <c r="AL216" t="s" s="0">
        <v>374</v>
      </c>
      <c r="AM216" t="s" s="0">
        <v>138</v>
      </c>
      <c r="AN216" t="s" s="0">
        <v>245</v>
      </c>
      <c r="AO216" t="s" s="0">
        <v>77</v>
      </c>
      <c r="AP216" t="s" s="0">
        <v>138</v>
      </c>
      <c r="AQ216" t="s" s="0">
        <v>633</v>
      </c>
      <c r="AR216" t="s" s="0">
        <v>634</v>
      </c>
      <c r="AS216" t="s" s="0">
        <v>635</v>
      </c>
      <c r="AT216" t="s" s="0">
        <v>778</v>
      </c>
      <c r="AU216" t="s" s="0">
        <v>82</v>
      </c>
      <c r="AV216" t="s" s="0">
        <v>82</v>
      </c>
      <c r="AW216" t="s" s="0">
        <v>779</v>
      </c>
      <c r="AX216" t="s" s="0">
        <v>780</v>
      </c>
      <c r="AY216" t="s" s="0">
        <v>5480</v>
      </c>
      <c r="AZ216" t="s" s="0">
        <v>110</v>
      </c>
      <c r="BA216" t="s" s="0">
        <v>138</v>
      </c>
      <c r="BB216" t="s" s="0">
        <v>77</v>
      </c>
      <c r="BC216" t="s" s="0">
        <v>82</v>
      </c>
      <c r="BD216" t="s" s="0">
        <v>82</v>
      </c>
      <c r="BE216" t="s" s="0">
        <v>82</v>
      </c>
      <c r="BF216" t="s" s="0">
        <v>82</v>
      </c>
      <c r="BG216" t="s" s="0">
        <v>82</v>
      </c>
      <c r="BH216" t="s" s="0">
        <v>82</v>
      </c>
      <c r="BI216" t="s" s="0">
        <v>5481</v>
      </c>
      <c r="BJ216" t="s" s="0">
        <v>5482</v>
      </c>
      <c r="BK216" t="s" s="429">
        <f>HYPERLINK("http://dx.doi.org/10.1038/s41746-024-01227-0","http://dx.doi.org/10.1038/s41746-024-01227-0")</f>
        <v>5483</v>
      </c>
      <c r="BL216" t="s" s="0">
        <v>82</v>
      </c>
      <c r="BM216" t="s" s="0">
        <v>82</v>
      </c>
      <c r="BN216" t="s" s="0">
        <v>138</v>
      </c>
      <c r="BO216" t="s" s="0">
        <v>785</v>
      </c>
      <c r="BP216" t="s" s="0">
        <v>785</v>
      </c>
      <c r="BQ216" t="s" s="0">
        <v>5484</v>
      </c>
      <c r="BR216" t="s" s="0">
        <v>5485</v>
      </c>
      <c r="BS216" t="s" s="0">
        <v>5486</v>
      </c>
      <c r="BT216" t="s" s="430">
        <f>HYPERLINK("https://www.webofscience.com/wos/woscc/full-record/WOS:001307864500001","View Record in Web of Science")</f>
        <v>120</v>
      </c>
      <c r="BU216" t="s" s="0">
        <v>121</v>
      </c>
      <c r="BV216" t="s" s="0">
        <v>82</v>
      </c>
      <c r="BW216" t="s" s="0">
        <v>82</v>
      </c>
      <c r="BX216" t="s" s="0">
        <v>122</v>
      </c>
    </row>
    <row r="217">
      <c r="A217" t="s" s="0">
        <v>78</v>
      </c>
      <c r="B217" t="s" s="0">
        <v>78</v>
      </c>
      <c r="C217" t="s" s="0">
        <v>78</v>
      </c>
      <c r="D217" t="s" s="0">
        <v>78</v>
      </c>
      <c r="E217" t="s" s="0">
        <v>5487</v>
      </c>
      <c r="F217" t="s" s="0">
        <v>5488</v>
      </c>
      <c r="G217" t="s" s="0">
        <v>5489</v>
      </c>
      <c r="H217" t="s" s="0">
        <v>82</v>
      </c>
      <c r="I217" t="s" s="0">
        <v>83</v>
      </c>
      <c r="J217" t="s" s="0">
        <v>5490</v>
      </c>
      <c r="K217" t="s" s="0">
        <v>5491</v>
      </c>
      <c r="L217" t="s" s="0">
        <v>5492</v>
      </c>
      <c r="M217" t="s" s="0">
        <v>5493</v>
      </c>
      <c r="N217" t="s" s="0">
        <v>5494</v>
      </c>
      <c r="O217" t="s" s="0">
        <v>5495</v>
      </c>
      <c r="P217" t="s" s="0">
        <v>5496</v>
      </c>
      <c r="Q217" t="s" s="0">
        <v>91</v>
      </c>
      <c r="R217" t="s" s="0">
        <v>82</v>
      </c>
      <c r="S217" t="s" s="0">
        <v>82</v>
      </c>
      <c r="T217" t="s" s="0">
        <v>82</v>
      </c>
      <c r="U217" t="s" s="0">
        <v>82</v>
      </c>
      <c r="V217" t="s" s="0">
        <v>5497</v>
      </c>
      <c r="W217" t="s" s="0">
        <v>5498</v>
      </c>
      <c r="X217" t="s" s="0">
        <v>82</v>
      </c>
      <c r="Y217" t="s" s="0">
        <v>82</v>
      </c>
      <c r="Z217" t="s" s="0">
        <v>94</v>
      </c>
      <c r="AA217" t="s" s="0">
        <v>95</v>
      </c>
      <c r="AB217" t="s" s="0">
        <v>82</v>
      </c>
      <c r="AC217" t="s" s="0">
        <v>82</v>
      </c>
      <c r="AD217" t="s" s="0">
        <v>82</v>
      </c>
      <c r="AE217" t="s" s="0">
        <v>82</v>
      </c>
      <c r="AF217" t="s" s="0">
        <v>82</v>
      </c>
      <c r="AG217" t="s" s="0">
        <v>5499</v>
      </c>
      <c r="AH217" t="s" s="0">
        <v>5500</v>
      </c>
      <c r="AI217" t="s" s="0">
        <v>82</v>
      </c>
      <c r="AJ217" t="s" s="0">
        <v>82</v>
      </c>
      <c r="AK217" t="s" s="0">
        <v>82</v>
      </c>
      <c r="AL217" t="s" s="0">
        <v>1526</v>
      </c>
      <c r="AM217" t="s" s="0">
        <v>78</v>
      </c>
      <c r="AN217" t="s" s="0">
        <v>78</v>
      </c>
      <c r="AO217" t="s" s="0">
        <v>447</v>
      </c>
      <c r="AP217" t="s" s="0">
        <v>447</v>
      </c>
      <c r="AQ217" t="s" s="0">
        <v>2602</v>
      </c>
      <c r="AR217" t="s" s="0">
        <v>2603</v>
      </c>
      <c r="AS217" t="s" s="0">
        <v>3412</v>
      </c>
      <c r="AT217" t="s" s="0">
        <v>5501</v>
      </c>
      <c r="AU217" t="s" s="0">
        <v>5502</v>
      </c>
      <c r="AV217" t="s" s="0">
        <v>82</v>
      </c>
      <c r="AW217" t="s" s="0">
        <v>5503</v>
      </c>
      <c r="AX217" t="s" s="0">
        <v>5504</v>
      </c>
      <c r="AY217" t="s" s="0">
        <v>3594</v>
      </c>
      <c r="AZ217" t="s" s="0">
        <v>181</v>
      </c>
      <c r="BA217" t="s" s="0">
        <v>1186</v>
      </c>
      <c r="BB217" t="s" s="0">
        <v>101</v>
      </c>
      <c r="BC217" t="s" s="0">
        <v>82</v>
      </c>
      <c r="BD217" t="s" s="0">
        <v>82</v>
      </c>
      <c r="BE217" t="s" s="0">
        <v>82</v>
      </c>
      <c r="BF217" t="s" s="0">
        <v>82</v>
      </c>
      <c r="BG217" t="s" s="0">
        <v>82</v>
      </c>
      <c r="BH217" t="s" s="0">
        <v>82</v>
      </c>
      <c r="BI217" t="s" s="0">
        <v>5505</v>
      </c>
      <c r="BJ217" t="s" s="0">
        <v>5506</v>
      </c>
      <c r="BK217" t="s" s="431">
        <f>HYPERLINK("http://dx.doi.org/10.1007/s00784-026-06790-2","http://dx.doi.org/10.1007/s00784-026-06790-2")</f>
        <v>5507</v>
      </c>
      <c r="BL217" t="s" s="0">
        <v>82</v>
      </c>
      <c r="BM217" t="s" s="0">
        <v>82</v>
      </c>
      <c r="BN217" t="s" s="0">
        <v>323</v>
      </c>
      <c r="BO217" t="s" s="0">
        <v>3202</v>
      </c>
      <c r="BP217" t="s" s="0">
        <v>3202</v>
      </c>
      <c r="BQ217" t="s" s="0">
        <v>5508</v>
      </c>
      <c r="BR217" t="s" s="0">
        <v>5509</v>
      </c>
      <c r="BS217" t="s" s="0">
        <v>5510</v>
      </c>
      <c r="BT217" t="s" s="432">
        <f>HYPERLINK("https://www.webofscience.com/wos/woscc/full-record/WOS:001697961400001","View Record in Web of Science")</f>
        <v>120</v>
      </c>
      <c r="BU217" t="s" s="0">
        <v>256</v>
      </c>
      <c r="BV217" t="s" s="0">
        <v>82</v>
      </c>
      <c r="BW217" t="s" s="0">
        <v>82</v>
      </c>
      <c r="BX217" t="s" s="0">
        <v>122</v>
      </c>
    </row>
    <row r="218">
      <c r="A218" t="s" s="0">
        <v>78</v>
      </c>
      <c r="B218" t="s" s="0">
        <v>78</v>
      </c>
      <c r="C218" t="s" s="0">
        <v>78</v>
      </c>
      <c r="D218" t="s" s="0">
        <v>78</v>
      </c>
      <c r="E218" t="s" s="0">
        <v>5511</v>
      </c>
      <c r="F218" t="s" s="0">
        <v>5512</v>
      </c>
      <c r="G218" t="s" s="0">
        <v>5513</v>
      </c>
      <c r="H218" t="s" s="0">
        <v>82</v>
      </c>
      <c r="I218" t="s" s="0">
        <v>83</v>
      </c>
      <c r="J218" t="s" s="0">
        <v>5514</v>
      </c>
      <c r="K218" t="s" s="0">
        <v>5515</v>
      </c>
      <c r="L218" t="s" s="0">
        <v>82</v>
      </c>
      <c r="M218" t="s" s="0">
        <v>82</v>
      </c>
      <c r="N218" t="s" s="0">
        <v>82</v>
      </c>
      <c r="O218" t="s" s="0">
        <v>5516</v>
      </c>
      <c r="P218" t="s" s="0">
        <v>5517</v>
      </c>
      <c r="Q218" t="s" s="0">
        <v>91</v>
      </c>
      <c r="R218" t="s" s="0">
        <v>82</v>
      </c>
      <c r="S218" t="s" s="0">
        <v>82</v>
      </c>
      <c r="T218" t="s" s="0">
        <v>82</v>
      </c>
      <c r="U218" t="s" s="0">
        <v>82</v>
      </c>
      <c r="V218" t="s" s="0">
        <v>5518</v>
      </c>
      <c r="W218" t="s" s="0">
        <v>5519</v>
      </c>
      <c r="X218" t="s" s="0">
        <v>82</v>
      </c>
      <c r="Y218" t="s" s="0">
        <v>82</v>
      </c>
      <c r="Z218" t="s" s="0">
        <v>94</v>
      </c>
      <c r="AA218" t="s" s="0">
        <v>95</v>
      </c>
      <c r="AB218" t="s" s="0">
        <v>82</v>
      </c>
      <c r="AC218" t="s" s="0">
        <v>82</v>
      </c>
      <c r="AD218" t="s" s="0">
        <v>82</v>
      </c>
      <c r="AE218" t="s" s="0">
        <v>82</v>
      </c>
      <c r="AF218" t="s" s="0">
        <v>82</v>
      </c>
      <c r="AG218" t="s" s="0">
        <v>5520</v>
      </c>
      <c r="AH218" t="s" s="0">
        <v>5521</v>
      </c>
      <c r="AI218" t="s" s="0">
        <v>5522</v>
      </c>
      <c r="AJ218" t="s" s="0">
        <v>5523</v>
      </c>
      <c r="AK218" t="s" s="0">
        <v>82</v>
      </c>
      <c r="AL218" t="s" s="0">
        <v>1186</v>
      </c>
      <c r="AM218" t="s" s="0">
        <v>102</v>
      </c>
      <c r="AN218" t="s" s="0">
        <v>102</v>
      </c>
      <c r="AO218" t="s" s="0">
        <v>77</v>
      </c>
      <c r="AP218" t="s" s="0">
        <v>101</v>
      </c>
      <c r="AQ218" t="s" s="0">
        <v>174</v>
      </c>
      <c r="AR218" t="s" s="0">
        <v>175</v>
      </c>
      <c r="AS218" t="s" s="0">
        <v>176</v>
      </c>
      <c r="AT218" t="s" s="0">
        <v>5524</v>
      </c>
      <c r="AU218" t="s" s="0">
        <v>5525</v>
      </c>
      <c r="AV218" t="s" s="0">
        <v>82</v>
      </c>
      <c r="AW218" t="s" s="0">
        <v>5526</v>
      </c>
      <c r="AX218" t="s" s="0">
        <v>5527</v>
      </c>
      <c r="AY218" t="s" s="0">
        <v>184</v>
      </c>
      <c r="AZ218" t="s" s="0">
        <v>181</v>
      </c>
      <c r="BA218" t="s" s="0">
        <v>1658</v>
      </c>
      <c r="BB218" t="s" s="0">
        <v>101</v>
      </c>
      <c r="BC218" t="s" s="0">
        <v>82</v>
      </c>
      <c r="BD218" t="s" s="0">
        <v>82</v>
      </c>
      <c r="BE218" t="s" s="0">
        <v>82</v>
      </c>
      <c r="BF218" t="s" s="0">
        <v>82</v>
      </c>
      <c r="BG218" t="s" s="0">
        <v>5528</v>
      </c>
      <c r="BH218" t="s" s="0">
        <v>5529</v>
      </c>
      <c r="BI218" t="s" s="0">
        <v>82</v>
      </c>
      <c r="BJ218" t="s" s="0">
        <v>5530</v>
      </c>
      <c r="BK218" t="s" s="433">
        <f>HYPERLINK("http://dx.doi.org/10.1111/edt.70022","http://dx.doi.org/10.1111/edt.70022")</f>
        <v>5531</v>
      </c>
      <c r="BL218" t="s" s="0">
        <v>82</v>
      </c>
      <c r="BM218" t="s" s="0">
        <v>497</v>
      </c>
      <c r="BN218" t="s" s="0">
        <v>138</v>
      </c>
      <c r="BO218" t="s" s="0">
        <v>3202</v>
      </c>
      <c r="BP218" t="s" s="0">
        <v>3202</v>
      </c>
      <c r="BQ218" t="s" s="0">
        <v>5532</v>
      </c>
      <c r="BR218" t="s" s="0">
        <v>5533</v>
      </c>
      <c r="BS218" t="s" s="0">
        <v>5534</v>
      </c>
      <c r="BT218" t="s" s="434">
        <f>HYPERLINK("https://www.webofscience.com/wos/woscc/full-record/WOS:001583643000001","View Record in Web of Science")</f>
        <v>120</v>
      </c>
      <c r="BU218" t="s" s="0">
        <v>82</v>
      </c>
      <c r="BV218" t="s" s="0">
        <v>82</v>
      </c>
      <c r="BW218" t="s" s="0">
        <v>82</v>
      </c>
      <c r="BX218" t="s" s="0">
        <v>122</v>
      </c>
    </row>
    <row r="219">
      <c r="A219" t="s" s="0">
        <v>78</v>
      </c>
      <c r="B219" t="s" s="0">
        <v>78</v>
      </c>
      <c r="C219" t="s" s="0">
        <v>78</v>
      </c>
      <c r="D219" t="s" s="0">
        <v>78</v>
      </c>
      <c r="E219" t="s" s="0">
        <v>5535</v>
      </c>
      <c r="F219" t="s" s="0">
        <v>5536</v>
      </c>
      <c r="G219" t="s" s="0">
        <v>5537</v>
      </c>
      <c r="H219" t="s" s="0">
        <v>82</v>
      </c>
      <c r="I219" t="s" s="0">
        <v>297</v>
      </c>
      <c r="J219" t="s" s="0">
        <v>5538</v>
      </c>
      <c r="K219" t="s" s="0">
        <v>3817</v>
      </c>
      <c r="L219" t="s" s="0">
        <v>5539</v>
      </c>
      <c r="M219" t="s" s="0">
        <v>5540</v>
      </c>
      <c r="N219" t="s" s="0">
        <v>5541</v>
      </c>
      <c r="O219" t="s" s="0">
        <v>5542</v>
      </c>
      <c r="P219" t="s" s="0">
        <v>5543</v>
      </c>
      <c r="Q219" t="s" s="0">
        <v>91</v>
      </c>
      <c r="R219" t="s" s="0">
        <v>82</v>
      </c>
      <c r="S219" t="s" s="0">
        <v>82</v>
      </c>
      <c r="T219" t="s" s="0">
        <v>82</v>
      </c>
      <c r="U219" t="s" s="0">
        <v>82</v>
      </c>
      <c r="V219" t="s" s="0">
        <v>5544</v>
      </c>
      <c r="W219" t="s" s="0">
        <v>5545</v>
      </c>
      <c r="X219" t="s" s="0">
        <v>82</v>
      </c>
      <c r="Y219" t="s" s="0">
        <v>82</v>
      </c>
      <c r="Z219" t="s" s="0">
        <v>94</v>
      </c>
      <c r="AA219" t="s" s="0">
        <v>95</v>
      </c>
      <c r="AB219" t="s" s="0">
        <v>82</v>
      </c>
      <c r="AC219" t="s" s="0">
        <v>82</v>
      </c>
      <c r="AD219" t="s" s="0">
        <v>82</v>
      </c>
      <c r="AE219" t="s" s="0">
        <v>82</v>
      </c>
      <c r="AF219" t="s" s="0">
        <v>82</v>
      </c>
      <c r="AG219" t="s" s="0">
        <v>5546</v>
      </c>
      <c r="AH219" t="s" s="0">
        <v>5547</v>
      </c>
      <c r="AI219" t="s" s="0">
        <v>5548</v>
      </c>
      <c r="AJ219" t="s" s="0">
        <v>5549</v>
      </c>
      <c r="AK219" t="s" s="0">
        <v>82</v>
      </c>
      <c r="AL219" t="s" s="0">
        <v>148</v>
      </c>
      <c r="AM219" t="s" s="0">
        <v>101</v>
      </c>
      <c r="AN219" t="s" s="0">
        <v>101</v>
      </c>
      <c r="AO219" t="s" s="0">
        <v>78</v>
      </c>
      <c r="AP219" t="s" s="0">
        <v>447</v>
      </c>
      <c r="AQ219" t="s" s="0">
        <v>5550</v>
      </c>
      <c r="AR219" t="s" s="0">
        <v>1134</v>
      </c>
      <c r="AS219" t="s" s="0">
        <v>5551</v>
      </c>
      <c r="AT219" t="s" s="0">
        <v>5552</v>
      </c>
      <c r="AU219" t="s" s="0">
        <v>5553</v>
      </c>
      <c r="AV219" t="s" s="0">
        <v>82</v>
      </c>
      <c r="AW219" t="s" s="0">
        <v>5554</v>
      </c>
      <c r="AX219" t="s" s="0">
        <v>5555</v>
      </c>
      <c r="AY219" t="s" s="0">
        <v>668</v>
      </c>
      <c r="AZ219" t="s" s="0">
        <v>110</v>
      </c>
      <c r="BA219" t="s" s="0">
        <v>311</v>
      </c>
      <c r="BB219" t="s" s="0">
        <v>447</v>
      </c>
      <c r="BC219" t="s" s="0">
        <v>82</v>
      </c>
      <c r="BD219" t="s" s="0">
        <v>82</v>
      </c>
      <c r="BE219" t="s" s="0">
        <v>82</v>
      </c>
      <c r="BF219" t="s" s="0">
        <v>82</v>
      </c>
      <c r="BG219" t="s" s="0">
        <v>1140</v>
      </c>
      <c r="BH219" t="s" s="0">
        <v>5556</v>
      </c>
      <c r="BI219" t="s" s="0">
        <v>82</v>
      </c>
      <c r="BJ219" t="s" s="0">
        <v>5557</v>
      </c>
      <c r="BK219" t="s" s="435">
        <f>HYPERLINK("http://dx.doi.org/10.6065/apem.2346050.025","http://dx.doi.org/10.6065/apem.2346050.025")</f>
        <v>5558</v>
      </c>
      <c r="BL219" t="s" s="0">
        <v>82</v>
      </c>
      <c r="BM219" t="s" s="0">
        <v>82</v>
      </c>
      <c r="BN219" t="s" s="0">
        <v>138</v>
      </c>
      <c r="BO219" t="s" s="0">
        <v>5559</v>
      </c>
      <c r="BP219" t="s" s="0">
        <v>5559</v>
      </c>
      <c r="BQ219" t="s" s="0">
        <v>5560</v>
      </c>
      <c r="BR219" t="s" s="0">
        <v>5561</v>
      </c>
      <c r="BS219" t="s" s="0">
        <v>5562</v>
      </c>
      <c r="BT219" t="s" s="436">
        <f>HYPERLINK("https://www.webofscience.com/wos/woscc/full-record/WOS:001218248900005","View Record in Web of Science")</f>
        <v>120</v>
      </c>
      <c r="BU219" t="s" s="0">
        <v>121</v>
      </c>
      <c r="BV219" t="s" s="0">
        <v>82</v>
      </c>
      <c r="BW219" t="s" s="0">
        <v>82</v>
      </c>
      <c r="BX219" t="s" s="0">
        <v>122</v>
      </c>
    </row>
    <row r="220">
      <c r="A220" t="s" s="0">
        <v>78</v>
      </c>
      <c r="B220" t="s" s="0">
        <v>78</v>
      </c>
      <c r="C220" t="s" s="0">
        <v>447</v>
      </c>
      <c r="D220" t="s" s="0">
        <v>78</v>
      </c>
      <c r="E220" t="s" s="0">
        <v>5563</v>
      </c>
      <c r="F220" t="s" s="0">
        <v>5564</v>
      </c>
      <c r="G220" t="s" s="0">
        <v>5565</v>
      </c>
      <c r="H220" t="s" s="0">
        <v>82</v>
      </c>
      <c r="I220" t="s" s="0">
        <v>83</v>
      </c>
      <c r="J220" t="s" s="0">
        <v>5566</v>
      </c>
      <c r="K220" t="s" s="0">
        <v>5567</v>
      </c>
      <c r="L220" t="s" s="0">
        <v>5568</v>
      </c>
      <c r="M220" t="s" s="0">
        <v>5569</v>
      </c>
      <c r="N220" t="s" s="0">
        <v>5570</v>
      </c>
      <c r="O220" t="s" s="0">
        <v>5571</v>
      </c>
      <c r="P220" t="s" s="0">
        <v>5572</v>
      </c>
      <c r="Q220" t="s" s="0">
        <v>91</v>
      </c>
      <c r="R220" t="s" s="0">
        <v>82</v>
      </c>
      <c r="S220" t="s" s="0">
        <v>82</v>
      </c>
      <c r="T220" t="s" s="0">
        <v>82</v>
      </c>
      <c r="U220" t="s" s="0">
        <v>82</v>
      </c>
      <c r="V220" t="s" s="0">
        <v>5573</v>
      </c>
      <c r="W220" t="s" s="0">
        <v>5574</v>
      </c>
      <c r="X220" t="s" s="0">
        <v>82</v>
      </c>
      <c r="Y220" t="s" s="0">
        <v>82</v>
      </c>
      <c r="Z220" t="s" s="0">
        <v>94</v>
      </c>
      <c r="AA220" t="s" s="0">
        <v>95</v>
      </c>
      <c r="AB220" t="s" s="0">
        <v>82</v>
      </c>
      <c r="AC220" t="s" s="0">
        <v>82</v>
      </c>
      <c r="AD220" t="s" s="0">
        <v>82</v>
      </c>
      <c r="AE220" t="s" s="0">
        <v>82</v>
      </c>
      <c r="AF220" t="s" s="0">
        <v>82</v>
      </c>
      <c r="AG220" t="s" s="0">
        <v>5575</v>
      </c>
      <c r="AH220" t="s" s="0">
        <v>5576</v>
      </c>
      <c r="AI220" t="s" s="0">
        <v>5577</v>
      </c>
      <c r="AJ220" t="s" s="0">
        <v>5578</v>
      </c>
      <c r="AK220" t="s" s="0">
        <v>82</v>
      </c>
      <c r="AL220" t="s" s="0">
        <v>273</v>
      </c>
      <c r="AM220" t="s" s="0">
        <v>138</v>
      </c>
      <c r="AN220" t="s" s="0">
        <v>138</v>
      </c>
      <c r="AO220" t="s" s="0">
        <v>78</v>
      </c>
      <c r="AP220" t="s" s="0">
        <v>245</v>
      </c>
      <c r="AQ220" t="s" s="0">
        <v>575</v>
      </c>
      <c r="AR220" t="s" s="0">
        <v>104</v>
      </c>
      <c r="AS220" t="s" s="0">
        <v>576</v>
      </c>
      <c r="AT220" t="s" s="0">
        <v>5579</v>
      </c>
      <c r="AU220" t="s" s="0">
        <v>82</v>
      </c>
      <c r="AV220" t="s" s="0">
        <v>82</v>
      </c>
      <c r="AW220" t="s" s="0">
        <v>5574</v>
      </c>
      <c r="AX220" t="s" s="0">
        <v>5580</v>
      </c>
      <c r="AY220" t="s" s="0">
        <v>1196</v>
      </c>
      <c r="AZ220" t="s" s="0">
        <v>110</v>
      </c>
      <c r="BA220" t="s" s="0">
        <v>323</v>
      </c>
      <c r="BB220" t="s" s="0">
        <v>138</v>
      </c>
      <c r="BC220" t="s" s="0">
        <v>82</v>
      </c>
      <c r="BD220" t="s" s="0">
        <v>82</v>
      </c>
      <c r="BE220" t="s" s="0">
        <v>82</v>
      </c>
      <c r="BF220" t="s" s="0">
        <v>82</v>
      </c>
      <c r="BG220" t="s" s="0">
        <v>82</v>
      </c>
      <c r="BH220" t="s" s="0">
        <v>82</v>
      </c>
      <c r="BI220" t="s" s="0">
        <v>5581</v>
      </c>
      <c r="BJ220" t="s" s="0">
        <v>5582</v>
      </c>
      <c r="BK220" t="s" s="437">
        <f>HYPERLINK("http://dx.doi.org/10.1136/bmjopen-2024-084183","http://dx.doi.org/10.1136/bmjopen-2024-084183")</f>
        <v>5583</v>
      </c>
      <c r="BL220" t="s" s="0">
        <v>82</v>
      </c>
      <c r="BM220" t="s" s="0">
        <v>82</v>
      </c>
      <c r="BN220" t="s" s="0">
        <v>136</v>
      </c>
      <c r="BO220" t="s" s="0">
        <v>354</v>
      </c>
      <c r="BP220" t="s" s="0">
        <v>355</v>
      </c>
      <c r="BQ220" t="s" s="0">
        <v>5584</v>
      </c>
      <c r="BR220" t="s" s="0">
        <v>5585</v>
      </c>
      <c r="BS220" t="s" s="0">
        <v>5586</v>
      </c>
      <c r="BT220" t="s" s="438">
        <f>HYPERLINK("https://www.webofscience.com/wos/woscc/full-record/WOS:001265212100025","View Record in Web of Science")</f>
        <v>120</v>
      </c>
      <c r="BU220" t="s" s="0">
        <v>121</v>
      </c>
      <c r="BV220" t="s" s="0">
        <v>82</v>
      </c>
      <c r="BW220" t="s" s="0">
        <v>82</v>
      </c>
      <c r="BX220" t="s" s="0">
        <v>122</v>
      </c>
    </row>
    <row r="221">
      <c r="A221" t="s" s="0">
        <v>78</v>
      </c>
      <c r="B221" t="s" s="0">
        <v>78</v>
      </c>
      <c r="C221" t="s" s="0">
        <v>78</v>
      </c>
      <c r="D221" t="s" s="0">
        <v>78</v>
      </c>
      <c r="E221" t="s" s="0">
        <v>5587</v>
      </c>
      <c r="F221" t="s" s="0">
        <v>5588</v>
      </c>
      <c r="G221" t="s" s="0">
        <v>5589</v>
      </c>
      <c r="H221" t="s" s="0">
        <v>82</v>
      </c>
      <c r="I221" t="s" s="0">
        <v>83</v>
      </c>
      <c r="J221" t="s" s="0">
        <v>5590</v>
      </c>
      <c r="K221" t="s" s="0">
        <v>5591</v>
      </c>
      <c r="L221" t="s" s="0">
        <v>5592</v>
      </c>
      <c r="M221" t="s" s="0">
        <v>5593</v>
      </c>
      <c r="N221" t="s" s="0">
        <v>5594</v>
      </c>
      <c r="O221" t="s" s="0">
        <v>5595</v>
      </c>
      <c r="P221" t="s" s="0">
        <v>5596</v>
      </c>
      <c r="Q221" t="s" s="0">
        <v>91</v>
      </c>
      <c r="R221" t="s" s="0">
        <v>82</v>
      </c>
      <c r="S221" t="s" s="0">
        <v>82</v>
      </c>
      <c r="T221" t="s" s="0">
        <v>82</v>
      </c>
      <c r="U221" t="s" s="0">
        <v>82</v>
      </c>
      <c r="V221" t="s" s="0">
        <v>5597</v>
      </c>
      <c r="W221" t="s" s="0">
        <v>4704</v>
      </c>
      <c r="X221" t="s" s="0">
        <v>82</v>
      </c>
      <c r="Y221" t="s" s="0">
        <v>82</v>
      </c>
      <c r="Z221" t="s" s="0">
        <v>94</v>
      </c>
      <c r="AA221" t="s" s="0">
        <v>95</v>
      </c>
      <c r="AB221" t="s" s="0">
        <v>82</v>
      </c>
      <c r="AC221" t="s" s="0">
        <v>82</v>
      </c>
      <c r="AD221" t="s" s="0">
        <v>82</v>
      </c>
      <c r="AE221" t="s" s="0">
        <v>82</v>
      </c>
      <c r="AF221" t="s" s="0">
        <v>82</v>
      </c>
      <c r="AG221" t="s" s="0">
        <v>5598</v>
      </c>
      <c r="AH221" t="s" s="0">
        <v>5599</v>
      </c>
      <c r="AI221" t="s" s="0">
        <v>82</v>
      </c>
      <c r="AJ221" t="s" s="0">
        <v>82</v>
      </c>
      <c r="AK221" t="s" s="0">
        <v>82</v>
      </c>
      <c r="AL221" t="s" s="0">
        <v>1526</v>
      </c>
      <c r="AM221" t="s" s="0">
        <v>221</v>
      </c>
      <c r="AN221" t="s" s="0">
        <v>375</v>
      </c>
      <c r="AO221" t="s" s="0">
        <v>221</v>
      </c>
      <c r="AP221" t="s" s="0">
        <v>137</v>
      </c>
      <c r="AQ221" t="s" s="0">
        <v>400</v>
      </c>
      <c r="AR221" t="s" s="0">
        <v>401</v>
      </c>
      <c r="AS221" t="s" s="0">
        <v>402</v>
      </c>
      <c r="AT221" t="s" s="0">
        <v>4707</v>
      </c>
      <c r="AU221" t="s" s="0">
        <v>4708</v>
      </c>
      <c r="AV221" t="s" s="0">
        <v>82</v>
      </c>
      <c r="AW221" t="s" s="0">
        <v>4709</v>
      </c>
      <c r="AX221" t="s" s="0">
        <v>4710</v>
      </c>
      <c r="AY221" t="s" s="0">
        <v>1371</v>
      </c>
      <c r="AZ221" t="s" s="0">
        <v>181</v>
      </c>
      <c r="BA221" t="s" s="0">
        <v>5600</v>
      </c>
      <c r="BB221" t="s" s="0">
        <v>82</v>
      </c>
      <c r="BC221" t="s" s="0">
        <v>82</v>
      </c>
      <c r="BD221" t="s" s="0">
        <v>82</v>
      </c>
      <c r="BE221" t="s" s="0">
        <v>82</v>
      </c>
      <c r="BF221" t="s" s="0">
        <v>82</v>
      </c>
      <c r="BG221" t="s" s="0">
        <v>82</v>
      </c>
      <c r="BH221" t="s" s="0">
        <v>82</v>
      </c>
      <c r="BI221" t="s" s="0">
        <v>5601</v>
      </c>
      <c r="BJ221" t="s" s="0">
        <v>5602</v>
      </c>
      <c r="BK221" t="s" s="439">
        <f>HYPERLINK("http://dx.doi.org/10.1016/j.ijmedinf.2025.106169","http://dx.doi.org/10.1016/j.ijmedinf.2025.106169")</f>
        <v>5603</v>
      </c>
      <c r="BL221" t="s" s="0">
        <v>82</v>
      </c>
      <c r="BM221" t="s" s="0">
        <v>5604</v>
      </c>
      <c r="BN221" t="s" s="0">
        <v>138</v>
      </c>
      <c r="BO221" t="s" s="0">
        <v>4716</v>
      </c>
      <c r="BP221" t="s" s="0">
        <v>4717</v>
      </c>
      <c r="BQ221" t="s" s="0">
        <v>5605</v>
      </c>
      <c r="BR221" t="s" s="0">
        <v>5606</v>
      </c>
      <c r="BS221" t="s" s="0">
        <v>5607</v>
      </c>
      <c r="BT221" t="s" s="440">
        <f>HYPERLINK("https://www.webofscience.com/wos/woscc/full-record/WOS:001615029700004","View Record in Web of Science")</f>
        <v>120</v>
      </c>
      <c r="BU221" t="s" s="0">
        <v>82</v>
      </c>
      <c r="BV221" t="s" s="0">
        <v>82</v>
      </c>
      <c r="BW221" t="s" s="0">
        <v>82</v>
      </c>
      <c r="BX221" t="s" s="0">
        <v>122</v>
      </c>
    </row>
    <row r="222">
      <c r="A222" t="s" s="0">
        <v>78</v>
      </c>
      <c r="B222" t="s" s="0">
        <v>78</v>
      </c>
      <c r="C222" t="s" s="0">
        <v>78</v>
      </c>
      <c r="D222" t="s" s="0">
        <v>78</v>
      </c>
      <c r="E222" t="s" s="0">
        <v>5608</v>
      </c>
      <c r="F222" t="s" s="0">
        <v>5609</v>
      </c>
      <c r="G222" t="s" s="0">
        <v>5610</v>
      </c>
      <c r="H222" t="s" s="0">
        <v>82</v>
      </c>
      <c r="I222" t="s" s="0">
        <v>83</v>
      </c>
      <c r="J222" t="s" s="0">
        <v>5611</v>
      </c>
      <c r="K222" t="s" s="0">
        <v>5612</v>
      </c>
      <c r="L222" t="s" s="0">
        <v>5613</v>
      </c>
      <c r="M222" t="s" s="0">
        <v>5614</v>
      </c>
      <c r="N222" t="s" s="0">
        <v>5615</v>
      </c>
      <c r="O222" t="s" s="0">
        <v>5616</v>
      </c>
      <c r="P222" t="s" s="0">
        <v>5617</v>
      </c>
      <c r="Q222" t="s" s="0">
        <v>91</v>
      </c>
      <c r="R222" t="s" s="0">
        <v>82</v>
      </c>
      <c r="S222" t="s" s="0">
        <v>82</v>
      </c>
      <c r="T222" t="s" s="0">
        <v>82</v>
      </c>
      <c r="U222" t="s" s="0">
        <v>82</v>
      </c>
      <c r="V222" t="s" s="0">
        <v>5618</v>
      </c>
      <c r="W222" t="s" s="0">
        <v>5619</v>
      </c>
      <c r="X222" t="s" s="0">
        <v>82</v>
      </c>
      <c r="Y222" t="s" s="0">
        <v>82</v>
      </c>
      <c r="Z222" t="s" s="0">
        <v>94</v>
      </c>
      <c r="AA222" t="s" s="0">
        <v>95</v>
      </c>
      <c r="AB222" t="s" s="0">
        <v>82</v>
      </c>
      <c r="AC222" t="s" s="0">
        <v>82</v>
      </c>
      <c r="AD222" t="s" s="0">
        <v>82</v>
      </c>
      <c r="AE222" t="s" s="0">
        <v>82</v>
      </c>
      <c r="AF222" t="s" s="0">
        <v>82</v>
      </c>
      <c r="AG222" t="s" s="0">
        <v>5620</v>
      </c>
      <c r="AH222" t="s" s="0">
        <v>5621</v>
      </c>
      <c r="AI222" t="s" s="0">
        <v>82</v>
      </c>
      <c r="AJ222" t="s" s="0">
        <v>82</v>
      </c>
      <c r="AK222" t="s" s="0">
        <v>82</v>
      </c>
      <c r="AL222" t="s" s="0">
        <v>5622</v>
      </c>
      <c r="AM222" t="s" s="0">
        <v>78</v>
      </c>
      <c r="AN222" t="s" s="0">
        <v>78</v>
      </c>
      <c r="AO222" t="s" s="0">
        <v>447</v>
      </c>
      <c r="AP222" t="s" s="0">
        <v>447</v>
      </c>
      <c r="AQ222" t="s" s="0">
        <v>2484</v>
      </c>
      <c r="AR222" t="s" s="0">
        <v>2485</v>
      </c>
      <c r="AS222" t="s" s="0">
        <v>2486</v>
      </c>
      <c r="AT222" t="s" s="0">
        <v>5623</v>
      </c>
      <c r="AU222" t="s" s="0">
        <v>82</v>
      </c>
      <c r="AV222" t="s" s="0">
        <v>82</v>
      </c>
      <c r="AW222" t="s" s="0">
        <v>5624</v>
      </c>
      <c r="AX222" t="s" s="0">
        <v>5625</v>
      </c>
      <c r="AY222" t="s" s="0">
        <v>5626</v>
      </c>
      <c r="AZ222" t="s" s="0">
        <v>181</v>
      </c>
      <c r="BA222" t="s" s="0">
        <v>115</v>
      </c>
      <c r="BB222" t="s" s="0">
        <v>82</v>
      </c>
      <c r="BC222" t="s" s="0">
        <v>82</v>
      </c>
      <c r="BD222" t="s" s="0">
        <v>82</v>
      </c>
      <c r="BE222" t="s" s="0">
        <v>82</v>
      </c>
      <c r="BF222" t="s" s="0">
        <v>82</v>
      </c>
      <c r="BG222" t="s" s="0">
        <v>82</v>
      </c>
      <c r="BH222" t="s" s="0">
        <v>82</v>
      </c>
      <c r="BI222" t="s" s="0">
        <v>5627</v>
      </c>
      <c r="BJ222" t="s" s="0">
        <v>5628</v>
      </c>
      <c r="BK222" t="s" s="441">
        <f>HYPERLINK("http://dx.doi.org/10.3389/fcvm.2026.1870642","http://dx.doi.org/10.3389/fcvm.2026.1870642")</f>
        <v>5629</v>
      </c>
      <c r="BL222" t="s" s="0">
        <v>82</v>
      </c>
      <c r="BM222" t="s" s="0">
        <v>184</v>
      </c>
      <c r="BN222" t="s" s="0">
        <v>111</v>
      </c>
      <c r="BO222" t="s" s="0">
        <v>503</v>
      </c>
      <c r="BP222" t="s" s="0">
        <v>504</v>
      </c>
      <c r="BQ222" t="s" s="0">
        <v>5630</v>
      </c>
      <c r="BR222" t="s" s="0">
        <v>5631</v>
      </c>
      <c r="BS222" t="s" s="0">
        <v>5632</v>
      </c>
      <c r="BT222" t="s" s="442">
        <f>HYPERLINK("https://www.webofscience.com/wos/woscc/full-record/WOS:001808601200001","View Record in Web of Science")</f>
        <v>120</v>
      </c>
      <c r="BU222" t="s" s="0">
        <v>121</v>
      </c>
      <c r="BV222" t="s" s="0">
        <v>82</v>
      </c>
      <c r="BW222" t="s" s="0">
        <v>82</v>
      </c>
      <c r="BX222" t="s" s="0">
        <v>122</v>
      </c>
    </row>
    <row r="223">
      <c r="A223" t="s" s="0">
        <v>78</v>
      </c>
      <c r="B223" t="s" s="0">
        <v>78</v>
      </c>
      <c r="C223" t="s" s="0">
        <v>447</v>
      </c>
      <c r="D223" t="s" s="0">
        <v>78</v>
      </c>
      <c r="E223" t="s" s="0">
        <v>5633</v>
      </c>
      <c r="F223" t="s" s="0">
        <v>5634</v>
      </c>
      <c r="G223" t="s" s="0">
        <v>5635</v>
      </c>
      <c r="H223" t="s" s="0">
        <v>82</v>
      </c>
      <c r="I223" t="s" s="0">
        <v>83</v>
      </c>
      <c r="J223" t="s" s="0">
        <v>5636</v>
      </c>
      <c r="K223" t="s" s="0">
        <v>5637</v>
      </c>
      <c r="L223" t="s" s="0">
        <v>82</v>
      </c>
      <c r="M223" t="s" s="0">
        <v>82</v>
      </c>
      <c r="N223" t="s" s="0">
        <v>82</v>
      </c>
      <c r="O223" t="s" s="0">
        <v>5638</v>
      </c>
      <c r="P223" t="s" s="0">
        <v>5639</v>
      </c>
      <c r="Q223" t="s" s="0">
        <v>91</v>
      </c>
      <c r="R223" t="s" s="0">
        <v>82</v>
      </c>
      <c r="S223" t="s" s="0">
        <v>82</v>
      </c>
      <c r="T223" t="s" s="0">
        <v>82</v>
      </c>
      <c r="U223" t="s" s="0">
        <v>82</v>
      </c>
      <c r="V223" t="s" s="0">
        <v>5640</v>
      </c>
      <c r="W223" t="s" s="0">
        <v>3900</v>
      </c>
      <c r="X223" t="s" s="0">
        <v>82</v>
      </c>
      <c r="Y223" t="s" s="0">
        <v>82</v>
      </c>
      <c r="Z223" t="s" s="0">
        <v>94</v>
      </c>
      <c r="AA223" t="s" s="0">
        <v>95</v>
      </c>
      <c r="AB223" t="s" s="0">
        <v>82</v>
      </c>
      <c r="AC223" t="s" s="0">
        <v>82</v>
      </c>
      <c r="AD223" t="s" s="0">
        <v>82</v>
      </c>
      <c r="AE223" t="s" s="0">
        <v>82</v>
      </c>
      <c r="AF223" t="s" s="0">
        <v>82</v>
      </c>
      <c r="AG223" t="s" s="0">
        <v>5641</v>
      </c>
      <c r="AH223" t="s" s="0">
        <v>82</v>
      </c>
      <c r="AI223" t="s" s="0">
        <v>5642</v>
      </c>
      <c r="AJ223" t="s" s="0">
        <v>5643</v>
      </c>
      <c r="AK223" t="s" s="0">
        <v>82</v>
      </c>
      <c r="AL223" t="s" s="0">
        <v>890</v>
      </c>
      <c r="AM223" t="s" s="0">
        <v>138</v>
      </c>
      <c r="AN223" t="s" s="0">
        <v>138</v>
      </c>
      <c r="AO223" t="s" s="0">
        <v>221</v>
      </c>
      <c r="AP223" t="s" s="0">
        <v>111</v>
      </c>
      <c r="AQ223" t="s" s="0">
        <v>312</v>
      </c>
      <c r="AR223" t="s" s="0">
        <v>313</v>
      </c>
      <c r="AS223" t="s" s="0">
        <v>314</v>
      </c>
      <c r="AT223" t="s" s="0">
        <v>82</v>
      </c>
      <c r="AU223" t="s" s="0">
        <v>3904</v>
      </c>
      <c r="AV223" t="s" s="0">
        <v>82</v>
      </c>
      <c r="AW223" t="s" s="0">
        <v>3900</v>
      </c>
      <c r="AX223" t="s" s="0">
        <v>3905</v>
      </c>
      <c r="AY223" t="s" s="0">
        <v>243</v>
      </c>
      <c r="AZ223" t="s" s="0">
        <v>110</v>
      </c>
      <c r="BA223" t="s" s="0">
        <v>137</v>
      </c>
      <c r="BB223" t="s" s="0">
        <v>245</v>
      </c>
      <c r="BC223" t="s" s="0">
        <v>82</v>
      </c>
      <c r="BD223" t="s" s="0">
        <v>82</v>
      </c>
      <c r="BE223" t="s" s="0">
        <v>82</v>
      </c>
      <c r="BF223" t="s" s="0">
        <v>82</v>
      </c>
      <c r="BG223" t="s" s="0">
        <v>82</v>
      </c>
      <c r="BH223" t="s" s="0">
        <v>82</v>
      </c>
      <c r="BI223" t="s" s="0">
        <v>5644</v>
      </c>
      <c r="BJ223" t="s" s="0">
        <v>5645</v>
      </c>
      <c r="BK223" t="s" s="443">
        <f>HYPERLINK("http://dx.doi.org/10.3390/bioengineering11101001","http://dx.doi.org/10.3390/bioengineering11101001")</f>
        <v>5646</v>
      </c>
      <c r="BL223" t="s" s="0">
        <v>82</v>
      </c>
      <c r="BM223" t="s" s="0">
        <v>82</v>
      </c>
      <c r="BN223" t="s" s="0">
        <v>149</v>
      </c>
      <c r="BO223" t="s" s="0">
        <v>3909</v>
      </c>
      <c r="BP223" t="s" s="0">
        <v>3910</v>
      </c>
      <c r="BQ223" t="s" s="0">
        <v>5647</v>
      </c>
      <c r="BR223" t="s" s="0">
        <v>5648</v>
      </c>
      <c r="BS223" t="s" s="0">
        <v>5649</v>
      </c>
      <c r="BT223" t="s" s="444">
        <f>HYPERLINK("https://www.webofscience.com/wos/woscc/full-record/WOS:001344440900001","View Record in Web of Science")</f>
        <v>120</v>
      </c>
      <c r="BU223" t="s" s="0">
        <v>121</v>
      </c>
      <c r="BV223" t="s" s="0">
        <v>82</v>
      </c>
      <c r="BW223" t="s" s="0">
        <v>82</v>
      </c>
      <c r="BX223" t="s" s="0">
        <v>122</v>
      </c>
    </row>
    <row r="224">
      <c r="A224" t="s" s="0">
        <v>78</v>
      </c>
      <c r="B224" t="s" s="0">
        <v>78</v>
      </c>
      <c r="C224" t="s" s="0">
        <v>447</v>
      </c>
      <c r="D224" t="s" s="0">
        <v>78</v>
      </c>
      <c r="E224" t="s" s="0">
        <v>5650</v>
      </c>
      <c r="F224" t="s" s="0">
        <v>5651</v>
      </c>
      <c r="G224" t="s" s="0">
        <v>5652</v>
      </c>
      <c r="H224" t="s" s="0">
        <v>82</v>
      </c>
      <c r="I224" t="s" s="0">
        <v>83</v>
      </c>
      <c r="J224" t="s" s="0">
        <v>5653</v>
      </c>
      <c r="K224" t="s" s="0">
        <v>5654</v>
      </c>
      <c r="L224" t="s" s="0">
        <v>82</v>
      </c>
      <c r="M224" t="s" s="0">
        <v>82</v>
      </c>
      <c r="N224" t="s" s="0">
        <v>82</v>
      </c>
      <c r="O224" t="s" s="0">
        <v>5655</v>
      </c>
      <c r="P224" t="s" s="0">
        <v>5656</v>
      </c>
      <c r="Q224" t="s" s="0">
        <v>91</v>
      </c>
      <c r="R224" t="s" s="0">
        <v>82</v>
      </c>
      <c r="S224" t="s" s="0">
        <v>82</v>
      </c>
      <c r="T224" t="s" s="0">
        <v>82</v>
      </c>
      <c r="U224" t="s" s="0">
        <v>82</v>
      </c>
      <c r="V224" t="s" s="0">
        <v>5657</v>
      </c>
      <c r="W224" t="s" s="0">
        <v>5658</v>
      </c>
      <c r="X224" t="s" s="0">
        <v>82</v>
      </c>
      <c r="Y224" t="s" s="0">
        <v>82</v>
      </c>
      <c r="Z224" t="s" s="0">
        <v>94</v>
      </c>
      <c r="AA224" t="s" s="0">
        <v>95</v>
      </c>
      <c r="AB224" t="s" s="0">
        <v>82</v>
      </c>
      <c r="AC224" t="s" s="0">
        <v>82</v>
      </c>
      <c r="AD224" t="s" s="0">
        <v>82</v>
      </c>
      <c r="AE224" t="s" s="0">
        <v>82</v>
      </c>
      <c r="AF224" t="s" s="0">
        <v>82</v>
      </c>
      <c r="AG224" t="s" s="0">
        <v>5659</v>
      </c>
      <c r="AH224" t="s" s="0">
        <v>5660</v>
      </c>
      <c r="AI224" t="s" s="0">
        <v>5661</v>
      </c>
      <c r="AJ224" t="s" s="0">
        <v>5662</v>
      </c>
      <c r="AK224" t="s" s="0">
        <v>82</v>
      </c>
      <c r="AL224" t="s" s="0">
        <v>111</v>
      </c>
      <c r="AM224" t="s" s="0">
        <v>173</v>
      </c>
      <c r="AN224" t="s" s="0">
        <v>831</v>
      </c>
      <c r="AO224" t="s" s="0">
        <v>78</v>
      </c>
      <c r="AP224" t="s" s="0">
        <v>138</v>
      </c>
      <c r="AQ224" t="s" s="0">
        <v>2082</v>
      </c>
      <c r="AR224" t="s" s="0">
        <v>2083</v>
      </c>
      <c r="AS224" t="s" s="0">
        <v>2084</v>
      </c>
      <c r="AT224" t="s" s="0">
        <v>5663</v>
      </c>
      <c r="AU224" t="s" s="0">
        <v>5664</v>
      </c>
      <c r="AV224" t="s" s="0">
        <v>82</v>
      </c>
      <c r="AW224" t="s" s="0">
        <v>5665</v>
      </c>
      <c r="AX224" t="s" s="0">
        <v>5666</v>
      </c>
      <c r="AY224" t="s" s="0">
        <v>209</v>
      </c>
      <c r="AZ224" t="s" s="0">
        <v>210</v>
      </c>
      <c r="BA224" t="s" s="0">
        <v>4621</v>
      </c>
      <c r="BB224" t="s" s="0">
        <v>221</v>
      </c>
      <c r="BC224" t="s" s="0">
        <v>82</v>
      </c>
      <c r="BD224" t="s" s="0">
        <v>82</v>
      </c>
      <c r="BE224" t="s" s="0">
        <v>82</v>
      </c>
      <c r="BF224" t="s" s="0">
        <v>82</v>
      </c>
      <c r="BG224" t="s" s="0">
        <v>5667</v>
      </c>
      <c r="BH224" t="s" s="0">
        <v>5668</v>
      </c>
      <c r="BI224" t="s" s="0">
        <v>82</v>
      </c>
      <c r="BJ224" t="s" s="0">
        <v>5669</v>
      </c>
      <c r="BK224" t="s" s="445">
        <f>HYPERLINK("http://dx.doi.org/10.1016/j.acvd.2023.04.003","http://dx.doi.org/10.1016/j.acvd.2023.04.003")</f>
        <v>5670</v>
      </c>
      <c r="BL224" t="s" s="0">
        <v>82</v>
      </c>
      <c r="BM224" t="s" s="0">
        <v>209</v>
      </c>
      <c r="BN224" t="s" s="0">
        <v>319</v>
      </c>
      <c r="BO224" t="s" s="0">
        <v>503</v>
      </c>
      <c r="BP224" t="s" s="0">
        <v>504</v>
      </c>
      <c r="BQ224" t="s" s="0">
        <v>5671</v>
      </c>
      <c r="BR224" t="s" s="0">
        <v>5672</v>
      </c>
      <c r="BS224" t="s" s="0">
        <v>5673</v>
      </c>
      <c r="BT224" t="s" s="446">
        <f>HYPERLINK("https://www.webofscience.com/wos/woscc/full-record/WOS:001009537000001","View Record in Web of Science")</f>
        <v>120</v>
      </c>
      <c r="BU224" t="s" s="0">
        <v>159</v>
      </c>
      <c r="BV224" t="s" s="0">
        <v>82</v>
      </c>
      <c r="BW224" t="s" s="0">
        <v>82</v>
      </c>
      <c r="BX224" t="s" s="0">
        <v>122</v>
      </c>
    </row>
    <row r="225">
      <c r="A225" t="s" s="0">
        <v>77</v>
      </c>
      <c r="B225" t="s" s="0">
        <v>78</v>
      </c>
      <c r="C225" t="s" s="0">
        <v>375</v>
      </c>
      <c r="D225" t="s" s="0">
        <v>78</v>
      </c>
      <c r="E225" t="s" s="0">
        <v>5674</v>
      </c>
      <c r="F225" t="s" s="0">
        <v>5675</v>
      </c>
      <c r="G225" t="s" s="0">
        <v>5676</v>
      </c>
      <c r="H225" t="s" s="0">
        <v>82</v>
      </c>
      <c r="I225" t="s" s="0">
        <v>83</v>
      </c>
      <c r="J225" t="s" s="0">
        <v>5677</v>
      </c>
      <c r="K225" t="s" s="0">
        <v>5678</v>
      </c>
      <c r="L225" t="s" s="0">
        <v>82</v>
      </c>
      <c r="M225" t="s" s="0">
        <v>82</v>
      </c>
      <c r="N225" t="s" s="0">
        <v>82</v>
      </c>
      <c r="O225" t="s" s="0">
        <v>5679</v>
      </c>
      <c r="P225" t="s" s="0">
        <v>5680</v>
      </c>
      <c r="Q225" t="s" s="0">
        <v>91</v>
      </c>
      <c r="R225" t="s" s="0">
        <v>82</v>
      </c>
      <c r="S225" t="s" s="0">
        <v>82</v>
      </c>
      <c r="T225" t="s" s="0">
        <v>82</v>
      </c>
      <c r="U225" t="s" s="0">
        <v>82</v>
      </c>
      <c r="V225" t="s" s="0">
        <v>5681</v>
      </c>
      <c r="W225" t="s" s="0">
        <v>5682</v>
      </c>
      <c r="X225" t="s" s="0">
        <v>82</v>
      </c>
      <c r="Y225" t="s" s="0">
        <v>82</v>
      </c>
      <c r="Z225" t="s" s="0">
        <v>94</v>
      </c>
      <c r="AA225" t="s" s="0">
        <v>95</v>
      </c>
      <c r="AB225" t="s" s="0">
        <v>82</v>
      </c>
      <c r="AC225" t="s" s="0">
        <v>82</v>
      </c>
      <c r="AD225" t="s" s="0">
        <v>82</v>
      </c>
      <c r="AE225" t="s" s="0">
        <v>82</v>
      </c>
      <c r="AF225" t="s" s="0">
        <v>82</v>
      </c>
      <c r="AG225" t="s" s="0">
        <v>5683</v>
      </c>
      <c r="AH225" t="s" s="0">
        <v>5684</v>
      </c>
      <c r="AI225" t="s" s="0">
        <v>5685</v>
      </c>
      <c r="AJ225" t="s" s="0">
        <v>5686</v>
      </c>
      <c r="AK225" t="s" s="0">
        <v>82</v>
      </c>
      <c r="AL225" t="s" s="0">
        <v>828</v>
      </c>
      <c r="AM225" t="s" s="0">
        <v>632</v>
      </c>
      <c r="AN225" t="s" s="0">
        <v>745</v>
      </c>
      <c r="AO225" t="s" s="0">
        <v>78</v>
      </c>
      <c r="AP225" t="s" s="0">
        <v>136</v>
      </c>
      <c r="AQ225" t="s" s="0">
        <v>832</v>
      </c>
      <c r="AR225" t="s" s="0">
        <v>833</v>
      </c>
      <c r="AS225" t="s" s="0">
        <v>834</v>
      </c>
      <c r="AT225" t="s" s="0">
        <v>5687</v>
      </c>
      <c r="AU225" t="s" s="0">
        <v>5688</v>
      </c>
      <c r="AV225" t="s" s="0">
        <v>82</v>
      </c>
      <c r="AW225" t="s" s="0">
        <v>5689</v>
      </c>
      <c r="AX225" t="s" s="0">
        <v>5690</v>
      </c>
      <c r="AY225" t="s" s="0">
        <v>722</v>
      </c>
      <c r="AZ225" t="s" s="0">
        <v>210</v>
      </c>
      <c r="BA225" t="s" s="0">
        <v>4998</v>
      </c>
      <c r="BB225" t="s" s="0">
        <v>447</v>
      </c>
      <c r="BC225" t="s" s="0">
        <v>82</v>
      </c>
      <c r="BD225" t="s" s="0">
        <v>82</v>
      </c>
      <c r="BE225" t="s" s="0">
        <v>82</v>
      </c>
      <c r="BF225" t="s" s="0">
        <v>82</v>
      </c>
      <c r="BG225" t="s" s="0">
        <v>5691</v>
      </c>
      <c r="BH225" t="s" s="0">
        <v>5692</v>
      </c>
      <c r="BI225" t="s" s="0">
        <v>82</v>
      </c>
      <c r="BJ225" t="s" s="0">
        <v>5693</v>
      </c>
      <c r="BK225" t="s" s="447">
        <f>HYPERLINK("http://dx.doi.org/10.1097/CCM.0000000000005758","http://dx.doi.org/10.1097/CCM.0000000000005758")</f>
        <v>5694</v>
      </c>
      <c r="BL225" t="s" s="0">
        <v>82</v>
      </c>
      <c r="BM225" t="s" s="0">
        <v>82</v>
      </c>
      <c r="BN225" t="s" s="0">
        <v>245</v>
      </c>
      <c r="BO225" t="s" s="0">
        <v>2920</v>
      </c>
      <c r="BP225" t="s" s="0">
        <v>355</v>
      </c>
      <c r="BQ225" t="s" s="0">
        <v>5695</v>
      </c>
      <c r="BR225" t="s" s="0">
        <v>5696</v>
      </c>
      <c r="BS225" t="s" s="0">
        <v>5697</v>
      </c>
      <c r="BT225" t="s" s="448">
        <f>HYPERLINK("https://www.webofscience.com/wos/woscc/full-record/WOS:000919597500020","View Record in Web of Science")</f>
        <v>120</v>
      </c>
      <c r="BU225" t="s" s="0">
        <v>2442</v>
      </c>
      <c r="BV225" t="s" s="0">
        <v>82</v>
      </c>
      <c r="BW225" t="s" s="0">
        <v>82</v>
      </c>
      <c r="BX225" t="s" s="0">
        <v>122</v>
      </c>
    </row>
    <row r="226">
      <c r="A226" t="s" s="0">
        <v>78</v>
      </c>
      <c r="B226" t="s" s="0">
        <v>78</v>
      </c>
      <c r="C226" t="s" s="0">
        <v>78</v>
      </c>
      <c r="D226" t="s" s="0">
        <v>78</v>
      </c>
      <c r="E226" t="s" s="0">
        <v>5698</v>
      </c>
      <c r="F226" t="s" s="0">
        <v>5699</v>
      </c>
      <c r="G226" t="s" s="0">
        <v>5700</v>
      </c>
      <c r="H226" t="s" s="0">
        <v>82</v>
      </c>
      <c r="I226" t="s" s="0">
        <v>297</v>
      </c>
      <c r="J226" t="s" s="0">
        <v>5701</v>
      </c>
      <c r="K226" t="s" s="0">
        <v>5702</v>
      </c>
      <c r="L226" t="s" s="0">
        <v>5703</v>
      </c>
      <c r="M226" t="s" s="0">
        <v>5704</v>
      </c>
      <c r="N226" t="s" s="0">
        <v>5705</v>
      </c>
      <c r="O226" t="s" s="0">
        <v>5706</v>
      </c>
      <c r="P226" t="s" s="0">
        <v>5707</v>
      </c>
      <c r="Q226" t="s" s="0">
        <v>91</v>
      </c>
      <c r="R226" t="s" s="0">
        <v>82</v>
      </c>
      <c r="S226" t="s" s="0">
        <v>82</v>
      </c>
      <c r="T226" t="s" s="0">
        <v>82</v>
      </c>
      <c r="U226" t="s" s="0">
        <v>82</v>
      </c>
      <c r="V226" t="s" s="0">
        <v>5708</v>
      </c>
      <c r="W226" t="s" s="0">
        <v>5709</v>
      </c>
      <c r="X226" t="s" s="0">
        <v>82</v>
      </c>
      <c r="Y226" t="s" s="0">
        <v>82</v>
      </c>
      <c r="Z226" t="s" s="0">
        <v>94</v>
      </c>
      <c r="AA226" t="s" s="0">
        <v>95</v>
      </c>
      <c r="AB226" t="s" s="0">
        <v>82</v>
      </c>
      <c r="AC226" t="s" s="0">
        <v>82</v>
      </c>
      <c r="AD226" t="s" s="0">
        <v>82</v>
      </c>
      <c r="AE226" t="s" s="0">
        <v>82</v>
      </c>
      <c r="AF226" t="s" s="0">
        <v>82</v>
      </c>
      <c r="AG226" t="s" s="0">
        <v>5710</v>
      </c>
      <c r="AH226" t="s" s="0">
        <v>5711</v>
      </c>
      <c r="AI226" t="s" s="0">
        <v>1974</v>
      </c>
      <c r="AJ226" t="s" s="0">
        <v>82</v>
      </c>
      <c r="AK226" t="s" s="0">
        <v>82</v>
      </c>
      <c r="AL226" t="s" s="0">
        <v>1526</v>
      </c>
      <c r="AM226" t="s" s="0">
        <v>77</v>
      </c>
      <c r="AN226" t="s" s="0">
        <v>77</v>
      </c>
      <c r="AO226" t="s" s="0">
        <v>77</v>
      </c>
      <c r="AP226" t="s" s="0">
        <v>77</v>
      </c>
      <c r="AQ226" t="s" s="0">
        <v>277</v>
      </c>
      <c r="AR226" t="s" s="0">
        <v>278</v>
      </c>
      <c r="AS226" t="s" s="0">
        <v>279</v>
      </c>
      <c r="AT226" t="s" s="0">
        <v>82</v>
      </c>
      <c r="AU226" t="s" s="0">
        <v>5712</v>
      </c>
      <c r="AV226" t="s" s="0">
        <v>82</v>
      </c>
      <c r="AW226" t="s" s="0">
        <v>5713</v>
      </c>
      <c r="AX226" t="s" s="0">
        <v>5714</v>
      </c>
      <c r="AY226" t="s" s="0">
        <v>184</v>
      </c>
      <c r="AZ226" t="s" s="0">
        <v>181</v>
      </c>
      <c r="BA226" t="s" s="0">
        <v>102</v>
      </c>
      <c r="BB226" t="s" s="0">
        <v>447</v>
      </c>
      <c r="BC226" t="s" s="0">
        <v>82</v>
      </c>
      <c r="BD226" t="s" s="0">
        <v>82</v>
      </c>
      <c r="BE226" t="s" s="0">
        <v>82</v>
      </c>
      <c r="BF226" t="s" s="0">
        <v>82</v>
      </c>
      <c r="BG226" t="s" s="0">
        <v>82</v>
      </c>
      <c r="BH226" t="s" s="0">
        <v>82</v>
      </c>
      <c r="BI226" t="s" s="0">
        <v>5715</v>
      </c>
      <c r="BJ226" t="s" s="0">
        <v>5716</v>
      </c>
      <c r="BK226" t="s" s="449">
        <f>HYPERLINK("http://dx.doi.org/10.1016/j.chstcc.2026.100241","http://dx.doi.org/10.1016/j.chstcc.2026.100241")</f>
        <v>5717</v>
      </c>
      <c r="BL226" t="s" s="0">
        <v>82</v>
      </c>
      <c r="BM226" t="s" s="0">
        <v>82</v>
      </c>
      <c r="BN226" t="s" s="0">
        <v>245</v>
      </c>
      <c r="BO226" t="s" s="0">
        <v>3962</v>
      </c>
      <c r="BP226" t="s" s="0">
        <v>3963</v>
      </c>
      <c r="BQ226" t="s" s="0">
        <v>5718</v>
      </c>
      <c r="BR226" t="s" s="0">
        <v>82</v>
      </c>
      <c r="BS226" t="s" s="0">
        <v>5719</v>
      </c>
      <c r="BT226" t="s" s="450">
        <f>HYPERLINK("https://www.webofscience.com/wos/woscc/full-record/WOS:001724046600001","View Record in Web of Science")</f>
        <v>120</v>
      </c>
      <c r="BU226" t="s" s="0">
        <v>1008</v>
      </c>
      <c r="BV226" t="s" s="0">
        <v>82</v>
      </c>
      <c r="BW226" t="s" s="0">
        <v>82</v>
      </c>
      <c r="BX226" t="s" s="0">
        <v>122</v>
      </c>
    </row>
    <row r="227">
      <c r="A227" t="s" s="0">
        <v>78</v>
      </c>
      <c r="B227" t="s" s="0">
        <v>78</v>
      </c>
      <c r="C227" t="s" s="0">
        <v>890</v>
      </c>
      <c r="D227" t="s" s="0">
        <v>77</v>
      </c>
      <c r="E227" t="s" s="0">
        <v>5720</v>
      </c>
      <c r="F227" t="s" s="0">
        <v>5721</v>
      </c>
      <c r="G227" t="s" s="0">
        <v>5722</v>
      </c>
      <c r="H227" t="s" s="0">
        <v>82</v>
      </c>
      <c r="I227" t="s" s="0">
        <v>83</v>
      </c>
      <c r="J227" t="s" s="0">
        <v>5723</v>
      </c>
      <c r="K227" t="s" s="0">
        <v>5724</v>
      </c>
      <c r="L227" t="s" s="0">
        <v>5725</v>
      </c>
      <c r="M227" t="s" s="0">
        <v>5725</v>
      </c>
      <c r="N227" t="s" s="0">
        <v>5726</v>
      </c>
      <c r="O227" t="s" s="0">
        <v>5727</v>
      </c>
      <c r="P227" t="s" s="0">
        <v>1156</v>
      </c>
      <c r="Q227" t="s" s="0">
        <v>91</v>
      </c>
      <c r="R227" t="s" s="0">
        <v>82</v>
      </c>
      <c r="S227" t="s" s="0">
        <v>82</v>
      </c>
      <c r="T227" t="s" s="0">
        <v>82</v>
      </c>
      <c r="U227" t="s" s="0">
        <v>82</v>
      </c>
      <c r="V227" t="s" s="0">
        <v>5728</v>
      </c>
      <c r="W227" t="s" s="0">
        <v>5729</v>
      </c>
      <c r="X227" t="s" s="0">
        <v>82</v>
      </c>
      <c r="Y227" t="s" s="0">
        <v>82</v>
      </c>
      <c r="Z227" t="s" s="0">
        <v>94</v>
      </c>
      <c r="AA227" t="s" s="0">
        <v>95</v>
      </c>
      <c r="AB227" t="s" s="0">
        <v>82</v>
      </c>
      <c r="AC227" t="s" s="0">
        <v>82</v>
      </c>
      <c r="AD227" t="s" s="0">
        <v>82</v>
      </c>
      <c r="AE227" t="s" s="0">
        <v>82</v>
      </c>
      <c r="AF227" t="s" s="0">
        <v>82</v>
      </c>
      <c r="AG227" t="s" s="0">
        <v>82</v>
      </c>
      <c r="AH227" t="s" s="0">
        <v>5730</v>
      </c>
      <c r="AI227" t="s" s="0">
        <v>5731</v>
      </c>
      <c r="AJ227" t="s" s="0">
        <v>5732</v>
      </c>
      <c r="AK227" t="s" s="0">
        <v>82</v>
      </c>
      <c r="AL227" t="s" s="0">
        <v>1161</v>
      </c>
      <c r="AM227" t="s" s="0">
        <v>2081</v>
      </c>
      <c r="AN227" t="s" s="0">
        <v>805</v>
      </c>
      <c r="AO227" t="s" s="0">
        <v>77</v>
      </c>
      <c r="AP227" t="s" s="0">
        <v>115</v>
      </c>
      <c r="AQ227" t="s" s="0">
        <v>5733</v>
      </c>
      <c r="AR227" t="s" s="0">
        <v>5734</v>
      </c>
      <c r="AS227" t="s" s="0">
        <v>5735</v>
      </c>
      <c r="AT227" t="s" s="0">
        <v>5736</v>
      </c>
      <c r="AU227" t="s" s="0">
        <v>5737</v>
      </c>
      <c r="AV227" t="s" s="0">
        <v>82</v>
      </c>
      <c r="AW227" t="s" s="0">
        <v>5738</v>
      </c>
      <c r="AX227" t="s" s="0">
        <v>5739</v>
      </c>
      <c r="AY227" t="s" s="0">
        <v>4076</v>
      </c>
      <c r="AZ227" t="s" s="0">
        <v>210</v>
      </c>
      <c r="BA227" t="s" s="0">
        <v>1141</v>
      </c>
      <c r="BB227" t="s" s="0">
        <v>245</v>
      </c>
      <c r="BC227" t="s" s="0">
        <v>82</v>
      </c>
      <c r="BD227" t="s" s="0">
        <v>82</v>
      </c>
      <c r="BE227" t="s" s="0">
        <v>82</v>
      </c>
      <c r="BF227" t="s" s="0">
        <v>82</v>
      </c>
      <c r="BG227" t="s" s="0">
        <v>5740</v>
      </c>
      <c r="BH227" t="s" s="0">
        <v>5741</v>
      </c>
      <c r="BI227" t="s" s="0">
        <v>82</v>
      </c>
      <c r="BJ227" t="s" s="0">
        <v>5742</v>
      </c>
      <c r="BK227" t="s" s="451">
        <f>HYPERLINK("http://dx.doi.org/10.5858/arpa.2022-0066-OA","http://dx.doi.org/10.5858/arpa.2022-0066-OA")</f>
        <v>5743</v>
      </c>
      <c r="BL227" t="s" s="0">
        <v>82</v>
      </c>
      <c r="BM227" t="s" s="0">
        <v>82</v>
      </c>
      <c r="BN227" t="s" s="0">
        <v>136</v>
      </c>
      <c r="BO227" t="s" s="0">
        <v>5744</v>
      </c>
      <c r="BP227" t="s" s="0">
        <v>5745</v>
      </c>
      <c r="BQ227" t="s" s="0">
        <v>5746</v>
      </c>
      <c r="BR227" t="s" s="0">
        <v>5747</v>
      </c>
      <c r="BS227" t="s" s="0">
        <v>5748</v>
      </c>
      <c r="BT227" t="s" s="452">
        <f>HYPERLINK("https://www.webofscience.com/wos/woscc/full-record/WOS:001108713600001","View Record in Web of Science")</f>
        <v>120</v>
      </c>
      <c r="BU227" t="s" s="0">
        <v>1008</v>
      </c>
      <c r="BV227" t="s" s="0">
        <v>82</v>
      </c>
      <c r="BW227" t="s" s="0">
        <v>82</v>
      </c>
      <c r="BX227" t="s" s="0">
        <v>122</v>
      </c>
    </row>
    <row r="228">
      <c r="A228" t="s" s="0">
        <v>78</v>
      </c>
      <c r="B228" t="s" s="0">
        <v>78</v>
      </c>
      <c r="C228" t="s" s="0">
        <v>78</v>
      </c>
      <c r="D228" t="s" s="0">
        <v>78</v>
      </c>
      <c r="E228" t="s" s="0">
        <v>5749</v>
      </c>
      <c r="F228" t="s" s="0">
        <v>5750</v>
      </c>
      <c r="G228" t="s" s="0">
        <v>5751</v>
      </c>
      <c r="H228" t="s" s="0">
        <v>82</v>
      </c>
      <c r="I228" t="s" s="0">
        <v>83</v>
      </c>
      <c r="J228" t="s" s="0">
        <v>5752</v>
      </c>
      <c r="K228" t="s" s="0">
        <v>5753</v>
      </c>
      <c r="L228" t="s" s="0">
        <v>82</v>
      </c>
      <c r="M228" t="s" s="0">
        <v>82</v>
      </c>
      <c r="N228" t="s" s="0">
        <v>82</v>
      </c>
      <c r="O228" t="s" s="0">
        <v>5754</v>
      </c>
      <c r="P228" t="s" s="0">
        <v>5755</v>
      </c>
      <c r="Q228" t="s" s="0">
        <v>91</v>
      </c>
      <c r="R228" t="s" s="0">
        <v>82</v>
      </c>
      <c r="S228" t="s" s="0">
        <v>82</v>
      </c>
      <c r="T228" t="s" s="0">
        <v>82</v>
      </c>
      <c r="U228" t="s" s="0">
        <v>82</v>
      </c>
      <c r="V228" t="s" s="0">
        <v>5756</v>
      </c>
      <c r="W228" t="s" s="0">
        <v>5757</v>
      </c>
      <c r="X228" t="s" s="0">
        <v>82</v>
      </c>
      <c r="Y228" t="s" s="0">
        <v>82</v>
      </c>
      <c r="Z228" t="s" s="0">
        <v>94</v>
      </c>
      <c r="AA228" t="s" s="0">
        <v>95</v>
      </c>
      <c r="AB228" t="s" s="0">
        <v>82</v>
      </c>
      <c r="AC228" t="s" s="0">
        <v>82</v>
      </c>
      <c r="AD228" t="s" s="0">
        <v>82</v>
      </c>
      <c r="AE228" t="s" s="0">
        <v>82</v>
      </c>
      <c r="AF228" t="s" s="0">
        <v>82</v>
      </c>
      <c r="AG228" t="s" s="0">
        <v>5758</v>
      </c>
      <c r="AH228" t="s" s="0">
        <v>5759</v>
      </c>
      <c r="AI228" t="s" s="0">
        <v>82</v>
      </c>
      <c r="AJ228" t="s" s="0">
        <v>82</v>
      </c>
      <c r="AK228" t="s" s="0">
        <v>82</v>
      </c>
      <c r="AL228" t="s" s="0">
        <v>1186</v>
      </c>
      <c r="AM228" t="s" s="0">
        <v>78</v>
      </c>
      <c r="AN228" t="s" s="0">
        <v>78</v>
      </c>
      <c r="AO228" t="s" s="0">
        <v>78</v>
      </c>
      <c r="AP228" t="s" s="0">
        <v>78</v>
      </c>
      <c r="AQ228" t="s" s="0">
        <v>5760</v>
      </c>
      <c r="AR228" t="s" s="0">
        <v>5761</v>
      </c>
      <c r="AS228" t="s" s="0">
        <v>5762</v>
      </c>
      <c r="AT228" t="s" s="0">
        <v>5763</v>
      </c>
      <c r="AU228" t="s" s="0">
        <v>5764</v>
      </c>
      <c r="AV228" t="s" s="0">
        <v>82</v>
      </c>
      <c r="AW228" t="s" s="0">
        <v>5765</v>
      </c>
      <c r="AX228" t="s" s="0">
        <v>5766</v>
      </c>
      <c r="AY228" t="s" s="0">
        <v>184</v>
      </c>
      <c r="AZ228" t="s" s="0">
        <v>181</v>
      </c>
      <c r="BA228" t="s" s="0">
        <v>349</v>
      </c>
      <c r="BB228" t="s" s="0">
        <v>375</v>
      </c>
      <c r="BC228" t="s" s="0">
        <v>82</v>
      </c>
      <c r="BD228" t="s" s="0">
        <v>82</v>
      </c>
      <c r="BE228" t="s" s="0">
        <v>82</v>
      </c>
      <c r="BF228" t="s" s="0">
        <v>82</v>
      </c>
      <c r="BG228" t="s" s="0">
        <v>82</v>
      </c>
      <c r="BH228" t="s" s="0">
        <v>82</v>
      </c>
      <c r="BI228" t="s" s="0">
        <v>5767</v>
      </c>
      <c r="BJ228" t="s" s="0">
        <v>5768</v>
      </c>
      <c r="BK228" t="s" s="453">
        <f>HYPERLINK("http://dx.doi.org/10.21037/tp-2026-1-0146","http://dx.doi.org/10.21037/tp-2026-1-0146")</f>
        <v>5769</v>
      </c>
      <c r="BL228" t="s" s="0">
        <v>82</v>
      </c>
      <c r="BM228" t="s" s="0">
        <v>82</v>
      </c>
      <c r="BN228" t="s" s="0">
        <v>239</v>
      </c>
      <c r="BO228" t="s" s="0">
        <v>5770</v>
      </c>
      <c r="BP228" t="s" s="0">
        <v>5770</v>
      </c>
      <c r="BQ228" t="s" s="0">
        <v>5771</v>
      </c>
      <c r="BR228" t="s" s="0">
        <v>5772</v>
      </c>
      <c r="BS228" t="s" s="0">
        <v>5773</v>
      </c>
      <c r="BT228" t="s" s="454">
        <f>HYPERLINK("https://www.webofscience.com/wos/woscc/full-record/WOS:001825948500046","View Record in Web of Science")</f>
        <v>120</v>
      </c>
      <c r="BU228" t="s" s="0">
        <v>121</v>
      </c>
      <c r="BV228" t="s" s="0">
        <v>82</v>
      </c>
      <c r="BW228" t="s" s="0">
        <v>82</v>
      </c>
      <c r="BX228" t="s" s="0">
        <v>122</v>
      </c>
    </row>
    <row r="229">
      <c r="A229" t="s" s="0">
        <v>78</v>
      </c>
      <c r="B229" t="s" s="0">
        <v>78</v>
      </c>
      <c r="C229" t="s" s="0">
        <v>78</v>
      </c>
      <c r="D229" t="s" s="0">
        <v>78</v>
      </c>
      <c r="E229" t="s" s="0">
        <v>5774</v>
      </c>
      <c r="F229" t="s" s="0">
        <v>5775</v>
      </c>
      <c r="G229" t="s" s="0">
        <v>5776</v>
      </c>
      <c r="H229" t="s" s="0">
        <v>82</v>
      </c>
      <c r="I229" t="s" s="0">
        <v>83</v>
      </c>
      <c r="J229" t="s" s="0">
        <v>5777</v>
      </c>
      <c r="K229" t="s" s="0">
        <v>5778</v>
      </c>
      <c r="L229" t="s" s="0">
        <v>5779</v>
      </c>
      <c r="M229" t="s" s="0">
        <v>5779</v>
      </c>
      <c r="N229" t="s" s="0">
        <v>5780</v>
      </c>
      <c r="O229" t="s" s="0">
        <v>5781</v>
      </c>
      <c r="P229" t="s" s="0">
        <v>5782</v>
      </c>
      <c r="Q229" t="s" s="0">
        <v>91</v>
      </c>
      <c r="R229" t="s" s="0">
        <v>82</v>
      </c>
      <c r="S229" t="s" s="0">
        <v>82</v>
      </c>
      <c r="T229" t="s" s="0">
        <v>82</v>
      </c>
      <c r="U229" t="s" s="0">
        <v>82</v>
      </c>
      <c r="V229" t="s" s="0">
        <v>5783</v>
      </c>
      <c r="W229" t="s" s="0">
        <v>5784</v>
      </c>
      <c r="X229" t="s" s="0">
        <v>82</v>
      </c>
      <c r="Y229" t="s" s="0">
        <v>82</v>
      </c>
      <c r="Z229" t="s" s="0">
        <v>94</v>
      </c>
      <c r="AA229" t="s" s="0">
        <v>95</v>
      </c>
      <c r="AB229" t="s" s="0">
        <v>82</v>
      </c>
      <c r="AC229" t="s" s="0">
        <v>82</v>
      </c>
      <c r="AD229" t="s" s="0">
        <v>82</v>
      </c>
      <c r="AE229" t="s" s="0">
        <v>82</v>
      </c>
      <c r="AF229" t="s" s="0">
        <v>82</v>
      </c>
      <c r="AG229" t="s" s="0">
        <v>5785</v>
      </c>
      <c r="AH229" t="s" s="0">
        <v>5786</v>
      </c>
      <c r="AI229" t="s" s="0">
        <v>5787</v>
      </c>
      <c r="AJ229" t="s" s="0">
        <v>5788</v>
      </c>
      <c r="AK229" t="s" s="0">
        <v>82</v>
      </c>
      <c r="AL229" t="s" s="0">
        <v>548</v>
      </c>
      <c r="AM229" t="s" s="0">
        <v>447</v>
      </c>
      <c r="AN229" t="s" s="0">
        <v>447</v>
      </c>
      <c r="AO229" t="s" s="0">
        <v>221</v>
      </c>
      <c r="AP229" t="s" s="0">
        <v>319</v>
      </c>
      <c r="AQ229" t="s" s="0">
        <v>4242</v>
      </c>
      <c r="AR229" t="s" s="0">
        <v>4243</v>
      </c>
      <c r="AS229" t="s" s="0">
        <v>4244</v>
      </c>
      <c r="AT229" t="s" s="0">
        <v>5789</v>
      </c>
      <c r="AU229" t="s" s="0">
        <v>5790</v>
      </c>
      <c r="AV229" t="s" s="0">
        <v>82</v>
      </c>
      <c r="AW229" t="s" s="0">
        <v>5791</v>
      </c>
      <c r="AX229" t="s" s="0">
        <v>5792</v>
      </c>
      <c r="AY229" t="s" s="0">
        <v>147</v>
      </c>
      <c r="AZ229" t="s" s="0">
        <v>147</v>
      </c>
      <c r="BA229" t="s" s="0">
        <v>548</v>
      </c>
      <c r="BB229" t="s" s="0">
        <v>82</v>
      </c>
      <c r="BC229" t="s" s="0">
        <v>82</v>
      </c>
      <c r="BD229" t="s" s="0">
        <v>82</v>
      </c>
      <c r="BE229" t="s" s="0">
        <v>82</v>
      </c>
      <c r="BF229" t="s" s="0">
        <v>82</v>
      </c>
      <c r="BG229" t="s" s="0">
        <v>82</v>
      </c>
      <c r="BH229" t="s" s="0">
        <v>82</v>
      </c>
      <c r="BI229" t="s" s="0">
        <v>5793</v>
      </c>
      <c r="BJ229" t="s" s="0">
        <v>5794</v>
      </c>
      <c r="BK229" t="s" s="455">
        <f>HYPERLINK("http://dx.doi.org/10.1177/10760296251372942","http://dx.doi.org/10.1177/10760296251372942")</f>
        <v>5795</v>
      </c>
      <c r="BL229" t="s" s="0">
        <v>82</v>
      </c>
      <c r="BM229" t="s" s="0">
        <v>82</v>
      </c>
      <c r="BN229" t="s" s="0">
        <v>245</v>
      </c>
      <c r="BO229" t="s" s="0">
        <v>2583</v>
      </c>
      <c r="BP229" t="s" s="0">
        <v>2584</v>
      </c>
      <c r="BQ229" t="s" s="0">
        <v>5796</v>
      </c>
      <c r="BR229" t="s" s="0">
        <v>82</v>
      </c>
      <c r="BS229" t="s" s="0">
        <v>5797</v>
      </c>
      <c r="BT229" t="s" s="456">
        <f>HYPERLINK("https://www.webofscience.com/wos/woscc/full-record/WOS:001559429600001","View Record in Web of Science")</f>
        <v>120</v>
      </c>
      <c r="BU229" t="s" s="0">
        <v>121</v>
      </c>
      <c r="BV229" t="s" s="0">
        <v>82</v>
      </c>
      <c r="BW229" t="s" s="0">
        <v>82</v>
      </c>
      <c r="BX229" t="s" s="0">
        <v>122</v>
      </c>
    </row>
    <row r="230">
      <c r="A230" t="s" s="0">
        <v>78</v>
      </c>
      <c r="B230" t="s" s="0">
        <v>78</v>
      </c>
      <c r="C230" t="s" s="0">
        <v>78</v>
      </c>
      <c r="D230" t="s" s="0">
        <v>78</v>
      </c>
      <c r="E230" t="s" s="0">
        <v>5798</v>
      </c>
      <c r="F230" t="s" s="0">
        <v>5799</v>
      </c>
      <c r="G230" t="s" s="0">
        <v>5800</v>
      </c>
      <c r="H230" t="s" s="0">
        <v>82</v>
      </c>
      <c r="I230" t="s" s="0">
        <v>83</v>
      </c>
      <c r="J230" t="s" s="0">
        <v>5801</v>
      </c>
      <c r="K230" t="s" s="0">
        <v>5802</v>
      </c>
      <c r="L230" t="s" s="0">
        <v>5803</v>
      </c>
      <c r="M230" t="s" s="0">
        <v>5804</v>
      </c>
      <c r="N230" t="s" s="0">
        <v>5805</v>
      </c>
      <c r="O230" t="s" s="0">
        <v>5806</v>
      </c>
      <c r="P230" t="s" s="0">
        <v>5807</v>
      </c>
      <c r="Q230" t="s" s="0">
        <v>91</v>
      </c>
      <c r="R230" t="s" s="0">
        <v>82</v>
      </c>
      <c r="S230" t="s" s="0">
        <v>82</v>
      </c>
      <c r="T230" t="s" s="0">
        <v>82</v>
      </c>
      <c r="U230" t="s" s="0">
        <v>82</v>
      </c>
      <c r="V230" t="s" s="0">
        <v>5808</v>
      </c>
      <c r="W230" t="s" s="0">
        <v>5809</v>
      </c>
      <c r="X230" t="s" s="0">
        <v>82</v>
      </c>
      <c r="Y230" t="s" s="0">
        <v>82</v>
      </c>
      <c r="Z230" t="s" s="0">
        <v>94</v>
      </c>
      <c r="AA230" t="s" s="0">
        <v>95</v>
      </c>
      <c r="AB230" t="s" s="0">
        <v>82</v>
      </c>
      <c r="AC230" t="s" s="0">
        <v>82</v>
      </c>
      <c r="AD230" t="s" s="0">
        <v>82</v>
      </c>
      <c r="AE230" t="s" s="0">
        <v>82</v>
      </c>
      <c r="AF230" t="s" s="0">
        <v>82</v>
      </c>
      <c r="AG230" t="s" s="0">
        <v>5810</v>
      </c>
      <c r="AH230" t="s" s="0">
        <v>5811</v>
      </c>
      <c r="AI230" t="s" s="0">
        <v>82</v>
      </c>
      <c r="AJ230" t="s" s="0">
        <v>82</v>
      </c>
      <c r="AK230" t="s" s="0">
        <v>82</v>
      </c>
      <c r="AL230" t="s" s="0">
        <v>632</v>
      </c>
      <c r="AM230" t="s" s="0">
        <v>77</v>
      </c>
      <c r="AN230" t="s" s="0">
        <v>77</v>
      </c>
      <c r="AO230" t="s" s="0">
        <v>77</v>
      </c>
      <c r="AP230" t="s" s="0">
        <v>77</v>
      </c>
      <c r="AQ230" t="s" s="0">
        <v>202</v>
      </c>
      <c r="AR230" t="s" s="0">
        <v>203</v>
      </c>
      <c r="AS230" t="s" s="0">
        <v>204</v>
      </c>
      <c r="AT230" t="s" s="0">
        <v>5812</v>
      </c>
      <c r="AU230" t="s" s="0">
        <v>5813</v>
      </c>
      <c r="AV230" t="s" s="0">
        <v>82</v>
      </c>
      <c r="AW230" t="s" s="0">
        <v>5814</v>
      </c>
      <c r="AX230" t="s" s="0">
        <v>5815</v>
      </c>
      <c r="AY230" t="s" s="0">
        <v>1003</v>
      </c>
      <c r="AZ230" t="s" s="0">
        <v>181</v>
      </c>
      <c r="BA230" t="s" s="0">
        <v>1478</v>
      </c>
      <c r="BB230" t="s" s="0">
        <v>221</v>
      </c>
      <c r="BC230" t="s" s="0">
        <v>82</v>
      </c>
      <c r="BD230" t="s" s="0">
        <v>82</v>
      </c>
      <c r="BE230" t="s" s="0">
        <v>82</v>
      </c>
      <c r="BF230" t="s" s="0">
        <v>82</v>
      </c>
      <c r="BG230" t="s" s="0">
        <v>5816</v>
      </c>
      <c r="BH230" t="s" s="0">
        <v>5817</v>
      </c>
      <c r="BI230" t="s" s="0">
        <v>82</v>
      </c>
      <c r="BJ230" t="s" s="0">
        <v>5818</v>
      </c>
      <c r="BK230" t="s" s="457">
        <f>HYPERLINK("http://dx.doi.org/10.1016/j.dld.2026.01.226","http://dx.doi.org/10.1016/j.dld.2026.01.226")</f>
        <v>5819</v>
      </c>
      <c r="BL230" t="s" s="0">
        <v>82</v>
      </c>
      <c r="BM230" t="s" s="0">
        <v>82</v>
      </c>
      <c r="BN230" t="s" s="0">
        <v>245</v>
      </c>
      <c r="BO230" t="s" s="0">
        <v>924</v>
      </c>
      <c r="BP230" t="s" s="0">
        <v>924</v>
      </c>
      <c r="BQ230" t="s" s="0">
        <v>5820</v>
      </c>
      <c r="BR230" t="s" s="0">
        <v>5821</v>
      </c>
      <c r="BS230" t="s" s="0">
        <v>5822</v>
      </c>
      <c r="BT230" t="s" s="458">
        <f>HYPERLINK("https://www.webofscience.com/wos/woscc/full-record/WOS:001751597800001","View Record in Web of Science")</f>
        <v>120</v>
      </c>
      <c r="BU230" t="s" s="0">
        <v>159</v>
      </c>
      <c r="BV230" t="s" s="0">
        <v>82</v>
      </c>
      <c r="BW230" t="s" s="0">
        <v>82</v>
      </c>
      <c r="BX230" t="s" s="0">
        <v>122</v>
      </c>
    </row>
    <row r="231">
      <c r="A231" t="s" s="0">
        <v>78</v>
      </c>
      <c r="B231" t="s" s="0">
        <v>78</v>
      </c>
      <c r="C231" t="s" s="0">
        <v>78</v>
      </c>
      <c r="D231" t="s" s="0">
        <v>78</v>
      </c>
      <c r="E231" t="s" s="0">
        <v>5823</v>
      </c>
      <c r="F231" t="s" s="0">
        <v>5824</v>
      </c>
      <c r="G231" t="s" s="0">
        <v>5825</v>
      </c>
      <c r="H231" t="s" s="0">
        <v>82</v>
      </c>
      <c r="I231" t="s" s="0">
        <v>83</v>
      </c>
      <c r="J231" t="s" s="0">
        <v>5826</v>
      </c>
      <c r="K231" t="s" s="0">
        <v>5827</v>
      </c>
      <c r="L231" t="s" s="0">
        <v>82</v>
      </c>
      <c r="M231" t="s" s="0">
        <v>82</v>
      </c>
      <c r="N231" t="s" s="0">
        <v>82</v>
      </c>
      <c r="O231" t="s" s="0">
        <v>5828</v>
      </c>
      <c r="P231" t="s" s="0">
        <v>5829</v>
      </c>
      <c r="Q231" t="s" s="0">
        <v>91</v>
      </c>
      <c r="R231" t="s" s="0">
        <v>82</v>
      </c>
      <c r="S231" t="s" s="0">
        <v>82</v>
      </c>
      <c r="T231" t="s" s="0">
        <v>82</v>
      </c>
      <c r="U231" t="s" s="0">
        <v>82</v>
      </c>
      <c r="V231" t="s" s="0">
        <v>5830</v>
      </c>
      <c r="W231" t="s" s="0">
        <v>93</v>
      </c>
      <c r="X231" t="s" s="0">
        <v>82</v>
      </c>
      <c r="Y231" t="s" s="0">
        <v>82</v>
      </c>
      <c r="Z231" t="s" s="0">
        <v>94</v>
      </c>
      <c r="AA231" t="s" s="0">
        <v>95</v>
      </c>
      <c r="AB231" t="s" s="0">
        <v>82</v>
      </c>
      <c r="AC231" t="s" s="0">
        <v>82</v>
      </c>
      <c r="AD231" t="s" s="0">
        <v>82</v>
      </c>
      <c r="AE231" t="s" s="0">
        <v>82</v>
      </c>
      <c r="AF231" t="s" s="0">
        <v>82</v>
      </c>
      <c r="AG231" t="s" s="0">
        <v>5831</v>
      </c>
      <c r="AH231" t="s" s="0">
        <v>5832</v>
      </c>
      <c r="AI231" t="s" s="0">
        <v>5833</v>
      </c>
      <c r="AJ231" t="s" s="0">
        <v>5834</v>
      </c>
      <c r="AK231" t="s" s="0">
        <v>82</v>
      </c>
      <c r="AL231" t="s" s="0">
        <v>1658</v>
      </c>
      <c r="AM231" t="s" s="0">
        <v>319</v>
      </c>
      <c r="AN231" t="s" s="0">
        <v>245</v>
      </c>
      <c r="AO231" t="s" s="0">
        <v>77</v>
      </c>
      <c r="AP231" t="s" s="0">
        <v>136</v>
      </c>
      <c r="AQ231" t="s" s="0">
        <v>103</v>
      </c>
      <c r="AR231" t="s" s="0">
        <v>104</v>
      </c>
      <c r="AS231" t="s" s="0">
        <v>105</v>
      </c>
      <c r="AT231" t="s" s="0">
        <v>82</v>
      </c>
      <c r="AU231" t="s" s="0">
        <v>106</v>
      </c>
      <c r="AV231" t="s" s="0">
        <v>82</v>
      </c>
      <c r="AW231" t="s" s="0">
        <v>107</v>
      </c>
      <c r="AX231" t="s" s="0">
        <v>108</v>
      </c>
      <c r="AY231" t="s" s="0">
        <v>5835</v>
      </c>
      <c r="AZ231" t="s" s="0">
        <v>110</v>
      </c>
      <c r="BA231" t="s" s="0">
        <v>111</v>
      </c>
      <c r="BB231" t="s" s="0">
        <v>77</v>
      </c>
      <c r="BC231" t="s" s="0">
        <v>82</v>
      </c>
      <c r="BD231" t="s" s="0">
        <v>82</v>
      </c>
      <c r="BE231" t="s" s="0">
        <v>82</v>
      </c>
      <c r="BF231" t="s" s="0">
        <v>82</v>
      </c>
      <c r="BG231" t="s" s="0">
        <v>82</v>
      </c>
      <c r="BH231" t="s" s="0">
        <v>82</v>
      </c>
      <c r="BI231" t="s" s="0">
        <v>2397</v>
      </c>
      <c r="BJ231" t="s" s="0">
        <v>5836</v>
      </c>
      <c r="BK231" t="s" s="459">
        <f>HYPERLINK("http://dx.doi.org/10.1186/s12891-024-07798-z","http://dx.doi.org/10.1186/s12891-024-07798-z")</f>
        <v>5837</v>
      </c>
      <c r="BL231" t="s" s="0">
        <v>82</v>
      </c>
      <c r="BM231" t="s" s="0">
        <v>82</v>
      </c>
      <c r="BN231" t="s" s="0">
        <v>137</v>
      </c>
      <c r="BO231" t="s" s="0">
        <v>116</v>
      </c>
      <c r="BP231" t="s" s="0">
        <v>116</v>
      </c>
      <c r="BQ231" t="s" s="0">
        <v>5838</v>
      </c>
      <c r="BR231" t="s" s="0">
        <v>5839</v>
      </c>
      <c r="BS231" t="s" s="0">
        <v>5840</v>
      </c>
      <c r="BT231" t="s" s="460">
        <f>HYPERLINK("https://www.webofscience.com/wos/woscc/full-record/WOS:001300045900004","View Record in Web of Science")</f>
        <v>120</v>
      </c>
      <c r="BU231" t="s" s="0">
        <v>121</v>
      </c>
      <c r="BV231" t="s" s="0">
        <v>82</v>
      </c>
      <c r="BW231" t="s" s="0">
        <v>82</v>
      </c>
      <c r="BX231" t="s" s="0">
        <v>122</v>
      </c>
    </row>
    <row r="232">
      <c r="A232" t="s" s="0">
        <v>78</v>
      </c>
      <c r="B232" t="s" s="0">
        <v>78</v>
      </c>
      <c r="C232" t="s" s="0">
        <v>78</v>
      </c>
      <c r="D232" t="s" s="0">
        <v>78</v>
      </c>
      <c r="E232" t="s" s="0">
        <v>5841</v>
      </c>
      <c r="F232" t="s" s="0">
        <v>5842</v>
      </c>
      <c r="G232" t="s" s="0">
        <v>5843</v>
      </c>
      <c r="H232" t="s" s="0">
        <v>82</v>
      </c>
      <c r="I232" t="s" s="0">
        <v>297</v>
      </c>
      <c r="J232" t="s" s="0">
        <v>5844</v>
      </c>
      <c r="K232" t="s" s="0">
        <v>5845</v>
      </c>
      <c r="L232" t="s" s="0">
        <v>82</v>
      </c>
      <c r="M232" t="s" s="0">
        <v>82</v>
      </c>
      <c r="N232" t="s" s="0">
        <v>82</v>
      </c>
      <c r="O232" t="s" s="0">
        <v>5846</v>
      </c>
      <c r="P232" t="s" s="0">
        <v>5847</v>
      </c>
      <c r="Q232" t="s" s="0">
        <v>91</v>
      </c>
      <c r="R232" t="s" s="0">
        <v>82</v>
      </c>
      <c r="S232" t="s" s="0">
        <v>5848</v>
      </c>
      <c r="T232" t="s" s="0">
        <v>82</v>
      </c>
      <c r="U232" t="s" s="0">
        <v>82</v>
      </c>
      <c r="V232" t="s" s="0">
        <v>5849</v>
      </c>
      <c r="W232" t="s" s="0">
        <v>5850</v>
      </c>
      <c r="X232" t="s" s="0">
        <v>82</v>
      </c>
      <c r="Y232" t="s" s="0">
        <v>82</v>
      </c>
      <c r="Z232" t="s" s="0">
        <v>94</v>
      </c>
      <c r="AA232" t="s" s="0">
        <v>169</v>
      </c>
      <c r="AB232" t="s" s="0">
        <v>82</v>
      </c>
      <c r="AC232" t="s" s="0">
        <v>82</v>
      </c>
      <c r="AD232" t="s" s="0">
        <v>82</v>
      </c>
      <c r="AE232" t="s" s="0">
        <v>82</v>
      </c>
      <c r="AF232" t="s" s="0">
        <v>82</v>
      </c>
      <c r="AG232" t="s" s="0">
        <v>5851</v>
      </c>
      <c r="AH232" t="s" s="0">
        <v>5852</v>
      </c>
      <c r="AI232" t="s" s="0">
        <v>5853</v>
      </c>
      <c r="AJ232" t="s" s="0">
        <v>82</v>
      </c>
      <c r="AK232" t="s" s="0">
        <v>82</v>
      </c>
      <c r="AL232" t="s" s="0">
        <v>311</v>
      </c>
      <c r="AM232" t="s" s="0">
        <v>78</v>
      </c>
      <c r="AN232" t="s" s="0">
        <v>78</v>
      </c>
      <c r="AO232" t="s" s="0">
        <v>78</v>
      </c>
      <c r="AP232" t="s" s="0">
        <v>78</v>
      </c>
      <c r="AQ232" t="s" s="0">
        <v>5854</v>
      </c>
      <c r="AR232" t="s" s="0">
        <v>5855</v>
      </c>
      <c r="AS232" t="s" s="0">
        <v>5856</v>
      </c>
      <c r="AT232" t="s" s="0">
        <v>82</v>
      </c>
      <c r="AU232" t="s" s="0">
        <v>5857</v>
      </c>
      <c r="AV232" t="s" s="0">
        <v>82</v>
      </c>
      <c r="AW232" t="s" s="0">
        <v>5858</v>
      </c>
      <c r="AX232" t="s" s="0">
        <v>5859</v>
      </c>
      <c r="AY232" t="s" s="0">
        <v>82</v>
      </c>
      <c r="AZ232" t="s" s="0">
        <v>181</v>
      </c>
      <c r="BA232" t="s" s="0">
        <v>82</v>
      </c>
      <c r="BB232" t="s" s="0">
        <v>82</v>
      </c>
      <c r="BC232" t="s" s="0">
        <v>82</v>
      </c>
      <c r="BD232" t="s" s="0">
        <v>82</v>
      </c>
      <c r="BE232" t="s" s="0">
        <v>82</v>
      </c>
      <c r="BF232" t="s" s="0">
        <v>82</v>
      </c>
      <c r="BG232" t="s" s="0">
        <v>82</v>
      </c>
      <c r="BH232" t="s" s="0">
        <v>82</v>
      </c>
      <c r="BI232" t="s" s="0">
        <v>82</v>
      </c>
      <c r="BJ232" t="s" s="0">
        <v>5860</v>
      </c>
      <c r="BK232" t="s" s="461">
        <f>HYPERLINK("http://dx.doi.org/10.1253/circrep.CR-26-0116","http://dx.doi.org/10.1253/circrep.CR-26-0116")</f>
        <v>5861</v>
      </c>
      <c r="BL232" t="s" s="0">
        <v>82</v>
      </c>
      <c r="BM232" t="s" s="0">
        <v>3226</v>
      </c>
      <c r="BN232" t="s" s="0">
        <v>245</v>
      </c>
      <c r="BO232" t="s" s="0">
        <v>503</v>
      </c>
      <c r="BP232" t="s" s="0">
        <v>504</v>
      </c>
      <c r="BQ232" t="s" s="0">
        <v>5862</v>
      </c>
      <c r="BR232" t="s" s="0">
        <v>82</v>
      </c>
      <c r="BS232" t="s" s="0">
        <v>5863</v>
      </c>
      <c r="BT232" t="s" s="462">
        <f>HYPERLINK("https://www.webofscience.com/wos/woscc/full-record/WOS:001820567200001","View Record in Web of Science")</f>
        <v>120</v>
      </c>
      <c r="BU232" t="s" s="0">
        <v>1008</v>
      </c>
      <c r="BV232" t="s" s="0">
        <v>82</v>
      </c>
      <c r="BW232" t="s" s="0">
        <v>82</v>
      </c>
      <c r="BX232" t="s" s="0">
        <v>122</v>
      </c>
    </row>
    <row r="233">
      <c r="A233" t="s" s="0">
        <v>78</v>
      </c>
      <c r="B233" t="s" s="0">
        <v>78</v>
      </c>
      <c r="C233" t="s" s="0">
        <v>78</v>
      </c>
      <c r="D233" t="s" s="0">
        <v>78</v>
      </c>
      <c r="E233" t="s" s="0">
        <v>5864</v>
      </c>
      <c r="F233" t="s" s="0">
        <v>5865</v>
      </c>
      <c r="G233" t="s" s="0">
        <v>5866</v>
      </c>
      <c r="H233" t="s" s="0">
        <v>82</v>
      </c>
      <c r="I233" t="s" s="0">
        <v>83</v>
      </c>
      <c r="J233" t="s" s="0">
        <v>5867</v>
      </c>
      <c r="K233" t="s" s="0">
        <v>5868</v>
      </c>
      <c r="L233" t="s" s="0">
        <v>5869</v>
      </c>
      <c r="M233" t="s" s="0">
        <v>5870</v>
      </c>
      <c r="N233" t="s" s="0">
        <v>5871</v>
      </c>
      <c r="O233" t="s" s="0">
        <v>5872</v>
      </c>
      <c r="P233" t="s" s="0">
        <v>5873</v>
      </c>
      <c r="Q233" t="s" s="0">
        <v>91</v>
      </c>
      <c r="R233" t="s" s="0">
        <v>82</v>
      </c>
      <c r="S233" t="s" s="0">
        <v>82</v>
      </c>
      <c r="T233" t="s" s="0">
        <v>82</v>
      </c>
      <c r="U233" t="s" s="0">
        <v>82</v>
      </c>
      <c r="V233" t="s" s="0">
        <v>5874</v>
      </c>
      <c r="W233" t="s" s="0">
        <v>5875</v>
      </c>
      <c r="X233" t="s" s="0">
        <v>82</v>
      </c>
      <c r="Y233" t="s" s="0">
        <v>82</v>
      </c>
      <c r="Z233" t="s" s="0">
        <v>94</v>
      </c>
      <c r="AA233" t="s" s="0">
        <v>169</v>
      </c>
      <c r="AB233" t="s" s="0">
        <v>82</v>
      </c>
      <c r="AC233" t="s" s="0">
        <v>82</v>
      </c>
      <c r="AD233" t="s" s="0">
        <v>82</v>
      </c>
      <c r="AE233" t="s" s="0">
        <v>82</v>
      </c>
      <c r="AF233" t="s" s="0">
        <v>82</v>
      </c>
      <c r="AG233" t="s" s="0">
        <v>5876</v>
      </c>
      <c r="AH233" t="s" s="0">
        <v>5877</v>
      </c>
      <c r="AI233" t="s" s="0">
        <v>82</v>
      </c>
      <c r="AJ233" t="s" s="0">
        <v>82</v>
      </c>
      <c r="AK233" t="s" s="0">
        <v>82</v>
      </c>
      <c r="AL233" t="s" s="0">
        <v>829</v>
      </c>
      <c r="AM233" t="s" s="0">
        <v>78</v>
      </c>
      <c r="AN233" t="s" s="0">
        <v>78</v>
      </c>
      <c r="AO233" t="s" s="0">
        <v>78</v>
      </c>
      <c r="AP233" t="s" s="0">
        <v>78</v>
      </c>
      <c r="AQ233" t="s" s="0">
        <v>832</v>
      </c>
      <c r="AR233" t="s" s="0">
        <v>833</v>
      </c>
      <c r="AS233" t="s" s="0">
        <v>834</v>
      </c>
      <c r="AT233" t="s" s="0">
        <v>5878</v>
      </c>
      <c r="AU233" t="s" s="0">
        <v>5879</v>
      </c>
      <c r="AV233" t="s" s="0">
        <v>82</v>
      </c>
      <c r="AW233" t="s" s="0">
        <v>5880</v>
      </c>
      <c r="AX233" t="s" s="0">
        <v>5881</v>
      </c>
      <c r="AY233" t="s" s="0">
        <v>82</v>
      </c>
      <c r="AZ233" t="s" s="0">
        <v>181</v>
      </c>
      <c r="BA233" t="s" s="0">
        <v>82</v>
      </c>
      <c r="BB233" t="s" s="0">
        <v>82</v>
      </c>
      <c r="BC233" t="s" s="0">
        <v>82</v>
      </c>
      <c r="BD233" t="s" s="0">
        <v>82</v>
      </c>
      <c r="BE233" t="s" s="0">
        <v>82</v>
      </c>
      <c r="BF233" t="s" s="0">
        <v>82</v>
      </c>
      <c r="BG233" t="s" s="0">
        <v>82</v>
      </c>
      <c r="BH233" t="s" s="0">
        <v>82</v>
      </c>
      <c r="BI233" t="s" s="0">
        <v>82</v>
      </c>
      <c r="BJ233" t="s" s="0">
        <v>5882</v>
      </c>
      <c r="BK233" t="s" s="463">
        <f>HYPERLINK("http://dx.doi.org/10.1097/LVT.0000000000000942","http://dx.doi.org/10.1097/LVT.0000000000000942")</f>
        <v>5883</v>
      </c>
      <c r="BL233" t="s" s="0">
        <v>82</v>
      </c>
      <c r="BM233" t="s" s="0">
        <v>1342</v>
      </c>
      <c r="BN233" t="s" s="0">
        <v>349</v>
      </c>
      <c r="BO233" t="s" s="0">
        <v>5884</v>
      </c>
      <c r="BP233" t="s" s="0">
        <v>5884</v>
      </c>
      <c r="BQ233" t="s" s="0">
        <v>5885</v>
      </c>
      <c r="BR233" t="s" s="0">
        <v>5886</v>
      </c>
      <c r="BS233" t="s" s="0">
        <v>5887</v>
      </c>
      <c r="BT233" t="s" s="464">
        <f>HYPERLINK("https://www.webofscience.com/wos/woscc/full-record/WOS:001853517500001","View Record in Web of Science")</f>
        <v>120</v>
      </c>
      <c r="BU233" t="s" s="0">
        <v>82</v>
      </c>
      <c r="BV233" t="s" s="0">
        <v>82</v>
      </c>
      <c r="BW233" t="s" s="0">
        <v>82</v>
      </c>
      <c r="BX233" t="s" s="0">
        <v>122</v>
      </c>
    </row>
    <row r="234">
      <c r="A234" t="s" s="0">
        <v>78</v>
      </c>
      <c r="B234" t="s" s="0">
        <v>78</v>
      </c>
      <c r="C234" t="s" s="0">
        <v>78</v>
      </c>
      <c r="D234" t="s" s="0">
        <v>78</v>
      </c>
      <c r="E234" t="s" s="0">
        <v>5888</v>
      </c>
      <c r="F234" t="s" s="0">
        <v>5889</v>
      </c>
      <c r="G234" t="s" s="0">
        <v>5890</v>
      </c>
      <c r="H234" t="s" s="0">
        <v>82</v>
      </c>
      <c r="I234" t="s" s="0">
        <v>83</v>
      </c>
      <c r="J234" t="s" s="0">
        <v>5891</v>
      </c>
      <c r="K234" t="s" s="0">
        <v>5892</v>
      </c>
      <c r="L234" t="s" s="0">
        <v>82</v>
      </c>
      <c r="M234" t="s" s="0">
        <v>82</v>
      </c>
      <c r="N234" t="s" s="0">
        <v>82</v>
      </c>
      <c r="O234" t="s" s="0">
        <v>5893</v>
      </c>
      <c r="P234" t="s" s="0">
        <v>5894</v>
      </c>
      <c r="Q234" t="s" s="0">
        <v>91</v>
      </c>
      <c r="R234" t="s" s="0">
        <v>82</v>
      </c>
      <c r="S234" t="s" s="0">
        <v>82</v>
      </c>
      <c r="T234" t="s" s="0">
        <v>82</v>
      </c>
      <c r="U234" t="s" s="0">
        <v>82</v>
      </c>
      <c r="V234" t="s" s="0">
        <v>5895</v>
      </c>
      <c r="W234" t="s" s="0">
        <v>3637</v>
      </c>
      <c r="X234" t="s" s="0">
        <v>82</v>
      </c>
      <c r="Y234" t="s" s="0">
        <v>82</v>
      </c>
      <c r="Z234" t="s" s="0">
        <v>94</v>
      </c>
      <c r="AA234" t="s" s="0">
        <v>95</v>
      </c>
      <c r="AB234" t="s" s="0">
        <v>82</v>
      </c>
      <c r="AC234" t="s" s="0">
        <v>82</v>
      </c>
      <c r="AD234" t="s" s="0">
        <v>82</v>
      </c>
      <c r="AE234" t="s" s="0">
        <v>82</v>
      </c>
      <c r="AF234" t="s" s="0">
        <v>82</v>
      </c>
      <c r="AG234" t="s" s="0">
        <v>5896</v>
      </c>
      <c r="AH234" t="s" s="0">
        <v>5897</v>
      </c>
      <c r="AI234" t="s" s="0">
        <v>5898</v>
      </c>
      <c r="AJ234" t="s" s="0">
        <v>5899</v>
      </c>
      <c r="AK234" t="s" s="0">
        <v>82</v>
      </c>
      <c r="AL234" t="s" s="0">
        <v>399</v>
      </c>
      <c r="AM234" t="s" s="0">
        <v>78</v>
      </c>
      <c r="AN234" t="s" s="0">
        <v>78</v>
      </c>
      <c r="AO234" t="s" s="0">
        <v>77</v>
      </c>
      <c r="AP234" t="s" s="0">
        <v>77</v>
      </c>
      <c r="AQ234" t="s" s="0">
        <v>633</v>
      </c>
      <c r="AR234" t="s" s="0">
        <v>634</v>
      </c>
      <c r="AS234" t="s" s="0">
        <v>635</v>
      </c>
      <c r="AT234" t="s" s="0">
        <v>3642</v>
      </c>
      <c r="AU234" t="s" s="0">
        <v>82</v>
      </c>
      <c r="AV234" t="s" s="0">
        <v>82</v>
      </c>
      <c r="AW234" t="s" s="0">
        <v>3643</v>
      </c>
      <c r="AX234" t="s" s="0">
        <v>3644</v>
      </c>
      <c r="AY234" t="s" s="0">
        <v>5900</v>
      </c>
      <c r="AZ234" t="s" s="0">
        <v>181</v>
      </c>
      <c r="BA234" t="s" s="0">
        <v>640</v>
      </c>
      <c r="BB234" t="s" s="0">
        <v>77</v>
      </c>
      <c r="BC234" t="s" s="0">
        <v>82</v>
      </c>
      <c r="BD234" t="s" s="0">
        <v>82</v>
      </c>
      <c r="BE234" t="s" s="0">
        <v>82</v>
      </c>
      <c r="BF234" t="s" s="0">
        <v>82</v>
      </c>
      <c r="BG234" t="s" s="0">
        <v>82</v>
      </c>
      <c r="BH234" t="s" s="0">
        <v>82</v>
      </c>
      <c r="BI234" t="s" s="0">
        <v>5901</v>
      </c>
      <c r="BJ234" t="s" s="0">
        <v>5902</v>
      </c>
      <c r="BK234" t="s" s="465">
        <f>HYPERLINK("http://dx.doi.org/10.1038/s41598-025-29043-w","http://dx.doi.org/10.1038/s41598-025-29043-w")</f>
        <v>5903</v>
      </c>
      <c r="BL234" t="s" s="0">
        <v>82</v>
      </c>
      <c r="BM234" t="s" s="0">
        <v>82</v>
      </c>
      <c r="BN234" t="s" s="0">
        <v>319</v>
      </c>
      <c r="BO234" t="s" s="0">
        <v>644</v>
      </c>
      <c r="BP234" t="s" s="0">
        <v>645</v>
      </c>
      <c r="BQ234" t="s" s="0">
        <v>5904</v>
      </c>
      <c r="BR234" t="s" s="0">
        <v>5905</v>
      </c>
      <c r="BS234" t="s" s="0">
        <v>5906</v>
      </c>
      <c r="BT234" t="s" s="466">
        <f>HYPERLINK("https://www.webofscience.com/wos/woscc/full-record/WOS:001669104400003","View Record in Web of Science")</f>
        <v>120</v>
      </c>
      <c r="BU234" t="s" s="0">
        <v>121</v>
      </c>
      <c r="BV234" t="s" s="0">
        <v>82</v>
      </c>
      <c r="BW234" t="s" s="0">
        <v>82</v>
      </c>
      <c r="BX234" t="s" s="0">
        <v>122</v>
      </c>
    </row>
    <row r="235">
      <c r="A235" t="s" s="0">
        <v>78</v>
      </c>
      <c r="B235" t="s" s="0">
        <v>78</v>
      </c>
      <c r="C235" t="s" s="0">
        <v>78</v>
      </c>
      <c r="D235" t="s" s="0">
        <v>78</v>
      </c>
      <c r="E235" t="s" s="0">
        <v>5907</v>
      </c>
      <c r="F235" t="s" s="0">
        <v>5908</v>
      </c>
      <c r="G235" t="s" s="0">
        <v>5909</v>
      </c>
      <c r="H235" t="s" s="0">
        <v>82</v>
      </c>
      <c r="I235" t="s" s="0">
        <v>297</v>
      </c>
      <c r="J235" t="s" s="0">
        <v>5910</v>
      </c>
      <c r="K235" t="s" s="0">
        <v>5911</v>
      </c>
      <c r="L235" t="s" s="0">
        <v>82</v>
      </c>
      <c r="M235" t="s" s="0">
        <v>82</v>
      </c>
      <c r="N235" t="s" s="0">
        <v>82</v>
      </c>
      <c r="O235" t="s" s="0">
        <v>5912</v>
      </c>
      <c r="P235" t="s" s="0">
        <v>5913</v>
      </c>
      <c r="Q235" t="s" s="0">
        <v>91</v>
      </c>
      <c r="R235" t="s" s="0">
        <v>82</v>
      </c>
      <c r="S235" t="s" s="0">
        <v>82</v>
      </c>
      <c r="T235" t="s" s="0">
        <v>82</v>
      </c>
      <c r="U235" t="s" s="0">
        <v>82</v>
      </c>
      <c r="V235" t="s" s="0">
        <v>5914</v>
      </c>
      <c r="W235" t="s" s="0">
        <v>5915</v>
      </c>
      <c r="X235" t="s" s="0">
        <v>82</v>
      </c>
      <c r="Y235" t="s" s="0">
        <v>82</v>
      </c>
      <c r="Z235" t="s" s="0">
        <v>94</v>
      </c>
      <c r="AA235" t="s" s="0">
        <v>95</v>
      </c>
      <c r="AB235" t="s" s="0">
        <v>82</v>
      </c>
      <c r="AC235" t="s" s="0">
        <v>82</v>
      </c>
      <c r="AD235" t="s" s="0">
        <v>82</v>
      </c>
      <c r="AE235" t="s" s="0">
        <v>82</v>
      </c>
      <c r="AF235" t="s" s="0">
        <v>82</v>
      </c>
      <c r="AG235" t="s" s="0">
        <v>5916</v>
      </c>
      <c r="AH235" t="s" s="0">
        <v>5917</v>
      </c>
      <c r="AI235" t="s" s="0">
        <v>5918</v>
      </c>
      <c r="AJ235" t="s" s="0">
        <v>5919</v>
      </c>
      <c r="AK235" t="s" s="0">
        <v>82</v>
      </c>
      <c r="AL235" t="s" s="0">
        <v>311</v>
      </c>
      <c r="AM235" t="s" s="0">
        <v>221</v>
      </c>
      <c r="AN235" t="s" s="0">
        <v>221</v>
      </c>
      <c r="AO235" t="s" s="0">
        <v>78</v>
      </c>
      <c r="AP235" t="s" s="0">
        <v>78</v>
      </c>
      <c r="AQ235" t="s" s="0">
        <v>103</v>
      </c>
      <c r="AR235" t="s" s="0">
        <v>104</v>
      </c>
      <c r="AS235" t="s" s="0">
        <v>105</v>
      </c>
      <c r="AT235" t="s" s="0">
        <v>82</v>
      </c>
      <c r="AU235" t="s" s="0">
        <v>5920</v>
      </c>
      <c r="AV235" t="s" s="0">
        <v>82</v>
      </c>
      <c r="AW235" t="s" s="0">
        <v>5915</v>
      </c>
      <c r="AX235" t="s" s="0">
        <v>5921</v>
      </c>
      <c r="AY235" t="s" s="0">
        <v>5922</v>
      </c>
      <c r="AZ235" t="s" s="0">
        <v>210</v>
      </c>
      <c r="BA235" t="s" s="0">
        <v>221</v>
      </c>
      <c r="BB235" t="s" s="0">
        <v>77</v>
      </c>
      <c r="BC235" t="s" s="0">
        <v>82</v>
      </c>
      <c r="BD235" t="s" s="0">
        <v>82</v>
      </c>
      <c r="BE235" t="s" s="0">
        <v>82</v>
      </c>
      <c r="BF235" t="s" s="0">
        <v>82</v>
      </c>
      <c r="BG235" t="s" s="0">
        <v>82</v>
      </c>
      <c r="BH235" t="s" s="0">
        <v>82</v>
      </c>
      <c r="BI235" t="s" s="0">
        <v>1478</v>
      </c>
      <c r="BJ235" t="s" s="0">
        <v>5923</v>
      </c>
      <c r="BK235" t="s" s="467">
        <f>HYPERLINK("http://dx.doi.org/10.1186/s42836-023-00208-0","http://dx.doi.org/10.1186/s42836-023-00208-0")</f>
        <v>5924</v>
      </c>
      <c r="BL235" t="s" s="0">
        <v>82</v>
      </c>
      <c r="BM235" t="s" s="0">
        <v>82</v>
      </c>
      <c r="BN235" t="s" s="0">
        <v>149</v>
      </c>
      <c r="BO235" t="s" s="0">
        <v>2964</v>
      </c>
      <c r="BP235" t="s" s="0">
        <v>2964</v>
      </c>
      <c r="BQ235" t="s" s="0">
        <v>5925</v>
      </c>
      <c r="BR235" t="s" s="0">
        <v>5926</v>
      </c>
      <c r="BS235" t="s" s="0">
        <v>5927</v>
      </c>
      <c r="BT235" t="s" s="468">
        <f>HYPERLINK("https://www.webofscience.com/wos/woscc/full-record/WOS:001098780400001","View Record in Web of Science")</f>
        <v>120</v>
      </c>
      <c r="BU235" t="s" s="0">
        <v>121</v>
      </c>
      <c r="BV235" t="s" s="0">
        <v>82</v>
      </c>
      <c r="BW235" t="s" s="0">
        <v>82</v>
      </c>
      <c r="BX235" t="s" s="0">
        <v>122</v>
      </c>
    </row>
    <row r="236">
      <c r="A236" t="s" s="0">
        <v>78</v>
      </c>
      <c r="B236" t="s" s="0">
        <v>78</v>
      </c>
      <c r="C236" t="s" s="0">
        <v>78</v>
      </c>
      <c r="D236" t="s" s="0">
        <v>78</v>
      </c>
      <c r="E236" t="s" s="0">
        <v>5928</v>
      </c>
      <c r="F236" t="s" s="0">
        <v>5929</v>
      </c>
      <c r="G236" t="s" s="0">
        <v>5930</v>
      </c>
      <c r="H236" t="s" s="0">
        <v>82</v>
      </c>
      <c r="I236" t="s" s="0">
        <v>83</v>
      </c>
      <c r="J236" t="s" s="0">
        <v>5931</v>
      </c>
      <c r="K236" t="s" s="0">
        <v>5932</v>
      </c>
      <c r="L236" t="s" s="0">
        <v>5933</v>
      </c>
      <c r="M236" t="s" s="0">
        <v>5934</v>
      </c>
      <c r="N236" t="s" s="0">
        <v>5935</v>
      </c>
      <c r="O236" t="s" s="0">
        <v>5936</v>
      </c>
      <c r="P236" t="s" s="0">
        <v>5937</v>
      </c>
      <c r="Q236" t="s" s="0">
        <v>91</v>
      </c>
      <c r="R236" t="s" s="0">
        <v>82</v>
      </c>
      <c r="S236" t="s" s="0">
        <v>82</v>
      </c>
      <c r="T236" t="s" s="0">
        <v>82</v>
      </c>
      <c r="U236" t="s" s="0">
        <v>82</v>
      </c>
      <c r="V236" t="s" s="0">
        <v>5938</v>
      </c>
      <c r="W236" t="s" s="0">
        <v>5939</v>
      </c>
      <c r="X236" t="s" s="0">
        <v>82</v>
      </c>
      <c r="Y236" t="s" s="0">
        <v>82</v>
      </c>
      <c r="Z236" t="s" s="0">
        <v>94</v>
      </c>
      <c r="AA236" t="s" s="0">
        <v>95</v>
      </c>
      <c r="AB236" t="s" s="0">
        <v>82</v>
      </c>
      <c r="AC236" t="s" s="0">
        <v>82</v>
      </c>
      <c r="AD236" t="s" s="0">
        <v>82</v>
      </c>
      <c r="AE236" t="s" s="0">
        <v>82</v>
      </c>
      <c r="AF236" t="s" s="0">
        <v>82</v>
      </c>
      <c r="AG236" t="s" s="0">
        <v>5940</v>
      </c>
      <c r="AH236" t="s" s="0">
        <v>5941</v>
      </c>
      <c r="AI236" t="s" s="0">
        <v>5942</v>
      </c>
      <c r="AJ236" t="s" s="0">
        <v>5943</v>
      </c>
      <c r="AK236" t="s" s="0">
        <v>82</v>
      </c>
      <c r="AL236" t="s" s="0">
        <v>1502</v>
      </c>
      <c r="AM236" t="s" s="0">
        <v>102</v>
      </c>
      <c r="AN236" t="s" s="0">
        <v>102</v>
      </c>
      <c r="AO236" t="s" s="0">
        <v>77</v>
      </c>
      <c r="AP236" t="s" s="0">
        <v>149</v>
      </c>
      <c r="AQ236" t="s" s="0">
        <v>575</v>
      </c>
      <c r="AR236" t="s" s="0">
        <v>104</v>
      </c>
      <c r="AS236" t="s" s="0">
        <v>576</v>
      </c>
      <c r="AT236" t="s" s="0">
        <v>5944</v>
      </c>
      <c r="AU236" t="s" s="0">
        <v>5945</v>
      </c>
      <c r="AV236" t="s" s="0">
        <v>82</v>
      </c>
      <c r="AW236" t="s" s="0">
        <v>5946</v>
      </c>
      <c r="AX236" t="s" s="0">
        <v>5947</v>
      </c>
      <c r="AY236" t="s" s="0">
        <v>2370</v>
      </c>
      <c r="AZ236" t="s" s="0">
        <v>110</v>
      </c>
      <c r="BA236" t="s" s="0">
        <v>745</v>
      </c>
      <c r="BB236" t="s" s="0">
        <v>101</v>
      </c>
      <c r="BC236" t="s" s="0">
        <v>82</v>
      </c>
      <c r="BD236" t="s" s="0">
        <v>82</v>
      </c>
      <c r="BE236" t="s" s="0">
        <v>82</v>
      </c>
      <c r="BF236" t="s" s="0">
        <v>82</v>
      </c>
      <c r="BG236" t="s" s="0">
        <v>945</v>
      </c>
      <c r="BH236" t="s" s="0">
        <v>5948</v>
      </c>
      <c r="BI236" t="s" s="0">
        <v>82</v>
      </c>
      <c r="BJ236" t="s" s="0">
        <v>5949</v>
      </c>
      <c r="BK236" t="s" s="469">
        <f>HYPERLINK("http://dx.doi.org/10.1136/emermed-2022-212440","http://dx.doi.org/10.1136/emermed-2022-212440")</f>
        <v>5950</v>
      </c>
      <c r="BL236" t="s" s="0">
        <v>82</v>
      </c>
      <c r="BM236" t="s" s="0">
        <v>804</v>
      </c>
      <c r="BN236" t="s" s="0">
        <v>136</v>
      </c>
      <c r="BO236" t="s" s="0">
        <v>5951</v>
      </c>
      <c r="BP236" t="s" s="0">
        <v>5951</v>
      </c>
      <c r="BQ236" t="s" s="0">
        <v>5952</v>
      </c>
      <c r="BR236" t="s" s="0">
        <v>5953</v>
      </c>
      <c r="BS236" t="s" s="0">
        <v>5954</v>
      </c>
      <c r="BT236" t="s" s="470">
        <f>HYPERLINK("https://www.webofscience.com/wos/woscc/full-record/WOS:001074665100001","View Record in Web of Science")</f>
        <v>120</v>
      </c>
      <c r="BU236" t="s" s="0">
        <v>2442</v>
      </c>
      <c r="BV236" t="s" s="0">
        <v>82</v>
      </c>
      <c r="BW236" t="s" s="0">
        <v>82</v>
      </c>
      <c r="BX236" t="s" s="0">
        <v>122</v>
      </c>
    </row>
    <row r="237">
      <c r="A237" t="s" s="0">
        <v>78</v>
      </c>
      <c r="B237" t="s" s="0">
        <v>78</v>
      </c>
      <c r="C237" t="s" s="0">
        <v>78</v>
      </c>
      <c r="D237" t="s" s="0">
        <v>78</v>
      </c>
      <c r="E237" t="s" s="0">
        <v>5955</v>
      </c>
      <c r="F237" t="s" s="0">
        <v>5956</v>
      </c>
      <c r="G237" t="s" s="0">
        <v>5957</v>
      </c>
      <c r="H237" t="s" s="0">
        <v>82</v>
      </c>
      <c r="I237" t="s" s="0">
        <v>83</v>
      </c>
      <c r="J237" t="s" s="0">
        <v>5958</v>
      </c>
      <c r="K237" t="s" s="0">
        <v>5959</v>
      </c>
      <c r="L237" t="s" s="0">
        <v>5960</v>
      </c>
      <c r="M237" t="s" s="0">
        <v>5961</v>
      </c>
      <c r="N237" t="s" s="0">
        <v>5962</v>
      </c>
      <c r="O237" t="s" s="0">
        <v>5963</v>
      </c>
      <c r="P237" t="s" s="0">
        <v>5964</v>
      </c>
      <c r="Q237" t="s" s="0">
        <v>91</v>
      </c>
      <c r="R237" t="s" s="0">
        <v>82</v>
      </c>
      <c r="S237" t="s" s="0">
        <v>82</v>
      </c>
      <c r="T237" t="s" s="0">
        <v>82</v>
      </c>
      <c r="U237" t="s" s="0">
        <v>82</v>
      </c>
      <c r="V237" t="s" s="0">
        <v>5965</v>
      </c>
      <c r="W237" t="s" s="0">
        <v>4291</v>
      </c>
      <c r="X237" t="s" s="0">
        <v>82</v>
      </c>
      <c r="Y237" t="s" s="0">
        <v>82</v>
      </c>
      <c r="Z237" t="s" s="0">
        <v>94</v>
      </c>
      <c r="AA237" t="s" s="0">
        <v>95</v>
      </c>
      <c r="AB237" t="s" s="0">
        <v>82</v>
      </c>
      <c r="AC237" t="s" s="0">
        <v>82</v>
      </c>
      <c r="AD237" t="s" s="0">
        <v>82</v>
      </c>
      <c r="AE237" t="s" s="0">
        <v>82</v>
      </c>
      <c r="AF237" t="s" s="0">
        <v>82</v>
      </c>
      <c r="AG237" t="s" s="0">
        <v>82</v>
      </c>
      <c r="AH237" t="s" s="0">
        <v>5966</v>
      </c>
      <c r="AI237" t="s" s="0">
        <v>5967</v>
      </c>
      <c r="AJ237" t="s" s="0">
        <v>5968</v>
      </c>
      <c r="AK237" t="s" s="0">
        <v>82</v>
      </c>
      <c r="AL237" t="s" s="0">
        <v>111</v>
      </c>
      <c r="AM237" t="s" s="0">
        <v>447</v>
      </c>
      <c r="AN237" t="s" s="0">
        <v>447</v>
      </c>
      <c r="AO237" t="s" s="0">
        <v>77</v>
      </c>
      <c r="AP237" t="s" s="0">
        <v>77</v>
      </c>
      <c r="AQ237" t="s" s="0">
        <v>4295</v>
      </c>
      <c r="AR237" t="s" s="0">
        <v>4296</v>
      </c>
      <c r="AS237" t="s" s="0">
        <v>4297</v>
      </c>
      <c r="AT237" t="s" s="0">
        <v>82</v>
      </c>
      <c r="AU237" t="s" s="0">
        <v>4298</v>
      </c>
      <c r="AV237" t="s" s="0">
        <v>82</v>
      </c>
      <c r="AW237" t="s" s="0">
        <v>4291</v>
      </c>
      <c r="AX237" t="s" s="0">
        <v>4299</v>
      </c>
      <c r="AY237" t="s" s="0">
        <v>5969</v>
      </c>
      <c r="AZ237" t="s" s="0">
        <v>181</v>
      </c>
      <c r="BA237" t="s" s="0">
        <v>831</v>
      </c>
      <c r="BB237" t="s" s="0">
        <v>77</v>
      </c>
      <c r="BC237" t="s" s="0">
        <v>82</v>
      </c>
      <c r="BD237" t="s" s="0">
        <v>82</v>
      </c>
      <c r="BE237" t="s" s="0">
        <v>82</v>
      </c>
      <c r="BF237" t="s" s="0">
        <v>82</v>
      </c>
      <c r="BG237" t="s" s="0">
        <v>82</v>
      </c>
      <c r="BH237" t="s" s="0">
        <v>82</v>
      </c>
      <c r="BI237" t="s" s="0">
        <v>5970</v>
      </c>
      <c r="BJ237" t="s" s="0">
        <v>5971</v>
      </c>
      <c r="BK237" t="s" s="471">
        <f>HYPERLINK("http://dx.doi.org/10.1371/journal.pone.0339276","http://dx.doi.org/10.1371/journal.pone.0339276")</f>
        <v>5972</v>
      </c>
      <c r="BL237" t="s" s="0">
        <v>82</v>
      </c>
      <c r="BM237" t="s" s="0">
        <v>82</v>
      </c>
      <c r="BN237" t="s" s="0">
        <v>115</v>
      </c>
      <c r="BO237" t="s" s="0">
        <v>644</v>
      </c>
      <c r="BP237" t="s" s="0">
        <v>645</v>
      </c>
      <c r="BQ237" t="s" s="0">
        <v>5973</v>
      </c>
      <c r="BR237" t="s" s="0">
        <v>5974</v>
      </c>
      <c r="BS237" t="s" s="0">
        <v>5975</v>
      </c>
      <c r="BT237" t="s" s="472">
        <f>HYPERLINK("https://www.webofscience.com/wos/woscc/full-record/WOS:001680464900039","View Record in Web of Science")</f>
        <v>120</v>
      </c>
      <c r="BU237" t="s" s="0">
        <v>121</v>
      </c>
      <c r="BV237" t="s" s="0">
        <v>82</v>
      </c>
      <c r="BW237" t="s" s="0">
        <v>82</v>
      </c>
      <c r="BX237" t="s" s="0">
        <v>122</v>
      </c>
    </row>
    <row r="238">
      <c r="A238" t="s" s="0">
        <v>78</v>
      </c>
      <c r="B238" t="s" s="0">
        <v>78</v>
      </c>
      <c r="C238" t="s" s="0">
        <v>78</v>
      </c>
      <c r="D238" t="s" s="0">
        <v>78</v>
      </c>
      <c r="E238" t="s" s="0">
        <v>5976</v>
      </c>
      <c r="F238" t="s" s="0">
        <v>5977</v>
      </c>
      <c r="G238" t="s" s="0">
        <v>5978</v>
      </c>
      <c r="H238" t="s" s="0">
        <v>82</v>
      </c>
      <c r="I238" t="s" s="0">
        <v>83</v>
      </c>
      <c r="J238" t="s" s="0">
        <v>5979</v>
      </c>
      <c r="K238" t="s" s="0">
        <v>5980</v>
      </c>
      <c r="L238" t="s" s="0">
        <v>5981</v>
      </c>
      <c r="M238" t="s" s="0">
        <v>5981</v>
      </c>
      <c r="N238" t="s" s="0">
        <v>5982</v>
      </c>
      <c r="O238" t="s" s="0">
        <v>5983</v>
      </c>
      <c r="P238" t="s" s="0">
        <v>5984</v>
      </c>
      <c r="Q238" t="s" s="0">
        <v>91</v>
      </c>
      <c r="R238" t="s" s="0">
        <v>82</v>
      </c>
      <c r="S238" t="s" s="0">
        <v>82</v>
      </c>
      <c r="T238" t="s" s="0">
        <v>82</v>
      </c>
      <c r="U238" t="s" s="0">
        <v>82</v>
      </c>
      <c r="V238" t="s" s="0">
        <v>5985</v>
      </c>
      <c r="W238" t="s" s="0">
        <v>5986</v>
      </c>
      <c r="X238" t="s" s="0">
        <v>82</v>
      </c>
      <c r="Y238" t="s" s="0">
        <v>82</v>
      </c>
      <c r="Z238" t="s" s="0">
        <v>94</v>
      </c>
      <c r="AA238" t="s" s="0">
        <v>95</v>
      </c>
      <c r="AB238" t="s" s="0">
        <v>82</v>
      </c>
      <c r="AC238" t="s" s="0">
        <v>82</v>
      </c>
      <c r="AD238" t="s" s="0">
        <v>82</v>
      </c>
      <c r="AE238" t="s" s="0">
        <v>82</v>
      </c>
      <c r="AF238" t="s" s="0">
        <v>82</v>
      </c>
      <c r="AG238" t="s" s="0">
        <v>5987</v>
      </c>
      <c r="AH238" t="s" s="0">
        <v>5988</v>
      </c>
      <c r="AI238" t="s" s="0">
        <v>5989</v>
      </c>
      <c r="AJ238" t="s" s="0">
        <v>82</v>
      </c>
      <c r="AK238" t="s" s="0">
        <v>82</v>
      </c>
      <c r="AL238" t="s" s="0">
        <v>1161</v>
      </c>
      <c r="AM238" t="s" s="0">
        <v>78</v>
      </c>
      <c r="AN238" t="s" s="0">
        <v>78</v>
      </c>
      <c r="AO238" t="s" s="0">
        <v>77</v>
      </c>
      <c r="AP238" t="s" s="0">
        <v>77</v>
      </c>
      <c r="AQ238" t="s" s="0">
        <v>491</v>
      </c>
      <c r="AR238" t="s" s="0">
        <v>492</v>
      </c>
      <c r="AS238" t="s" s="0">
        <v>493</v>
      </c>
      <c r="AT238" t="s" s="0">
        <v>5990</v>
      </c>
      <c r="AU238" t="s" s="0">
        <v>5991</v>
      </c>
      <c r="AV238" t="s" s="0">
        <v>82</v>
      </c>
      <c r="AW238" t="s" s="0">
        <v>5992</v>
      </c>
      <c r="AX238" t="s" s="0">
        <v>5993</v>
      </c>
      <c r="AY238" t="s" s="0">
        <v>3226</v>
      </c>
      <c r="AZ238" t="s" s="0">
        <v>181</v>
      </c>
      <c r="BA238" t="s" s="0">
        <v>2633</v>
      </c>
      <c r="BB238" t="s" s="0">
        <v>77</v>
      </c>
      <c r="BC238" t="s" s="0">
        <v>82</v>
      </c>
      <c r="BD238" t="s" s="0">
        <v>82</v>
      </c>
      <c r="BE238" t="s" s="0">
        <v>82</v>
      </c>
      <c r="BF238" t="s" s="0">
        <v>82</v>
      </c>
      <c r="BG238" t="s" s="0">
        <v>2759</v>
      </c>
      <c r="BH238" t="s" s="0">
        <v>5994</v>
      </c>
      <c r="BI238" t="s" s="0">
        <v>82</v>
      </c>
      <c r="BJ238" t="s" s="0">
        <v>5995</v>
      </c>
      <c r="BK238" t="s" s="473">
        <f>HYPERLINK("http://dx.doi.org/10.1093/ejendo/lvag114","http://dx.doi.org/10.1093/ejendo/lvag114")</f>
        <v>5996</v>
      </c>
      <c r="BL238" t="s" s="0">
        <v>82</v>
      </c>
      <c r="BM238" t="s" s="0">
        <v>82</v>
      </c>
      <c r="BN238" t="s" s="0">
        <v>245</v>
      </c>
      <c r="BO238" t="s" s="0">
        <v>697</v>
      </c>
      <c r="BP238" t="s" s="0">
        <v>697</v>
      </c>
      <c r="BQ238" t="s" s="0">
        <v>5997</v>
      </c>
      <c r="BR238" t="s" s="0">
        <v>5998</v>
      </c>
      <c r="BS238" t="s" s="0">
        <v>5999</v>
      </c>
      <c r="BT238" t="s" s="474">
        <f>HYPERLINK("https://www.webofscience.com/wos/woscc/full-record/WOS:001815103900001","View Record in Web of Science")</f>
        <v>120</v>
      </c>
      <c r="BU238" t="s" s="0">
        <v>159</v>
      </c>
      <c r="BV238" t="s" s="0">
        <v>82</v>
      </c>
      <c r="BW238" t="s" s="0">
        <v>82</v>
      </c>
      <c r="BX238" t="s" s="0">
        <v>122</v>
      </c>
    </row>
    <row r="239">
      <c r="A239" t="s" s="0">
        <v>78</v>
      </c>
      <c r="B239" t="s" s="0">
        <v>78</v>
      </c>
      <c r="C239" t="s" s="0">
        <v>78</v>
      </c>
      <c r="D239" t="s" s="0">
        <v>78</v>
      </c>
      <c r="E239" t="s" s="0">
        <v>6000</v>
      </c>
      <c r="F239" t="s" s="0">
        <v>6001</v>
      </c>
      <c r="G239" t="s" s="0">
        <v>6002</v>
      </c>
      <c r="H239" t="s" s="0">
        <v>82</v>
      </c>
      <c r="I239" t="s" s="0">
        <v>297</v>
      </c>
      <c r="J239" t="s" s="0">
        <v>6003</v>
      </c>
      <c r="K239" t="s" s="0">
        <v>6004</v>
      </c>
      <c r="L239" t="s" s="0">
        <v>82</v>
      </c>
      <c r="M239" t="s" s="0">
        <v>82</v>
      </c>
      <c r="N239" t="s" s="0">
        <v>82</v>
      </c>
      <c r="O239" t="s" s="0">
        <v>6005</v>
      </c>
      <c r="P239" t="s" s="0">
        <v>6006</v>
      </c>
      <c r="Q239" t="s" s="0">
        <v>91</v>
      </c>
      <c r="R239" t="s" s="0">
        <v>82</v>
      </c>
      <c r="S239" t="s" s="0">
        <v>82</v>
      </c>
      <c r="T239" t="s" s="0">
        <v>82</v>
      </c>
      <c r="U239" t="s" s="0">
        <v>82</v>
      </c>
      <c r="V239" t="s" s="0">
        <v>6007</v>
      </c>
      <c r="W239" t="s" s="0">
        <v>6008</v>
      </c>
      <c r="X239" t="s" s="0">
        <v>82</v>
      </c>
      <c r="Y239" t="s" s="0">
        <v>82</v>
      </c>
      <c r="Z239" t="s" s="0">
        <v>94</v>
      </c>
      <c r="AA239" t="s" s="0">
        <v>95</v>
      </c>
      <c r="AB239" t="s" s="0">
        <v>82</v>
      </c>
      <c r="AC239" t="s" s="0">
        <v>82</v>
      </c>
      <c r="AD239" t="s" s="0">
        <v>82</v>
      </c>
      <c r="AE239" t="s" s="0">
        <v>82</v>
      </c>
      <c r="AF239" t="s" s="0">
        <v>82</v>
      </c>
      <c r="AG239" t="s" s="0">
        <v>82</v>
      </c>
      <c r="AH239" t="s" s="0">
        <v>6009</v>
      </c>
      <c r="AI239" t="s" s="0">
        <v>6010</v>
      </c>
      <c r="AJ239" t="s" s="0">
        <v>6011</v>
      </c>
      <c r="AK239" t="s" s="0">
        <v>82</v>
      </c>
      <c r="AL239" t="s" s="0">
        <v>1658</v>
      </c>
      <c r="AM239" t="s" s="0">
        <v>78</v>
      </c>
      <c r="AN239" t="s" s="0">
        <v>77</v>
      </c>
      <c r="AO239" t="s" s="0">
        <v>78</v>
      </c>
      <c r="AP239" t="s" s="0">
        <v>78</v>
      </c>
      <c r="AQ239" t="s" s="0">
        <v>832</v>
      </c>
      <c r="AR239" t="s" s="0">
        <v>833</v>
      </c>
      <c r="AS239" t="s" s="0">
        <v>834</v>
      </c>
      <c r="AT239" t="s" s="0">
        <v>6012</v>
      </c>
      <c r="AU239" t="s" s="0">
        <v>82</v>
      </c>
      <c r="AV239" t="s" s="0">
        <v>82</v>
      </c>
      <c r="AW239" t="s" s="0">
        <v>6013</v>
      </c>
      <c r="AX239" t="s" s="0">
        <v>6014</v>
      </c>
      <c r="AY239" t="s" s="0">
        <v>1425</v>
      </c>
      <c r="AZ239" t="s" s="0">
        <v>147</v>
      </c>
      <c r="BA239" t="s" s="0">
        <v>319</v>
      </c>
      <c r="BB239" t="s" s="0">
        <v>82</v>
      </c>
      <c r="BC239" t="s" s="0">
        <v>82</v>
      </c>
      <c r="BD239" t="s" s="0">
        <v>82</v>
      </c>
      <c r="BE239" t="s" s="0">
        <v>82</v>
      </c>
      <c r="BF239" t="s" s="0">
        <v>82</v>
      </c>
      <c r="BG239" t="s" s="0">
        <v>82</v>
      </c>
      <c r="BH239" t="s" s="0">
        <v>82</v>
      </c>
      <c r="BI239" t="s" s="0">
        <v>6015</v>
      </c>
      <c r="BJ239" t="s" s="0">
        <v>6016</v>
      </c>
      <c r="BK239" t="s" s="475">
        <f>HYPERLINK("http://dx.doi.org/10.1200/CCI-25-00086","http://dx.doi.org/10.1200/CCI-25-00086")</f>
        <v>6017</v>
      </c>
      <c r="BL239" t="s" s="0">
        <v>82</v>
      </c>
      <c r="BM239" t="s" s="0">
        <v>82</v>
      </c>
      <c r="BN239" t="s" s="0">
        <v>319</v>
      </c>
      <c r="BO239" t="s" s="0">
        <v>4833</v>
      </c>
      <c r="BP239" t="s" s="0">
        <v>4833</v>
      </c>
      <c r="BQ239" t="s" s="0">
        <v>6018</v>
      </c>
      <c r="BR239" t="s" s="0">
        <v>6019</v>
      </c>
      <c r="BS239" t="s" s="0">
        <v>6020</v>
      </c>
      <c r="BT239" t="s" s="476">
        <f>HYPERLINK("https://www.webofscience.com/wos/woscc/full-record/WOS:001610944500001","View Record in Web of Science")</f>
        <v>120</v>
      </c>
      <c r="BU239" t="s" s="0">
        <v>82</v>
      </c>
      <c r="BV239" t="s" s="0">
        <v>82</v>
      </c>
      <c r="BW239" t="s" s="0">
        <v>82</v>
      </c>
      <c r="BX239" t="s" s="0">
        <v>122</v>
      </c>
    </row>
    <row r="240">
      <c r="A240" t="s" s="0">
        <v>78</v>
      </c>
      <c r="B240" t="s" s="0">
        <v>78</v>
      </c>
      <c r="C240" t="s" s="0">
        <v>78</v>
      </c>
      <c r="D240" t="s" s="0">
        <v>78</v>
      </c>
      <c r="E240" t="s" s="0">
        <v>6021</v>
      </c>
      <c r="F240" t="s" s="0">
        <v>6022</v>
      </c>
      <c r="G240" t="s" s="0">
        <v>6023</v>
      </c>
      <c r="H240" t="s" s="0">
        <v>82</v>
      </c>
      <c r="I240" t="s" s="0">
        <v>589</v>
      </c>
      <c r="J240" t="s" s="0">
        <v>6024</v>
      </c>
      <c r="K240" t="s" s="0">
        <v>6025</v>
      </c>
      <c r="L240" t="s" s="0">
        <v>6026</v>
      </c>
      <c r="M240" t="s" s="0">
        <v>6027</v>
      </c>
      <c r="N240" t="s" s="0">
        <v>6028</v>
      </c>
      <c r="O240" t="s" s="0">
        <v>6029</v>
      </c>
      <c r="P240" t="s" s="0">
        <v>6030</v>
      </c>
      <c r="Q240" t="s" s="0">
        <v>91</v>
      </c>
      <c r="R240" t="s" s="0">
        <v>82</v>
      </c>
      <c r="S240" t="s" s="0">
        <v>82</v>
      </c>
      <c r="T240" t="s" s="0">
        <v>82</v>
      </c>
      <c r="U240" t="s" s="0">
        <v>82</v>
      </c>
      <c r="V240" t="s" s="0">
        <v>6031</v>
      </c>
      <c r="W240" t="s" s="0">
        <v>6032</v>
      </c>
      <c r="X240" t="s" s="0">
        <v>82</v>
      </c>
      <c r="Y240" t="s" s="0">
        <v>82</v>
      </c>
      <c r="Z240" t="s" s="0">
        <v>94</v>
      </c>
      <c r="AA240" t="s" s="0">
        <v>95</v>
      </c>
      <c r="AB240" t="s" s="0">
        <v>82</v>
      </c>
      <c r="AC240" t="s" s="0">
        <v>82</v>
      </c>
      <c r="AD240" t="s" s="0">
        <v>82</v>
      </c>
      <c r="AE240" t="s" s="0">
        <v>82</v>
      </c>
      <c r="AF240" t="s" s="0">
        <v>82</v>
      </c>
      <c r="AG240" t="s" s="0">
        <v>6033</v>
      </c>
      <c r="AH240" t="s" s="0">
        <v>6034</v>
      </c>
      <c r="AI240" t="s" s="0">
        <v>6035</v>
      </c>
      <c r="AJ240" t="s" s="0">
        <v>82</v>
      </c>
      <c r="AK240" t="s" s="0">
        <v>82</v>
      </c>
      <c r="AL240" t="s" s="0">
        <v>3171</v>
      </c>
      <c r="AM240" t="s" s="0">
        <v>447</v>
      </c>
      <c r="AN240" t="s" s="0">
        <v>447</v>
      </c>
      <c r="AO240" t="s" s="0">
        <v>375</v>
      </c>
      <c r="AP240" t="s" s="0">
        <v>115</v>
      </c>
      <c r="AQ240" t="s" s="0">
        <v>277</v>
      </c>
      <c r="AR240" t="s" s="0">
        <v>278</v>
      </c>
      <c r="AS240" t="s" s="0">
        <v>279</v>
      </c>
      <c r="AT240" t="s" s="0">
        <v>6036</v>
      </c>
      <c r="AU240" t="s" s="0">
        <v>6037</v>
      </c>
      <c r="AV240" t="s" s="0">
        <v>82</v>
      </c>
      <c r="AW240" t="s" s="0">
        <v>6038</v>
      </c>
      <c r="AX240" t="s" s="0">
        <v>6039</v>
      </c>
      <c r="AY240" t="s" s="0">
        <v>6040</v>
      </c>
      <c r="AZ240" t="s" s="0">
        <v>181</v>
      </c>
      <c r="BA240" t="s" s="0">
        <v>6041</v>
      </c>
      <c r="BB240" t="s" s="0">
        <v>82</v>
      </c>
      <c r="BC240" t="s" s="0">
        <v>82</v>
      </c>
      <c r="BD240" t="s" s="0">
        <v>6042</v>
      </c>
      <c r="BE240" t="s" s="0">
        <v>82</v>
      </c>
      <c r="BF240" t="s" s="0">
        <v>82</v>
      </c>
      <c r="BG240" t="s" s="0">
        <v>82</v>
      </c>
      <c r="BH240" t="s" s="0">
        <v>82</v>
      </c>
      <c r="BI240" t="s" s="0">
        <v>6043</v>
      </c>
      <c r="BJ240" t="s" s="0">
        <v>6044</v>
      </c>
      <c r="BK240" t="s" s="477">
        <f>HYPERLINK("http://dx.doi.org/10.1016/j.jad.2025.120520","http://dx.doi.org/10.1016/j.jad.2025.120520")</f>
        <v>6045</v>
      </c>
      <c r="BL240" t="s" s="0">
        <v>82</v>
      </c>
      <c r="BM240" t="s" s="0">
        <v>1425</v>
      </c>
      <c r="BN240" t="s" s="0">
        <v>245</v>
      </c>
      <c r="BO240" t="s" s="0">
        <v>6046</v>
      </c>
      <c r="BP240" t="s" s="0">
        <v>6047</v>
      </c>
      <c r="BQ240" t="s" s="0">
        <v>6048</v>
      </c>
      <c r="BR240" t="s" s="0">
        <v>6049</v>
      </c>
      <c r="BS240" t="s" s="0">
        <v>6050</v>
      </c>
      <c r="BT240" t="s" s="478">
        <f>HYPERLINK("https://www.webofscience.com/wos/woscc/full-record/WOS:001629192300001","View Record in Web of Science")</f>
        <v>120</v>
      </c>
      <c r="BU240" t="s" s="0">
        <v>82</v>
      </c>
      <c r="BV240" t="s" s="0">
        <v>82</v>
      </c>
      <c r="BW240" t="s" s="0">
        <v>82</v>
      </c>
      <c r="BX240" t="s" s="0">
        <v>122</v>
      </c>
    </row>
    <row r="241">
      <c r="A241" t="s" s="0">
        <v>78</v>
      </c>
      <c r="B241" t="s" s="0">
        <v>78</v>
      </c>
      <c r="C241" t="s" s="0">
        <v>77</v>
      </c>
      <c r="D241" t="s" s="0">
        <v>78</v>
      </c>
      <c r="E241" t="s" s="0">
        <v>6051</v>
      </c>
      <c r="F241" t="s" s="0">
        <v>6052</v>
      </c>
      <c r="G241" t="s" s="0">
        <v>6053</v>
      </c>
      <c r="H241" t="s" s="0">
        <v>82</v>
      </c>
      <c r="I241" t="s" s="0">
        <v>83</v>
      </c>
      <c r="J241" t="s" s="0">
        <v>6054</v>
      </c>
      <c r="K241" t="s" s="0">
        <v>6055</v>
      </c>
      <c r="L241" t="s" s="0">
        <v>82</v>
      </c>
      <c r="M241" t="s" s="0">
        <v>82</v>
      </c>
      <c r="N241" t="s" s="0">
        <v>82</v>
      </c>
      <c r="O241" t="s" s="0">
        <v>6056</v>
      </c>
      <c r="P241" t="s" s="0">
        <v>6057</v>
      </c>
      <c r="Q241" t="s" s="0">
        <v>91</v>
      </c>
      <c r="R241" t="s" s="0">
        <v>82</v>
      </c>
      <c r="S241" t="s" s="0">
        <v>82</v>
      </c>
      <c r="T241" t="s" s="0">
        <v>82</v>
      </c>
      <c r="U241" t="s" s="0">
        <v>82</v>
      </c>
      <c r="V241" t="s" s="0">
        <v>6058</v>
      </c>
      <c r="W241" t="s" s="0">
        <v>4111</v>
      </c>
      <c r="X241" t="s" s="0">
        <v>82</v>
      </c>
      <c r="Y241" t="s" s="0">
        <v>82</v>
      </c>
      <c r="Z241" t="s" s="0">
        <v>94</v>
      </c>
      <c r="AA241" t="s" s="0">
        <v>95</v>
      </c>
      <c r="AB241" t="s" s="0">
        <v>82</v>
      </c>
      <c r="AC241" t="s" s="0">
        <v>82</v>
      </c>
      <c r="AD241" t="s" s="0">
        <v>82</v>
      </c>
      <c r="AE241" t="s" s="0">
        <v>82</v>
      </c>
      <c r="AF241" t="s" s="0">
        <v>82</v>
      </c>
      <c r="AG241" t="s" s="0">
        <v>6059</v>
      </c>
      <c r="AH241" t="s" s="0">
        <v>6060</v>
      </c>
      <c r="AI241" t="s" s="0">
        <v>6061</v>
      </c>
      <c r="AJ241" t="s" s="0">
        <v>6062</v>
      </c>
      <c r="AK241" t="s" s="0">
        <v>82</v>
      </c>
      <c r="AL241" t="s" s="0">
        <v>344</v>
      </c>
      <c r="AM241" t="s" s="0">
        <v>102</v>
      </c>
      <c r="AN241" t="s" s="0">
        <v>102</v>
      </c>
      <c r="AO241" t="s" s="0">
        <v>78</v>
      </c>
      <c r="AP241" t="s" s="0">
        <v>102</v>
      </c>
      <c r="AQ241" t="s" s="0">
        <v>2051</v>
      </c>
      <c r="AR241" t="s" s="0">
        <v>203</v>
      </c>
      <c r="AS241" t="s" s="0">
        <v>2052</v>
      </c>
      <c r="AT241" t="s" s="0">
        <v>4116</v>
      </c>
      <c r="AU241" t="s" s="0">
        <v>4117</v>
      </c>
      <c r="AV241" t="s" s="0">
        <v>82</v>
      </c>
      <c r="AW241" t="s" s="0">
        <v>4118</v>
      </c>
      <c r="AX241" t="s" s="0">
        <v>4119</v>
      </c>
      <c r="AY241" t="s" s="0">
        <v>810</v>
      </c>
      <c r="AZ241" t="s" s="0">
        <v>210</v>
      </c>
      <c r="BA241" t="s" s="0">
        <v>3171</v>
      </c>
      <c r="BB241" t="s" s="0">
        <v>138</v>
      </c>
      <c r="BC241" t="s" s="0">
        <v>82</v>
      </c>
      <c r="BD241" t="s" s="0">
        <v>82</v>
      </c>
      <c r="BE241" t="s" s="0">
        <v>82</v>
      </c>
      <c r="BF241" t="s" s="0">
        <v>82</v>
      </c>
      <c r="BG241" t="s" s="0">
        <v>6063</v>
      </c>
      <c r="BH241" t="s" s="0">
        <v>6064</v>
      </c>
      <c r="BI241" t="s" s="0">
        <v>82</v>
      </c>
      <c r="BJ241" t="s" s="0">
        <v>6065</v>
      </c>
      <c r="BK241" t="s" s="479">
        <f>HYPERLINK("http://dx.doi.org/10.1007/s00261-023-03907-z","http://dx.doi.org/10.1007/s00261-023-03907-z")</f>
        <v>6066</v>
      </c>
      <c r="BL241" t="s" s="0">
        <v>82</v>
      </c>
      <c r="BM241" t="s" s="0">
        <v>6067</v>
      </c>
      <c r="BN241" t="s" s="0">
        <v>245</v>
      </c>
      <c r="BO241" t="s" s="0">
        <v>414</v>
      </c>
      <c r="BP241" t="s" s="0">
        <v>414</v>
      </c>
      <c r="BQ241" t="s" s="0">
        <v>6068</v>
      </c>
      <c r="BR241" t="s" s="0">
        <v>6069</v>
      </c>
      <c r="BS241" t="s" s="0">
        <v>6070</v>
      </c>
      <c r="BT241" t="s" s="480">
        <f>HYPERLINK("https://www.webofscience.com/wos/woscc/full-record/WOS:000970872400001","View Record in Web of Science")</f>
        <v>120</v>
      </c>
      <c r="BU241" t="s" s="0">
        <v>82</v>
      </c>
      <c r="BV241" t="s" s="0">
        <v>82</v>
      </c>
      <c r="BW241" t="s" s="0">
        <v>82</v>
      </c>
      <c r="BX241" t="s" s="0">
        <v>122</v>
      </c>
    </row>
    <row r="242">
      <c r="A242" t="s" s="0">
        <v>78</v>
      </c>
      <c r="B242" t="s" s="0">
        <v>78</v>
      </c>
      <c r="C242" t="s" s="0">
        <v>78</v>
      </c>
      <c r="D242" t="s" s="0">
        <v>78</v>
      </c>
      <c r="E242" t="s" s="0">
        <v>6071</v>
      </c>
      <c r="F242" t="s" s="0">
        <v>6072</v>
      </c>
      <c r="G242" t="s" s="0">
        <v>6073</v>
      </c>
      <c r="H242" t="s" s="0">
        <v>82</v>
      </c>
      <c r="I242" t="s" s="0">
        <v>83</v>
      </c>
      <c r="J242" t="s" s="0">
        <v>6074</v>
      </c>
      <c r="K242" t="s" s="0">
        <v>6075</v>
      </c>
      <c r="L242" t="s" s="0">
        <v>6076</v>
      </c>
      <c r="M242" t="s" s="0">
        <v>6077</v>
      </c>
      <c r="N242" t="s" s="0">
        <v>6078</v>
      </c>
      <c r="O242" t="s" s="0">
        <v>6079</v>
      </c>
      <c r="P242" t="s" s="0">
        <v>6080</v>
      </c>
      <c r="Q242" t="s" s="0">
        <v>91</v>
      </c>
      <c r="R242" t="s" s="0">
        <v>82</v>
      </c>
      <c r="S242" t="s" s="0">
        <v>82</v>
      </c>
      <c r="T242" t="s" s="0">
        <v>82</v>
      </c>
      <c r="U242" t="s" s="0">
        <v>82</v>
      </c>
      <c r="V242" t="s" s="0">
        <v>6081</v>
      </c>
      <c r="W242" t="s" s="0">
        <v>4704</v>
      </c>
      <c r="X242" t="s" s="0">
        <v>82</v>
      </c>
      <c r="Y242" t="s" s="0">
        <v>82</v>
      </c>
      <c r="Z242" t="s" s="0">
        <v>94</v>
      </c>
      <c r="AA242" t="s" s="0">
        <v>95</v>
      </c>
      <c r="AB242" t="s" s="0">
        <v>82</v>
      </c>
      <c r="AC242" t="s" s="0">
        <v>82</v>
      </c>
      <c r="AD242" t="s" s="0">
        <v>82</v>
      </c>
      <c r="AE242" t="s" s="0">
        <v>82</v>
      </c>
      <c r="AF242" t="s" s="0">
        <v>82</v>
      </c>
      <c r="AG242" t="s" s="0">
        <v>6082</v>
      </c>
      <c r="AH242" t="s" s="0">
        <v>6083</v>
      </c>
      <c r="AI242" t="s" s="0">
        <v>82</v>
      </c>
      <c r="AJ242" t="s" s="0">
        <v>82</v>
      </c>
      <c r="AK242" t="s" s="0">
        <v>82</v>
      </c>
      <c r="AL242" t="s" s="0">
        <v>201</v>
      </c>
      <c r="AM242" t="s" s="0">
        <v>78</v>
      </c>
      <c r="AN242" t="s" s="0">
        <v>78</v>
      </c>
      <c r="AO242" t="s" s="0">
        <v>102</v>
      </c>
      <c r="AP242" t="s" s="0">
        <v>102</v>
      </c>
      <c r="AQ242" t="s" s="0">
        <v>400</v>
      </c>
      <c r="AR242" t="s" s="0">
        <v>401</v>
      </c>
      <c r="AS242" t="s" s="0">
        <v>402</v>
      </c>
      <c r="AT242" t="s" s="0">
        <v>4707</v>
      </c>
      <c r="AU242" t="s" s="0">
        <v>4708</v>
      </c>
      <c r="AV242" t="s" s="0">
        <v>82</v>
      </c>
      <c r="AW242" t="s" s="0">
        <v>4709</v>
      </c>
      <c r="AX242" t="s" s="0">
        <v>4710</v>
      </c>
      <c r="AY242" t="s" s="0">
        <v>6084</v>
      </c>
      <c r="AZ242" t="s" s="0">
        <v>181</v>
      </c>
      <c r="BA242" t="s" s="0">
        <v>6085</v>
      </c>
      <c r="BB242" t="s" s="0">
        <v>82</v>
      </c>
      <c r="BC242" t="s" s="0">
        <v>82</v>
      </c>
      <c r="BD242" t="s" s="0">
        <v>82</v>
      </c>
      <c r="BE242" t="s" s="0">
        <v>82</v>
      </c>
      <c r="BF242" t="s" s="0">
        <v>82</v>
      </c>
      <c r="BG242" t="s" s="0">
        <v>82</v>
      </c>
      <c r="BH242" t="s" s="0">
        <v>82</v>
      </c>
      <c r="BI242" t="s" s="0">
        <v>6086</v>
      </c>
      <c r="BJ242" t="s" s="0">
        <v>6087</v>
      </c>
      <c r="BK242" t="s" s="481">
        <f>HYPERLINK("http://dx.doi.org/10.1016/j.ijmedinf.2026.106541","http://dx.doi.org/10.1016/j.ijmedinf.2026.106541")</f>
        <v>6088</v>
      </c>
      <c r="BL242" t="s" s="0">
        <v>82</v>
      </c>
      <c r="BM242" t="s" s="0">
        <v>82</v>
      </c>
      <c r="BN242" t="s" s="0">
        <v>319</v>
      </c>
      <c r="BO242" t="s" s="0">
        <v>4716</v>
      </c>
      <c r="BP242" t="s" s="0">
        <v>4717</v>
      </c>
      <c r="BQ242" t="s" s="0">
        <v>6089</v>
      </c>
      <c r="BR242" t="s" s="0">
        <v>6090</v>
      </c>
      <c r="BS242" t="s" s="0">
        <v>6091</v>
      </c>
      <c r="BT242" t="s" s="482">
        <f>HYPERLINK("https://www.webofscience.com/wos/woscc/full-record/WOS:001798910100001","View Record in Web of Science")</f>
        <v>120</v>
      </c>
      <c r="BU242" t="s" s="0">
        <v>82</v>
      </c>
      <c r="BV242" t="s" s="0">
        <v>82</v>
      </c>
      <c r="BW242" t="s" s="0">
        <v>82</v>
      </c>
      <c r="BX242" t="s" s="0">
        <v>122</v>
      </c>
    </row>
    <row r="243">
      <c r="A243" t="s" s="0">
        <v>78</v>
      </c>
      <c r="B243" t="s" s="0">
        <v>78</v>
      </c>
      <c r="C243" t="s" s="0">
        <v>78</v>
      </c>
      <c r="D243" t="s" s="0">
        <v>78</v>
      </c>
      <c r="E243" t="s" s="0">
        <v>6092</v>
      </c>
      <c r="F243" t="s" s="0">
        <v>6093</v>
      </c>
      <c r="G243" t="s" s="0">
        <v>6094</v>
      </c>
      <c r="H243" t="s" s="0">
        <v>82</v>
      </c>
      <c r="I243" t="s" s="0">
        <v>83</v>
      </c>
      <c r="J243" t="s" s="0">
        <v>6095</v>
      </c>
      <c r="K243" t="s" s="0">
        <v>6096</v>
      </c>
      <c r="L243" t="s" s="0">
        <v>82</v>
      </c>
      <c r="M243" t="s" s="0">
        <v>82</v>
      </c>
      <c r="N243" t="s" s="0">
        <v>82</v>
      </c>
      <c r="O243" t="s" s="0">
        <v>6097</v>
      </c>
      <c r="P243" t="s" s="0">
        <v>6098</v>
      </c>
      <c r="Q243" t="s" s="0">
        <v>91</v>
      </c>
      <c r="R243" t="s" s="0">
        <v>82</v>
      </c>
      <c r="S243" t="s" s="0">
        <v>82</v>
      </c>
      <c r="T243" t="s" s="0">
        <v>82</v>
      </c>
      <c r="U243" t="s" s="0">
        <v>82</v>
      </c>
      <c r="V243" t="s" s="0">
        <v>6099</v>
      </c>
      <c r="W243" t="s" s="0">
        <v>6100</v>
      </c>
      <c r="X243" t="s" s="0">
        <v>82</v>
      </c>
      <c r="Y243" t="s" s="0">
        <v>82</v>
      </c>
      <c r="Z243" t="s" s="0">
        <v>94</v>
      </c>
      <c r="AA243" t="s" s="0">
        <v>95</v>
      </c>
      <c r="AB243" t="s" s="0">
        <v>82</v>
      </c>
      <c r="AC243" t="s" s="0">
        <v>82</v>
      </c>
      <c r="AD243" t="s" s="0">
        <v>82</v>
      </c>
      <c r="AE243" t="s" s="0">
        <v>82</v>
      </c>
      <c r="AF243" t="s" s="0">
        <v>82</v>
      </c>
      <c r="AG243" t="s" s="0">
        <v>6101</v>
      </c>
      <c r="AH243" t="s" s="0">
        <v>6102</v>
      </c>
      <c r="AI243" t="s" s="0">
        <v>82</v>
      </c>
      <c r="AJ243" t="s" s="0">
        <v>6103</v>
      </c>
      <c r="AK243" t="s" s="0">
        <v>82</v>
      </c>
      <c r="AL243" t="s" s="0">
        <v>273</v>
      </c>
      <c r="AM243" t="s" s="0">
        <v>78</v>
      </c>
      <c r="AN243" t="s" s="0">
        <v>78</v>
      </c>
      <c r="AO243" t="s" s="0">
        <v>78</v>
      </c>
      <c r="AP243" t="s" s="0">
        <v>78</v>
      </c>
      <c r="AQ243" t="s" s="0">
        <v>174</v>
      </c>
      <c r="AR243" t="s" s="0">
        <v>175</v>
      </c>
      <c r="AS243" t="s" s="0">
        <v>176</v>
      </c>
      <c r="AT243" t="s" s="0">
        <v>6104</v>
      </c>
      <c r="AU243" t="s" s="0">
        <v>6105</v>
      </c>
      <c r="AV243" t="s" s="0">
        <v>82</v>
      </c>
      <c r="AW243" t="s" s="0">
        <v>6100</v>
      </c>
      <c r="AX243" t="s" s="0">
        <v>6106</v>
      </c>
      <c r="AY243" t="s" s="0">
        <v>6107</v>
      </c>
      <c r="AZ243" t="s" s="0">
        <v>181</v>
      </c>
      <c r="BA243" t="s" s="0">
        <v>2759</v>
      </c>
      <c r="BB243" t="s" s="0">
        <v>115</v>
      </c>
      <c r="BC243" t="s" s="0">
        <v>82</v>
      </c>
      <c r="BD243" t="s" s="0">
        <v>82</v>
      </c>
      <c r="BE243" t="s" s="0">
        <v>82</v>
      </c>
      <c r="BF243" t="s" s="0">
        <v>82</v>
      </c>
      <c r="BG243" t="s" s="0">
        <v>4273</v>
      </c>
      <c r="BH243" t="s" s="0">
        <v>6108</v>
      </c>
      <c r="BI243" t="s" s="0">
        <v>82</v>
      </c>
      <c r="BJ243" t="s" s="0">
        <v>6109</v>
      </c>
      <c r="BK243" t="s" s="483">
        <f>HYPERLINK("http://dx.doi.org/10.1002/pros.70217","http://dx.doi.org/10.1002/pros.70217")</f>
        <v>6110</v>
      </c>
      <c r="BL243" t="s" s="0">
        <v>82</v>
      </c>
      <c r="BM243" t="s" s="0">
        <v>3226</v>
      </c>
      <c r="BN243" t="s" s="0">
        <v>349</v>
      </c>
      <c r="BO243" t="s" s="0">
        <v>6111</v>
      </c>
      <c r="BP243" t="s" s="0">
        <v>6111</v>
      </c>
      <c r="BQ243" t="s" s="0">
        <v>6112</v>
      </c>
      <c r="BR243" t="s" s="0">
        <v>6113</v>
      </c>
      <c r="BS243" t="s" s="0">
        <v>6114</v>
      </c>
      <c r="BT243" t="s" s="484">
        <f>HYPERLINK("https://www.webofscience.com/wos/woscc/full-record/WOS:001809538700001","View Record in Web of Science")</f>
        <v>120</v>
      </c>
      <c r="BU243" t="s" s="0">
        <v>82</v>
      </c>
      <c r="BV243" t="s" s="0">
        <v>82</v>
      </c>
      <c r="BW243" t="s" s="0">
        <v>82</v>
      </c>
      <c r="BX243" t="s" s="0">
        <v>122</v>
      </c>
    </row>
    <row r="244">
      <c r="A244" t="s" s="0">
        <v>78</v>
      </c>
      <c r="B244" t="s" s="0">
        <v>78</v>
      </c>
      <c r="C244" t="s" s="0">
        <v>77</v>
      </c>
      <c r="D244" t="s" s="0">
        <v>78</v>
      </c>
      <c r="E244" t="s" s="0">
        <v>6115</v>
      </c>
      <c r="F244" t="s" s="0">
        <v>6116</v>
      </c>
      <c r="G244" t="s" s="0">
        <v>6117</v>
      </c>
      <c r="H244" t="s" s="0">
        <v>82</v>
      </c>
      <c r="I244" t="s" s="0">
        <v>83</v>
      </c>
      <c r="J244" t="s" s="0">
        <v>6118</v>
      </c>
      <c r="K244" t="s" s="0">
        <v>6119</v>
      </c>
      <c r="L244" t="s" s="0">
        <v>82</v>
      </c>
      <c r="M244" t="s" s="0">
        <v>82</v>
      </c>
      <c r="N244" t="s" s="0">
        <v>6120</v>
      </c>
      <c r="O244" t="s" s="0">
        <v>6121</v>
      </c>
      <c r="P244" t="s" s="0">
        <v>6122</v>
      </c>
      <c r="Q244" t="s" s="0">
        <v>91</v>
      </c>
      <c r="R244" t="s" s="0">
        <v>82</v>
      </c>
      <c r="S244" t="s" s="0">
        <v>82</v>
      </c>
      <c r="T244" t="s" s="0">
        <v>82</v>
      </c>
      <c r="U244" t="s" s="0">
        <v>82</v>
      </c>
      <c r="V244" t="s" s="0">
        <v>6123</v>
      </c>
      <c r="W244" t="s" s="0">
        <v>6124</v>
      </c>
      <c r="X244" t="s" s="0">
        <v>82</v>
      </c>
      <c r="Y244" t="s" s="0">
        <v>82</v>
      </c>
      <c r="Z244" t="s" s="0">
        <v>94</v>
      </c>
      <c r="AA244" t="s" s="0">
        <v>95</v>
      </c>
      <c r="AB244" t="s" s="0">
        <v>82</v>
      </c>
      <c r="AC244" t="s" s="0">
        <v>82</v>
      </c>
      <c r="AD244" t="s" s="0">
        <v>82</v>
      </c>
      <c r="AE244" t="s" s="0">
        <v>82</v>
      </c>
      <c r="AF244" t="s" s="0">
        <v>82</v>
      </c>
      <c r="AG244" t="s" s="0">
        <v>6125</v>
      </c>
      <c r="AH244" t="s" s="0">
        <v>6126</v>
      </c>
      <c r="AI244" t="s" s="0">
        <v>6127</v>
      </c>
      <c r="AJ244" t="s" s="0">
        <v>6128</v>
      </c>
      <c r="AK244" t="s" s="0">
        <v>82</v>
      </c>
      <c r="AL244" t="s" s="0">
        <v>273</v>
      </c>
      <c r="AM244" t="s" s="0">
        <v>102</v>
      </c>
      <c r="AN244" t="s" s="0">
        <v>221</v>
      </c>
      <c r="AO244" t="s" s="0">
        <v>78</v>
      </c>
      <c r="AP244" t="s" s="0">
        <v>447</v>
      </c>
      <c r="AQ244" t="s" s="0">
        <v>312</v>
      </c>
      <c r="AR244" t="s" s="0">
        <v>313</v>
      </c>
      <c r="AS244" t="s" s="0">
        <v>314</v>
      </c>
      <c r="AT244" t="s" s="0">
        <v>82</v>
      </c>
      <c r="AU244" t="s" s="0">
        <v>6129</v>
      </c>
      <c r="AV244" t="s" s="0">
        <v>82</v>
      </c>
      <c r="AW244" t="s" s="0">
        <v>6124</v>
      </c>
      <c r="AX244" t="s" s="0">
        <v>6130</v>
      </c>
      <c r="AY244" t="s" s="0">
        <v>1196</v>
      </c>
      <c r="AZ244" t="s" s="0">
        <v>110</v>
      </c>
      <c r="BA244" t="s" s="0">
        <v>640</v>
      </c>
      <c r="BB244" t="s" s="0">
        <v>115</v>
      </c>
      <c r="BC244" t="s" s="0">
        <v>82</v>
      </c>
      <c r="BD244" t="s" s="0">
        <v>82</v>
      </c>
      <c r="BE244" t="s" s="0">
        <v>82</v>
      </c>
      <c r="BF244" t="s" s="0">
        <v>82</v>
      </c>
      <c r="BG244" t="s" s="0">
        <v>82</v>
      </c>
      <c r="BH244" t="s" s="0">
        <v>82</v>
      </c>
      <c r="BI244" t="s" s="0">
        <v>6131</v>
      </c>
      <c r="BJ244" t="s" s="0">
        <v>6132</v>
      </c>
      <c r="BK244" t="s" s="485">
        <f>HYPERLINK("http://dx.doi.org/10.3390/cancers16132463","http://dx.doi.org/10.3390/cancers16132463")</f>
        <v>6133</v>
      </c>
      <c r="BL244" t="s" s="0">
        <v>82</v>
      </c>
      <c r="BM244" t="s" s="0">
        <v>82</v>
      </c>
      <c r="BN244" t="s" s="0">
        <v>115</v>
      </c>
      <c r="BO244" t="s" s="0">
        <v>4833</v>
      </c>
      <c r="BP244" t="s" s="0">
        <v>4833</v>
      </c>
      <c r="BQ244" t="s" s="0">
        <v>6134</v>
      </c>
      <c r="BR244" t="s" s="0">
        <v>6135</v>
      </c>
      <c r="BS244" t="s" s="0">
        <v>6136</v>
      </c>
      <c r="BT244" t="s" s="486">
        <f>HYPERLINK("https://www.webofscience.com/wos/woscc/full-record/WOS:001266485000001","View Record in Web of Science")</f>
        <v>120</v>
      </c>
      <c r="BU244" t="s" s="0">
        <v>1537</v>
      </c>
      <c r="BV244" t="s" s="0">
        <v>82</v>
      </c>
      <c r="BW244" t="s" s="0">
        <v>82</v>
      </c>
      <c r="BX244" t="s" s="0">
        <v>122</v>
      </c>
    </row>
    <row r="245">
      <c r="A245" t="s" s="0">
        <v>78</v>
      </c>
      <c r="B245" t="s" s="0">
        <v>78</v>
      </c>
      <c r="C245" t="s" s="0">
        <v>77</v>
      </c>
      <c r="D245" t="s" s="0">
        <v>78</v>
      </c>
      <c r="E245" t="s" s="0">
        <v>6137</v>
      </c>
      <c r="F245" t="s" s="0">
        <v>6138</v>
      </c>
      <c r="G245" t="s" s="0">
        <v>6139</v>
      </c>
      <c r="H245" t="s" s="0">
        <v>82</v>
      </c>
      <c r="I245" t="s" s="0">
        <v>83</v>
      </c>
      <c r="J245" t="s" s="0">
        <v>6140</v>
      </c>
      <c r="K245" t="s" s="0">
        <v>6141</v>
      </c>
      <c r="L245" t="s" s="0">
        <v>82</v>
      </c>
      <c r="M245" t="s" s="0">
        <v>82</v>
      </c>
      <c r="N245" t="s" s="0">
        <v>82</v>
      </c>
      <c r="O245" t="s" s="0">
        <v>6142</v>
      </c>
      <c r="P245" t="s" s="0">
        <v>6143</v>
      </c>
      <c r="Q245" t="s" s="0">
        <v>91</v>
      </c>
      <c r="R245" t="s" s="0">
        <v>82</v>
      </c>
      <c r="S245" t="s" s="0">
        <v>82</v>
      </c>
      <c r="T245" t="s" s="0">
        <v>82</v>
      </c>
      <c r="U245" t="s" s="0">
        <v>82</v>
      </c>
      <c r="V245" t="s" s="0">
        <v>6144</v>
      </c>
      <c r="W245" t="s" s="0">
        <v>6145</v>
      </c>
      <c r="X245" t="s" s="0">
        <v>82</v>
      </c>
      <c r="Y245" t="s" s="0">
        <v>82</v>
      </c>
      <c r="Z245" t="s" s="0">
        <v>94</v>
      </c>
      <c r="AA245" t="s" s="0">
        <v>95</v>
      </c>
      <c r="AB245" t="s" s="0">
        <v>82</v>
      </c>
      <c r="AC245" t="s" s="0">
        <v>82</v>
      </c>
      <c r="AD245" t="s" s="0">
        <v>82</v>
      </c>
      <c r="AE245" t="s" s="0">
        <v>82</v>
      </c>
      <c r="AF245" t="s" s="0">
        <v>82</v>
      </c>
      <c r="AG245" t="s" s="0">
        <v>6146</v>
      </c>
      <c r="AH245" t="s" s="0">
        <v>6147</v>
      </c>
      <c r="AI245" t="s" s="0">
        <v>6148</v>
      </c>
      <c r="AJ245" t="s" s="0">
        <v>6149</v>
      </c>
      <c r="AK245" t="s" s="0">
        <v>82</v>
      </c>
      <c r="AL245" t="s" s="0">
        <v>548</v>
      </c>
      <c r="AM245" t="s" s="0">
        <v>137</v>
      </c>
      <c r="AN245" t="s" s="0">
        <v>137</v>
      </c>
      <c r="AO245" t="s" s="0">
        <v>78</v>
      </c>
      <c r="AP245" t="s" s="0">
        <v>102</v>
      </c>
      <c r="AQ245" t="s" s="0">
        <v>4242</v>
      </c>
      <c r="AR245" t="s" s="0">
        <v>4243</v>
      </c>
      <c r="AS245" t="s" s="0">
        <v>4244</v>
      </c>
      <c r="AT245" t="s" s="0">
        <v>6150</v>
      </c>
      <c r="AU245" t="s" s="0">
        <v>6151</v>
      </c>
      <c r="AV245" t="s" s="0">
        <v>82</v>
      </c>
      <c r="AW245" t="s" s="0">
        <v>6152</v>
      </c>
      <c r="AX245" t="s" s="0">
        <v>6153</v>
      </c>
      <c r="AY245" t="s" s="0">
        <v>1716</v>
      </c>
      <c r="AZ245" t="s" s="0">
        <v>408</v>
      </c>
      <c r="BA245" t="s" s="0">
        <v>2191</v>
      </c>
      <c r="BB245" t="s" s="0">
        <v>115</v>
      </c>
      <c r="BC245" t="s" s="0">
        <v>82</v>
      </c>
      <c r="BD245" t="s" s="0">
        <v>82</v>
      </c>
      <c r="BE245" t="s" s="0">
        <v>82</v>
      </c>
      <c r="BF245" t="s" s="0">
        <v>82</v>
      </c>
      <c r="BG245" t="s" s="0">
        <v>6154</v>
      </c>
      <c r="BH245" t="s" s="0">
        <v>6155</v>
      </c>
      <c r="BI245" t="s" s="0">
        <v>82</v>
      </c>
      <c r="BJ245" t="s" s="0">
        <v>6156</v>
      </c>
      <c r="BK245" t="s" s="487">
        <f>HYPERLINK("http://dx.doi.org/10.1177/03635465221124275","http://dx.doi.org/10.1177/03635465221124275")</f>
        <v>6157</v>
      </c>
      <c r="BL245" t="s" s="0">
        <v>82</v>
      </c>
      <c r="BM245" t="s" s="0">
        <v>6158</v>
      </c>
      <c r="BN245" t="s" s="0">
        <v>138</v>
      </c>
      <c r="BO245" t="s" s="0">
        <v>6159</v>
      </c>
      <c r="BP245" t="s" s="0">
        <v>6159</v>
      </c>
      <c r="BQ245" t="s" s="0">
        <v>6160</v>
      </c>
      <c r="BR245" t="s" s="0">
        <v>6161</v>
      </c>
      <c r="BS245" t="s" s="0">
        <v>6162</v>
      </c>
      <c r="BT245" t="s" s="488">
        <f>HYPERLINK("https://www.webofscience.com/wos/woscc/full-record/WOS:000857604800001","View Record in Web of Science")</f>
        <v>120</v>
      </c>
      <c r="BU245" t="s" s="0">
        <v>82</v>
      </c>
      <c r="BV245" t="s" s="0">
        <v>82</v>
      </c>
      <c r="BW245" t="s" s="0">
        <v>82</v>
      </c>
      <c r="BX245" t="s" s="0">
        <v>122</v>
      </c>
    </row>
    <row r="246">
      <c r="A246" t="s" s="0">
        <v>78</v>
      </c>
      <c r="B246" t="s" s="0">
        <v>78</v>
      </c>
      <c r="C246" t="s" s="0">
        <v>447</v>
      </c>
      <c r="D246" t="s" s="0">
        <v>78</v>
      </c>
      <c r="E246" t="s" s="0">
        <v>6163</v>
      </c>
      <c r="F246" t="s" s="0">
        <v>6164</v>
      </c>
      <c r="G246" t="s" s="0">
        <v>6165</v>
      </c>
      <c r="H246" t="s" s="0">
        <v>82</v>
      </c>
      <c r="I246" t="s" s="0">
        <v>589</v>
      </c>
      <c r="J246" t="s" s="0">
        <v>6166</v>
      </c>
      <c r="K246" t="s" s="0">
        <v>6167</v>
      </c>
      <c r="L246" t="s" s="0">
        <v>6168</v>
      </c>
      <c r="M246" t="s" s="0">
        <v>6169</v>
      </c>
      <c r="N246" t="s" s="0">
        <v>6170</v>
      </c>
      <c r="O246" t="s" s="0">
        <v>6171</v>
      </c>
      <c r="P246" t="s" s="0">
        <v>6172</v>
      </c>
      <c r="Q246" t="s" s="0">
        <v>91</v>
      </c>
      <c r="R246" t="s" s="0">
        <v>82</v>
      </c>
      <c r="S246" t="s" s="0">
        <v>82</v>
      </c>
      <c r="T246" t="s" s="0">
        <v>82</v>
      </c>
      <c r="U246" t="s" s="0">
        <v>82</v>
      </c>
      <c r="V246" t="s" s="0">
        <v>6173</v>
      </c>
      <c r="W246" t="s" s="0">
        <v>6174</v>
      </c>
      <c r="X246" t="s" s="0">
        <v>82</v>
      </c>
      <c r="Y246" t="s" s="0">
        <v>82</v>
      </c>
      <c r="Z246" t="s" s="0">
        <v>94</v>
      </c>
      <c r="AA246" t="s" s="0">
        <v>95</v>
      </c>
      <c r="AB246" t="s" s="0">
        <v>82</v>
      </c>
      <c r="AC246" t="s" s="0">
        <v>82</v>
      </c>
      <c r="AD246" t="s" s="0">
        <v>82</v>
      </c>
      <c r="AE246" t="s" s="0">
        <v>82</v>
      </c>
      <c r="AF246" t="s" s="0">
        <v>82</v>
      </c>
      <c r="AG246" t="s" s="0">
        <v>6175</v>
      </c>
      <c r="AH246" t="s" s="0">
        <v>6176</v>
      </c>
      <c r="AI246" t="s" s="0">
        <v>6177</v>
      </c>
      <c r="AJ246" t="s" s="0">
        <v>6178</v>
      </c>
      <c r="AK246" t="s" s="0">
        <v>82</v>
      </c>
      <c r="AL246" t="s" s="0">
        <v>463</v>
      </c>
      <c r="AM246" t="s" s="0">
        <v>245</v>
      </c>
      <c r="AN246" t="s" s="0">
        <v>137</v>
      </c>
      <c r="AO246" t="s" s="0">
        <v>136</v>
      </c>
      <c r="AP246" t="s" s="0">
        <v>353</v>
      </c>
      <c r="AQ246" t="s" s="0">
        <v>202</v>
      </c>
      <c r="AR246" t="s" s="0">
        <v>203</v>
      </c>
      <c r="AS246" t="s" s="0">
        <v>204</v>
      </c>
      <c r="AT246" t="s" s="0">
        <v>6179</v>
      </c>
      <c r="AU246" t="s" s="0">
        <v>6180</v>
      </c>
      <c r="AV246" t="s" s="0">
        <v>82</v>
      </c>
      <c r="AW246" t="s" s="0">
        <v>6181</v>
      </c>
      <c r="AX246" t="s" s="0">
        <v>6182</v>
      </c>
      <c r="AY246" t="s" s="0">
        <v>810</v>
      </c>
      <c r="AZ246" t="s" s="0">
        <v>210</v>
      </c>
      <c r="BA246" t="s" s="0">
        <v>374</v>
      </c>
      <c r="BB246" t="s" s="0">
        <v>102</v>
      </c>
      <c r="BC246" t="s" s="0">
        <v>82</v>
      </c>
      <c r="BD246" t="s" s="0">
        <v>82</v>
      </c>
      <c r="BE246" t="s" s="0">
        <v>82</v>
      </c>
      <c r="BF246" t="s" s="0">
        <v>82</v>
      </c>
      <c r="BG246" t="s" s="0">
        <v>6183</v>
      </c>
      <c r="BH246" t="s" s="0">
        <v>6184</v>
      </c>
      <c r="BI246" t="s" s="0">
        <v>82</v>
      </c>
      <c r="BJ246" t="s" s="0">
        <v>6185</v>
      </c>
      <c r="BK246" t="s" s="489">
        <f>HYPERLINK("http://dx.doi.org/10.1016/j.aucc.2022.06.001","http://dx.doi.org/10.1016/j.aucc.2022.06.001")</f>
        <v>6186</v>
      </c>
      <c r="BL246" t="s" s="0">
        <v>82</v>
      </c>
      <c r="BM246" t="s" s="0">
        <v>5023</v>
      </c>
      <c r="BN246" t="s" s="0">
        <v>319</v>
      </c>
      <c r="BO246" t="s" s="0">
        <v>6187</v>
      </c>
      <c r="BP246" t="s" s="0">
        <v>6188</v>
      </c>
      <c r="BQ246" t="s" s="0">
        <v>6189</v>
      </c>
      <c r="BR246" t="s" s="0">
        <v>6190</v>
      </c>
      <c r="BS246" t="s" s="0">
        <v>6191</v>
      </c>
      <c r="BT246" t="s" s="490">
        <f>HYPERLINK("https://www.webofscience.com/wos/woscc/full-record/WOS:001025944700001","View Record in Web of Science")</f>
        <v>120</v>
      </c>
      <c r="BU246" t="s" s="0">
        <v>82</v>
      </c>
      <c r="BV246" t="s" s="0">
        <v>82</v>
      </c>
      <c r="BW246" t="s" s="0">
        <v>82</v>
      </c>
      <c r="BX246" t="s" s="0">
        <v>122</v>
      </c>
    </row>
    <row r="247">
      <c r="A247" t="s" s="0">
        <v>78</v>
      </c>
      <c r="B247" t="s" s="0">
        <v>78</v>
      </c>
      <c r="C247" t="s" s="0">
        <v>78</v>
      </c>
      <c r="D247" t="s" s="0">
        <v>78</v>
      </c>
      <c r="E247" t="s" s="0">
        <v>6192</v>
      </c>
      <c r="F247" t="s" s="0">
        <v>6193</v>
      </c>
      <c r="G247" t="s" s="0">
        <v>6194</v>
      </c>
      <c r="H247" t="s" s="0">
        <v>82</v>
      </c>
      <c r="I247" t="s" s="0">
        <v>83</v>
      </c>
      <c r="J247" t="s" s="0">
        <v>6195</v>
      </c>
      <c r="K247" t="s" s="0">
        <v>6196</v>
      </c>
      <c r="L247" t="s" s="0">
        <v>82</v>
      </c>
      <c r="M247" t="s" s="0">
        <v>82</v>
      </c>
      <c r="N247" t="s" s="0">
        <v>82</v>
      </c>
      <c r="O247" t="s" s="0">
        <v>6197</v>
      </c>
      <c r="P247" t="s" s="0">
        <v>82</v>
      </c>
      <c r="Q247" t="s" s="0">
        <v>91</v>
      </c>
      <c r="R247" t="s" s="0">
        <v>82</v>
      </c>
      <c r="S247" t="s" s="0">
        <v>82</v>
      </c>
      <c r="T247" t="s" s="0">
        <v>82</v>
      </c>
      <c r="U247" t="s" s="0">
        <v>82</v>
      </c>
      <c r="V247" t="s" s="0">
        <v>6198</v>
      </c>
      <c r="W247" t="s" s="0">
        <v>4704</v>
      </c>
      <c r="X247" t="s" s="0">
        <v>82</v>
      </c>
      <c r="Y247" t="s" s="0">
        <v>82</v>
      </c>
      <c r="Z247" t="s" s="0">
        <v>94</v>
      </c>
      <c r="AA247" t="s" s="0">
        <v>95</v>
      </c>
      <c r="AB247" t="s" s="0">
        <v>82</v>
      </c>
      <c r="AC247" t="s" s="0">
        <v>82</v>
      </c>
      <c r="AD247" t="s" s="0">
        <v>82</v>
      </c>
      <c r="AE247" t="s" s="0">
        <v>82</v>
      </c>
      <c r="AF247" t="s" s="0">
        <v>82</v>
      </c>
      <c r="AG247" t="s" s="0">
        <v>6199</v>
      </c>
      <c r="AH247" t="s" s="0">
        <v>6200</v>
      </c>
      <c r="AI247" t="s" s="0">
        <v>6201</v>
      </c>
      <c r="AJ247" t="s" s="0">
        <v>82</v>
      </c>
      <c r="AK247" t="s" s="0">
        <v>82</v>
      </c>
      <c r="AL247" t="s" s="0">
        <v>828</v>
      </c>
      <c r="AM247" t="s" s="0">
        <v>78</v>
      </c>
      <c r="AN247" t="s" s="0">
        <v>78</v>
      </c>
      <c r="AO247" t="s" s="0">
        <v>77</v>
      </c>
      <c r="AP247" t="s" s="0">
        <v>77</v>
      </c>
      <c r="AQ247" t="s" s="0">
        <v>400</v>
      </c>
      <c r="AR247" t="s" s="0">
        <v>401</v>
      </c>
      <c r="AS247" t="s" s="0">
        <v>402</v>
      </c>
      <c r="AT247" t="s" s="0">
        <v>4707</v>
      </c>
      <c r="AU247" t="s" s="0">
        <v>4708</v>
      </c>
      <c r="AV247" t="s" s="0">
        <v>82</v>
      </c>
      <c r="AW247" t="s" s="0">
        <v>4709</v>
      </c>
      <c r="AX247" t="s" s="0">
        <v>4710</v>
      </c>
      <c r="AY247" t="s" s="0">
        <v>1003</v>
      </c>
      <c r="AZ247" t="s" s="0">
        <v>181</v>
      </c>
      <c r="BA247" t="s" s="0">
        <v>6202</v>
      </c>
      <c r="BB247" t="s" s="0">
        <v>82</v>
      </c>
      <c r="BC247" t="s" s="0">
        <v>82</v>
      </c>
      <c r="BD247" t="s" s="0">
        <v>82</v>
      </c>
      <c r="BE247" t="s" s="0">
        <v>82</v>
      </c>
      <c r="BF247" t="s" s="0">
        <v>82</v>
      </c>
      <c r="BG247" t="s" s="0">
        <v>82</v>
      </c>
      <c r="BH247" t="s" s="0">
        <v>82</v>
      </c>
      <c r="BI247" t="s" s="0">
        <v>6203</v>
      </c>
      <c r="BJ247" t="s" s="0">
        <v>6204</v>
      </c>
      <c r="BK247" t="s" s="491">
        <f>HYPERLINK("http://dx.doi.org/10.1016/j.ijmedinf.2026.106314","http://dx.doi.org/10.1016/j.ijmedinf.2026.106314")</f>
        <v>6205</v>
      </c>
      <c r="BL247" t="s" s="0">
        <v>82</v>
      </c>
      <c r="BM247" t="s" s="0">
        <v>82</v>
      </c>
      <c r="BN247" t="s" s="0">
        <v>245</v>
      </c>
      <c r="BO247" t="s" s="0">
        <v>4716</v>
      </c>
      <c r="BP247" t="s" s="0">
        <v>4717</v>
      </c>
      <c r="BQ247" t="s" s="0">
        <v>6206</v>
      </c>
      <c r="BR247" t="s" s="0">
        <v>6207</v>
      </c>
      <c r="BS247" t="s" s="0">
        <v>6208</v>
      </c>
      <c r="BT247" t="s" s="492">
        <f>HYPERLINK("https://www.webofscience.com/wos/woscc/full-record/WOS:001713103700001","View Record in Web of Science")</f>
        <v>120</v>
      </c>
      <c r="BU247" t="s" s="0">
        <v>82</v>
      </c>
      <c r="BV247" t="s" s="0">
        <v>82</v>
      </c>
      <c r="BW247" t="s" s="0">
        <v>82</v>
      </c>
      <c r="BX247" t="s" s="0">
        <v>122</v>
      </c>
    </row>
    <row r="248">
      <c r="A248" t="s" s="0">
        <v>78</v>
      </c>
      <c r="B248" t="s" s="0">
        <v>78</v>
      </c>
      <c r="C248" t="s" s="0">
        <v>78</v>
      </c>
      <c r="D248" t="s" s="0">
        <v>78</v>
      </c>
      <c r="E248" t="s" s="0">
        <v>6209</v>
      </c>
      <c r="F248" t="s" s="0">
        <v>6210</v>
      </c>
      <c r="G248" t="s" s="0">
        <v>6211</v>
      </c>
      <c r="H248" t="s" s="0">
        <v>82</v>
      </c>
      <c r="I248" t="s" s="0">
        <v>83</v>
      </c>
      <c r="J248" t="s" s="0">
        <v>6212</v>
      </c>
      <c r="K248" t="s" s="0">
        <v>6213</v>
      </c>
      <c r="L248" t="s" s="0">
        <v>6214</v>
      </c>
      <c r="M248" t="s" s="0">
        <v>6215</v>
      </c>
      <c r="N248" t="s" s="0">
        <v>6216</v>
      </c>
      <c r="O248" t="s" s="0">
        <v>6217</v>
      </c>
      <c r="P248" t="s" s="0">
        <v>6218</v>
      </c>
      <c r="Q248" t="s" s="0">
        <v>91</v>
      </c>
      <c r="R248" t="s" s="0">
        <v>82</v>
      </c>
      <c r="S248" t="s" s="0">
        <v>82</v>
      </c>
      <c r="T248" t="s" s="0">
        <v>82</v>
      </c>
      <c r="U248" t="s" s="0">
        <v>82</v>
      </c>
      <c r="V248" t="s" s="0">
        <v>6219</v>
      </c>
      <c r="W248" t="s" s="0">
        <v>6220</v>
      </c>
      <c r="X248" t="s" s="0">
        <v>82</v>
      </c>
      <c r="Y248" t="s" s="0">
        <v>82</v>
      </c>
      <c r="Z248" t="s" s="0">
        <v>94</v>
      </c>
      <c r="AA248" t="s" s="0">
        <v>95</v>
      </c>
      <c r="AB248" t="s" s="0">
        <v>82</v>
      </c>
      <c r="AC248" t="s" s="0">
        <v>82</v>
      </c>
      <c r="AD248" t="s" s="0">
        <v>82</v>
      </c>
      <c r="AE248" t="s" s="0">
        <v>82</v>
      </c>
      <c r="AF248" t="s" s="0">
        <v>82</v>
      </c>
      <c r="AG248" t="s" s="0">
        <v>6221</v>
      </c>
      <c r="AH248" t="s" s="0">
        <v>6222</v>
      </c>
      <c r="AI248" t="s" s="0">
        <v>6223</v>
      </c>
      <c r="AJ248" t="s" s="0">
        <v>6224</v>
      </c>
      <c r="AK248" t="s" s="0">
        <v>82</v>
      </c>
      <c r="AL248" t="s" s="0">
        <v>273</v>
      </c>
      <c r="AM248" t="s" s="0">
        <v>102</v>
      </c>
      <c r="AN248" t="s" s="0">
        <v>102</v>
      </c>
      <c r="AO248" t="s" s="0">
        <v>101</v>
      </c>
      <c r="AP248" t="s" s="0">
        <v>375</v>
      </c>
      <c r="AQ248" t="s" s="0">
        <v>6225</v>
      </c>
      <c r="AR248" t="s" s="0">
        <v>6226</v>
      </c>
      <c r="AS248" t="s" s="0">
        <v>6227</v>
      </c>
      <c r="AT248" t="s" s="0">
        <v>82</v>
      </c>
      <c r="AU248" t="s" s="0">
        <v>6228</v>
      </c>
      <c r="AV248" t="s" s="0">
        <v>82</v>
      </c>
      <c r="AW248" t="s" s="0">
        <v>6229</v>
      </c>
      <c r="AX248" t="s" s="0">
        <v>6230</v>
      </c>
      <c r="AY248" t="s" s="0">
        <v>502</v>
      </c>
      <c r="AZ248" t="s" s="0">
        <v>147</v>
      </c>
      <c r="BA248" t="s" s="0">
        <v>1628</v>
      </c>
      <c r="BB248" t="s" s="0">
        <v>136</v>
      </c>
      <c r="BC248" t="s" s="0">
        <v>82</v>
      </c>
      <c r="BD248" t="s" s="0">
        <v>82</v>
      </c>
      <c r="BE248" t="s" s="0">
        <v>82</v>
      </c>
      <c r="BF248" t="s" s="0">
        <v>82</v>
      </c>
      <c r="BG248" t="s" s="0">
        <v>6231</v>
      </c>
      <c r="BH248" t="s" s="0">
        <v>6232</v>
      </c>
      <c r="BI248" t="s" s="0">
        <v>82</v>
      </c>
      <c r="BJ248" t="s" s="0">
        <v>6233</v>
      </c>
      <c r="BK248" t="s" s="493">
        <f>HYPERLINK("http://dx.doi.org/10.1016/j.rec.2025.01.003","http://dx.doi.org/10.1016/j.rec.2025.01.003")</f>
        <v>6234</v>
      </c>
      <c r="BL248" t="s" s="0">
        <v>82</v>
      </c>
      <c r="BM248" t="s" s="0">
        <v>949</v>
      </c>
      <c r="BN248" t="s" s="0">
        <v>245</v>
      </c>
      <c r="BO248" t="s" s="0">
        <v>503</v>
      </c>
      <c r="BP248" t="s" s="0">
        <v>504</v>
      </c>
      <c r="BQ248" t="s" s="0">
        <v>6235</v>
      </c>
      <c r="BR248" t="s" s="0">
        <v>6236</v>
      </c>
      <c r="BS248" t="s" s="0">
        <v>6237</v>
      </c>
      <c r="BT248" t="s" s="494">
        <f>HYPERLINK("https://www.webofscience.com/wos/woscc/full-record/WOS:001543316200006","View Record in Web of Science")</f>
        <v>120</v>
      </c>
      <c r="BU248" t="s" s="0">
        <v>82</v>
      </c>
      <c r="BV248" t="s" s="0">
        <v>82</v>
      </c>
      <c r="BW248" t="s" s="0">
        <v>82</v>
      </c>
      <c r="BX248" t="s" s="0">
        <v>122</v>
      </c>
    </row>
    <row r="249">
      <c r="A249" t="s" s="0">
        <v>78</v>
      </c>
      <c r="B249" t="s" s="0">
        <v>78</v>
      </c>
      <c r="C249" t="s" s="0">
        <v>78</v>
      </c>
      <c r="D249" t="s" s="0">
        <v>78</v>
      </c>
      <c r="E249" t="s" s="0">
        <v>6238</v>
      </c>
      <c r="F249" t="s" s="0">
        <v>6239</v>
      </c>
      <c r="G249" t="s" s="0">
        <v>6240</v>
      </c>
      <c r="H249" t="s" s="0">
        <v>82</v>
      </c>
      <c r="I249" t="s" s="0">
        <v>297</v>
      </c>
      <c r="J249" t="s" s="0">
        <v>6241</v>
      </c>
      <c r="K249" t="s" s="0">
        <v>6242</v>
      </c>
      <c r="L249" t="s" s="0">
        <v>6243</v>
      </c>
      <c r="M249" t="s" s="0">
        <v>6244</v>
      </c>
      <c r="N249" t="s" s="0">
        <v>6245</v>
      </c>
      <c r="O249" t="s" s="0">
        <v>6246</v>
      </c>
      <c r="P249" t="s" s="0">
        <v>6247</v>
      </c>
      <c r="Q249" t="s" s="0">
        <v>91</v>
      </c>
      <c r="R249" t="s" s="0">
        <v>82</v>
      </c>
      <c r="S249" t="s" s="0">
        <v>82</v>
      </c>
      <c r="T249" t="s" s="0">
        <v>82</v>
      </c>
      <c r="U249" t="s" s="0">
        <v>82</v>
      </c>
      <c r="V249" t="s" s="0">
        <v>6248</v>
      </c>
      <c r="W249" t="s" s="0">
        <v>6249</v>
      </c>
      <c r="X249" t="s" s="0">
        <v>82</v>
      </c>
      <c r="Y249" t="s" s="0">
        <v>82</v>
      </c>
      <c r="Z249" t="s" s="0">
        <v>94</v>
      </c>
      <c r="AA249" t="s" s="0">
        <v>95</v>
      </c>
      <c r="AB249" t="s" s="0">
        <v>82</v>
      </c>
      <c r="AC249" t="s" s="0">
        <v>82</v>
      </c>
      <c r="AD249" t="s" s="0">
        <v>82</v>
      </c>
      <c r="AE249" t="s" s="0">
        <v>82</v>
      </c>
      <c r="AF249" t="s" s="0">
        <v>82</v>
      </c>
      <c r="AG249" t="s" s="0">
        <v>6250</v>
      </c>
      <c r="AH249" t="s" s="0">
        <v>6251</v>
      </c>
      <c r="AI249" t="s" s="0">
        <v>6252</v>
      </c>
      <c r="AJ249" t="s" s="0">
        <v>6253</v>
      </c>
      <c r="AK249" t="s" s="0">
        <v>82</v>
      </c>
      <c r="AL249" t="s" s="0">
        <v>2191</v>
      </c>
      <c r="AM249" t="s" s="0">
        <v>447</v>
      </c>
      <c r="AN249" t="s" s="0">
        <v>447</v>
      </c>
      <c r="AO249" t="s" s="0">
        <v>78</v>
      </c>
      <c r="AP249" t="s" s="0">
        <v>77</v>
      </c>
      <c r="AQ249" t="s" s="0">
        <v>1710</v>
      </c>
      <c r="AR249" t="s" s="0">
        <v>1711</v>
      </c>
      <c r="AS249" t="s" s="0">
        <v>1712</v>
      </c>
      <c r="AT249" t="s" s="0">
        <v>6254</v>
      </c>
      <c r="AU249" t="s" s="0">
        <v>82</v>
      </c>
      <c r="AV249" t="s" s="0">
        <v>82</v>
      </c>
      <c r="AW249" t="s" s="0">
        <v>6249</v>
      </c>
      <c r="AX249" t="s" s="0">
        <v>6255</v>
      </c>
      <c r="AY249" t="s" s="0">
        <v>210</v>
      </c>
      <c r="AZ249" t="s" s="0">
        <v>210</v>
      </c>
      <c r="BA249" t="s" s="0">
        <v>319</v>
      </c>
      <c r="BB249" t="s" s="0">
        <v>82</v>
      </c>
      <c r="BC249" t="s" s="0">
        <v>82</v>
      </c>
      <c r="BD249" t="s" s="0">
        <v>82</v>
      </c>
      <c r="BE249" t="s" s="0">
        <v>82</v>
      </c>
      <c r="BF249" t="s" s="0">
        <v>82</v>
      </c>
      <c r="BG249" t="s" s="0">
        <v>82</v>
      </c>
      <c r="BH249" t="s" s="0">
        <v>82</v>
      </c>
      <c r="BI249" t="s" s="0">
        <v>6256</v>
      </c>
      <c r="BJ249" t="s" s="0">
        <v>6257</v>
      </c>
      <c r="BK249" t="s" s="495">
        <f>HYPERLINK("http://dx.doi.org/10.2196/46474","http://dx.doi.org/10.2196/46474")</f>
        <v>6258</v>
      </c>
      <c r="BL249" t="s" s="0">
        <v>82</v>
      </c>
      <c r="BM249" t="s" s="0">
        <v>82</v>
      </c>
      <c r="BN249" t="s" s="0">
        <v>239</v>
      </c>
      <c r="BO249" t="s" s="0">
        <v>4833</v>
      </c>
      <c r="BP249" t="s" s="0">
        <v>4833</v>
      </c>
      <c r="BQ249" t="s" s="0">
        <v>6259</v>
      </c>
      <c r="BR249" t="s" s="0">
        <v>6260</v>
      </c>
      <c r="BS249" t="s" s="0">
        <v>6261</v>
      </c>
      <c r="BT249" t="s" s="496">
        <f>HYPERLINK("https://www.webofscience.com/wos/woscc/full-record/WOS:001114965400001","View Record in Web of Science")</f>
        <v>120</v>
      </c>
      <c r="BU249" t="s" s="0">
        <v>121</v>
      </c>
      <c r="BV249" t="s" s="0">
        <v>82</v>
      </c>
      <c r="BW249" t="s" s="0">
        <v>82</v>
      </c>
      <c r="BX249" t="s" s="0">
        <v>122</v>
      </c>
    </row>
    <row r="250">
      <c r="A250" t="s" s="0">
        <v>221</v>
      </c>
      <c r="B250" t="s" s="0">
        <v>78</v>
      </c>
      <c r="C250" t="s" s="0">
        <v>149</v>
      </c>
      <c r="D250" t="s" s="0">
        <v>78</v>
      </c>
      <c r="E250" t="s" s="0">
        <v>6262</v>
      </c>
      <c r="F250" t="s" s="0">
        <v>6263</v>
      </c>
      <c r="G250" t="s" s="0">
        <v>6264</v>
      </c>
      <c r="H250" t="s" s="0">
        <v>82</v>
      </c>
      <c r="I250" t="s" s="0">
        <v>83</v>
      </c>
      <c r="J250" t="s" s="0">
        <v>6265</v>
      </c>
      <c r="K250" t="s" s="0">
        <v>6266</v>
      </c>
      <c r="L250" t="s" s="0">
        <v>6267</v>
      </c>
      <c r="M250" t="s" s="0">
        <v>6268</v>
      </c>
      <c r="N250" t="s" s="0">
        <v>6269</v>
      </c>
      <c r="O250" t="s" s="0">
        <v>6270</v>
      </c>
      <c r="P250" t="s" s="0">
        <v>6271</v>
      </c>
      <c r="Q250" t="s" s="0">
        <v>91</v>
      </c>
      <c r="R250" t="s" s="0">
        <v>82</v>
      </c>
      <c r="S250" t="s" s="0">
        <v>82</v>
      </c>
      <c r="T250" t="s" s="0">
        <v>82</v>
      </c>
      <c r="U250" t="s" s="0">
        <v>82</v>
      </c>
      <c r="V250" t="s" s="0">
        <v>6272</v>
      </c>
      <c r="W250" t="s" s="0">
        <v>3637</v>
      </c>
      <c r="X250" t="s" s="0">
        <v>82</v>
      </c>
      <c r="Y250" t="s" s="0">
        <v>82</v>
      </c>
      <c r="Z250" t="s" s="0">
        <v>94</v>
      </c>
      <c r="AA250" t="s" s="0">
        <v>95</v>
      </c>
      <c r="AB250" t="s" s="0">
        <v>82</v>
      </c>
      <c r="AC250" t="s" s="0">
        <v>82</v>
      </c>
      <c r="AD250" t="s" s="0">
        <v>82</v>
      </c>
      <c r="AE250" t="s" s="0">
        <v>82</v>
      </c>
      <c r="AF250" t="s" s="0">
        <v>82</v>
      </c>
      <c r="AG250" t="s" s="0">
        <v>82</v>
      </c>
      <c r="AH250" t="s" s="0">
        <v>6273</v>
      </c>
      <c r="AI250" t="s" s="0">
        <v>6274</v>
      </c>
      <c r="AJ250" t="s" s="0">
        <v>6275</v>
      </c>
      <c r="AK250" t="s" s="0">
        <v>82</v>
      </c>
      <c r="AL250" t="s" s="0">
        <v>464</v>
      </c>
      <c r="AM250" t="s" s="0">
        <v>1658</v>
      </c>
      <c r="AN250" t="s" s="0">
        <v>4998</v>
      </c>
      <c r="AO250" t="s" s="0">
        <v>78</v>
      </c>
      <c r="AP250" t="s" s="0">
        <v>323</v>
      </c>
      <c r="AQ250" t="s" s="0">
        <v>633</v>
      </c>
      <c r="AR250" t="s" s="0">
        <v>634</v>
      </c>
      <c r="AS250" t="s" s="0">
        <v>635</v>
      </c>
      <c r="AT250" t="s" s="0">
        <v>3642</v>
      </c>
      <c r="AU250" t="s" s="0">
        <v>82</v>
      </c>
      <c r="AV250" t="s" s="0">
        <v>82</v>
      </c>
      <c r="AW250" t="s" s="0">
        <v>3643</v>
      </c>
      <c r="AX250" t="s" s="0">
        <v>3644</v>
      </c>
      <c r="AY250" t="s" s="0">
        <v>6276</v>
      </c>
      <c r="AZ250" t="s" s="0">
        <v>525</v>
      </c>
      <c r="BA250" t="s" s="0">
        <v>137</v>
      </c>
      <c r="BB250" t="s" s="0">
        <v>77</v>
      </c>
      <c r="BC250" t="s" s="0">
        <v>82</v>
      </c>
      <c r="BD250" t="s" s="0">
        <v>82</v>
      </c>
      <c r="BE250" t="s" s="0">
        <v>82</v>
      </c>
      <c r="BF250" t="s" s="0">
        <v>82</v>
      </c>
      <c r="BG250" t="s" s="0">
        <v>82</v>
      </c>
      <c r="BH250" t="s" s="0">
        <v>82</v>
      </c>
      <c r="BI250" t="s" s="0">
        <v>6277</v>
      </c>
      <c r="BJ250" t="s" s="0">
        <v>6278</v>
      </c>
      <c r="BK250" t="s" s="497">
        <f>HYPERLINK("http://dx.doi.org/10.1038/s41598-021-82467-y","http://dx.doi.org/10.1038/s41598-021-82467-y")</f>
        <v>6279</v>
      </c>
      <c r="BL250" t="s" s="0">
        <v>82</v>
      </c>
      <c r="BM250" t="s" s="0">
        <v>82</v>
      </c>
      <c r="BN250" t="s" s="0">
        <v>319</v>
      </c>
      <c r="BO250" t="s" s="0">
        <v>644</v>
      </c>
      <c r="BP250" t="s" s="0">
        <v>645</v>
      </c>
      <c r="BQ250" t="s" s="0">
        <v>6280</v>
      </c>
      <c r="BR250" t="s" s="0">
        <v>6281</v>
      </c>
      <c r="BS250" t="s" s="0">
        <v>6282</v>
      </c>
      <c r="BT250" t="s" s="498">
        <f>HYPERLINK("https://www.webofscience.com/wos/woscc/full-record/WOS:000616967000021","View Record in Web of Science")</f>
        <v>120</v>
      </c>
      <c r="BU250" t="s" s="0">
        <v>121</v>
      </c>
      <c r="BV250" t="s" s="0">
        <v>82</v>
      </c>
      <c r="BW250" t="s" s="0">
        <v>82</v>
      </c>
      <c r="BX250" t="s" s="0">
        <v>122</v>
      </c>
    </row>
    <row r="251">
      <c r="A251" t="s" s="0">
        <v>78</v>
      </c>
      <c r="B251" t="s" s="0">
        <v>78</v>
      </c>
      <c r="C251" t="s" s="0">
        <v>78</v>
      </c>
      <c r="D251" t="s" s="0">
        <v>78</v>
      </c>
      <c r="E251" t="s" s="0">
        <v>6283</v>
      </c>
      <c r="F251" t="s" s="0">
        <v>6284</v>
      </c>
      <c r="G251" t="s" s="0">
        <v>6285</v>
      </c>
      <c r="H251" t="s" s="0">
        <v>82</v>
      </c>
      <c r="I251" t="s" s="0">
        <v>83</v>
      </c>
      <c r="J251" t="s" s="0">
        <v>6286</v>
      </c>
      <c r="K251" t="s" s="0">
        <v>6287</v>
      </c>
      <c r="L251" t="s" s="0">
        <v>82</v>
      </c>
      <c r="M251" t="s" s="0">
        <v>82</v>
      </c>
      <c r="N251" t="s" s="0">
        <v>82</v>
      </c>
      <c r="O251" t="s" s="0">
        <v>6288</v>
      </c>
      <c r="P251" t="s" s="0">
        <v>6289</v>
      </c>
      <c r="Q251" t="s" s="0">
        <v>91</v>
      </c>
      <c r="R251" t="s" s="0">
        <v>82</v>
      </c>
      <c r="S251" t="s" s="0">
        <v>82</v>
      </c>
      <c r="T251" t="s" s="0">
        <v>82</v>
      </c>
      <c r="U251" t="s" s="0">
        <v>82</v>
      </c>
      <c r="V251" t="s" s="0">
        <v>6290</v>
      </c>
      <c r="W251" t="s" s="0">
        <v>6291</v>
      </c>
      <c r="X251" t="s" s="0">
        <v>82</v>
      </c>
      <c r="Y251" t="s" s="0">
        <v>82</v>
      </c>
      <c r="Z251" t="s" s="0">
        <v>94</v>
      </c>
      <c r="AA251" t="s" s="0">
        <v>95</v>
      </c>
      <c r="AB251" t="s" s="0">
        <v>82</v>
      </c>
      <c r="AC251" t="s" s="0">
        <v>82</v>
      </c>
      <c r="AD251" t="s" s="0">
        <v>82</v>
      </c>
      <c r="AE251" t="s" s="0">
        <v>82</v>
      </c>
      <c r="AF251" t="s" s="0">
        <v>82</v>
      </c>
      <c r="AG251" t="s" s="0">
        <v>6292</v>
      </c>
      <c r="AH251" t="s" s="0">
        <v>6293</v>
      </c>
      <c r="AI251" t="s" s="0">
        <v>82</v>
      </c>
      <c r="AJ251" t="s" s="0">
        <v>82</v>
      </c>
      <c r="AK251" t="s" s="0">
        <v>82</v>
      </c>
      <c r="AL251" t="s" s="0">
        <v>1526</v>
      </c>
      <c r="AM251" t="s" s="0">
        <v>78</v>
      </c>
      <c r="AN251" t="s" s="0">
        <v>78</v>
      </c>
      <c r="AO251" t="s" s="0">
        <v>78</v>
      </c>
      <c r="AP251" t="s" s="0">
        <v>78</v>
      </c>
      <c r="AQ251" t="s" s="0">
        <v>832</v>
      </c>
      <c r="AR251" t="s" s="0">
        <v>833</v>
      </c>
      <c r="AS251" t="s" s="0">
        <v>834</v>
      </c>
      <c r="AT251" t="s" s="0">
        <v>6294</v>
      </c>
      <c r="AU251" t="s" s="0">
        <v>6295</v>
      </c>
      <c r="AV251" t="s" s="0">
        <v>82</v>
      </c>
      <c r="AW251" t="s" s="0">
        <v>6291</v>
      </c>
      <c r="AX251" t="s" s="0">
        <v>6296</v>
      </c>
      <c r="AY251" t="s" s="0">
        <v>6297</v>
      </c>
      <c r="AZ251" t="s" s="0">
        <v>181</v>
      </c>
      <c r="BA251" t="s" s="0">
        <v>2371</v>
      </c>
      <c r="BB251" t="s" s="0">
        <v>1780</v>
      </c>
      <c r="BC251" t="s" s="0">
        <v>82</v>
      </c>
      <c r="BD251" t="s" s="0">
        <v>82</v>
      </c>
      <c r="BE251" t="s" s="0">
        <v>82</v>
      </c>
      <c r="BF251" t="s" s="0">
        <v>82</v>
      </c>
      <c r="BG251" t="s" s="0">
        <v>82</v>
      </c>
      <c r="BH251" t="s" s="0">
        <v>82</v>
      </c>
      <c r="BI251" t="s" s="0">
        <v>6298</v>
      </c>
      <c r="BJ251" t="s" s="0">
        <v>6299</v>
      </c>
      <c r="BK251" t="s" s="499">
        <f>HYPERLINK("http://dx.doi.org/10.1097/MD.0000000000049480","http://dx.doi.org/10.1097/MD.0000000000049480")</f>
        <v>6300</v>
      </c>
      <c r="BL251" t="s" s="0">
        <v>82</v>
      </c>
      <c r="BM251" t="s" s="0">
        <v>82</v>
      </c>
      <c r="BN251" t="s" s="0">
        <v>115</v>
      </c>
      <c r="BO251" t="s" s="0">
        <v>354</v>
      </c>
      <c r="BP251" t="s" s="0">
        <v>355</v>
      </c>
      <c r="BQ251" t="s" s="0">
        <v>6301</v>
      </c>
      <c r="BR251" t="s" s="0">
        <v>6302</v>
      </c>
      <c r="BS251" t="s" s="0">
        <v>6303</v>
      </c>
      <c r="BT251" t="s" s="500">
        <f>HYPERLINK("https://www.webofscience.com/wos/woscc/full-record/WOS:001839600600040","View Record in Web of Science")</f>
        <v>120</v>
      </c>
      <c r="BU251" t="s" s="0">
        <v>121</v>
      </c>
      <c r="BV251" t="s" s="0">
        <v>82</v>
      </c>
      <c r="BW251" t="s" s="0">
        <v>82</v>
      </c>
      <c r="BX251" t="s" s="0">
        <v>122</v>
      </c>
    </row>
    <row r="252">
      <c r="A252" t="s" s="0">
        <v>78</v>
      </c>
      <c r="B252" t="s" s="0">
        <v>78</v>
      </c>
      <c r="C252" t="s" s="0">
        <v>78</v>
      </c>
      <c r="D252" t="s" s="0">
        <v>78</v>
      </c>
      <c r="E252" t="s" s="0">
        <v>6304</v>
      </c>
      <c r="F252" t="s" s="0">
        <v>6305</v>
      </c>
      <c r="G252" t="s" s="0">
        <v>6306</v>
      </c>
      <c r="H252" t="s" s="0">
        <v>82</v>
      </c>
      <c r="I252" t="s" s="0">
        <v>83</v>
      </c>
      <c r="J252" t="s" s="0">
        <v>6307</v>
      </c>
      <c r="K252" t="s" s="0">
        <v>6308</v>
      </c>
      <c r="L252" t="s" s="0">
        <v>6309</v>
      </c>
      <c r="M252" t="s" s="0">
        <v>6310</v>
      </c>
      <c r="N252" t="s" s="0">
        <v>6311</v>
      </c>
      <c r="O252" t="s" s="0">
        <v>6312</v>
      </c>
      <c r="P252" t="s" s="0">
        <v>6313</v>
      </c>
      <c r="Q252" t="s" s="0">
        <v>91</v>
      </c>
      <c r="R252" t="s" s="0">
        <v>82</v>
      </c>
      <c r="S252" t="s" s="0">
        <v>82</v>
      </c>
      <c r="T252" t="s" s="0">
        <v>82</v>
      </c>
      <c r="U252" t="s" s="0">
        <v>82</v>
      </c>
      <c r="V252" t="s" s="0">
        <v>6314</v>
      </c>
      <c r="W252" t="s" s="0">
        <v>6315</v>
      </c>
      <c r="X252" t="s" s="0">
        <v>82</v>
      </c>
      <c r="Y252" t="s" s="0">
        <v>82</v>
      </c>
      <c r="Z252" t="s" s="0">
        <v>94</v>
      </c>
      <c r="AA252" t="s" s="0">
        <v>95</v>
      </c>
      <c r="AB252" t="s" s="0">
        <v>82</v>
      </c>
      <c r="AC252" t="s" s="0">
        <v>82</v>
      </c>
      <c r="AD252" t="s" s="0">
        <v>82</v>
      </c>
      <c r="AE252" t="s" s="0">
        <v>82</v>
      </c>
      <c r="AF252" t="s" s="0">
        <v>82</v>
      </c>
      <c r="AG252" t="s" s="0">
        <v>6316</v>
      </c>
      <c r="AH252" t="s" s="0">
        <v>82</v>
      </c>
      <c r="AI252" t="s" s="0">
        <v>82</v>
      </c>
      <c r="AJ252" t="s" s="0">
        <v>82</v>
      </c>
      <c r="AK252" t="s" s="0">
        <v>82</v>
      </c>
      <c r="AL252" t="s" s="0">
        <v>344</v>
      </c>
      <c r="AM252" t="s" s="0">
        <v>78</v>
      </c>
      <c r="AN252" t="s" s="0">
        <v>78</v>
      </c>
      <c r="AO252" t="s" s="0">
        <v>78</v>
      </c>
      <c r="AP252" t="s" s="0">
        <v>102</v>
      </c>
      <c r="AQ252" t="s" s="0">
        <v>6317</v>
      </c>
      <c r="AR252" t="s" s="0">
        <v>6318</v>
      </c>
      <c r="AS252" t="s" s="0">
        <v>6319</v>
      </c>
      <c r="AT252" t="s" s="0">
        <v>6320</v>
      </c>
      <c r="AU252" t="s" s="0">
        <v>6321</v>
      </c>
      <c r="AV252" t="s" s="0">
        <v>82</v>
      </c>
      <c r="AW252" t="s" s="0">
        <v>6322</v>
      </c>
      <c r="AX252" t="s" s="0">
        <v>6323</v>
      </c>
      <c r="AY252" t="s" s="0">
        <v>3619</v>
      </c>
      <c r="AZ252" t="s" s="0">
        <v>147</v>
      </c>
      <c r="BA252" t="s" s="0">
        <v>353</v>
      </c>
      <c r="BB252" t="s" s="0">
        <v>77</v>
      </c>
      <c r="BC252" t="s" s="0">
        <v>82</v>
      </c>
      <c r="BD252" t="s" s="0">
        <v>82</v>
      </c>
      <c r="BE252" t="s" s="0">
        <v>82</v>
      </c>
      <c r="BF252" t="s" s="0">
        <v>82</v>
      </c>
      <c r="BG252" t="s" s="0">
        <v>82</v>
      </c>
      <c r="BH252" t="s" s="0">
        <v>82</v>
      </c>
      <c r="BI252" t="s" s="0">
        <v>101</v>
      </c>
      <c r="BJ252" t="s" s="0">
        <v>6324</v>
      </c>
      <c r="BK252" t="s" s="501">
        <f>HYPERLINK("http://dx.doi.org/10.1007/s10238-025-01886-7","http://dx.doi.org/10.1007/s10238-025-01886-7")</f>
        <v>6325</v>
      </c>
      <c r="BL252" t="s" s="0">
        <v>82</v>
      </c>
      <c r="BM252" t="s" s="0">
        <v>82</v>
      </c>
      <c r="BN252" t="s" s="0">
        <v>137</v>
      </c>
      <c r="BO252" t="s" s="0">
        <v>2464</v>
      </c>
      <c r="BP252" t="s" s="0">
        <v>2465</v>
      </c>
      <c r="BQ252" t="s" s="0">
        <v>6326</v>
      </c>
      <c r="BR252" t="s" s="0">
        <v>6327</v>
      </c>
      <c r="BS252" t="s" s="0">
        <v>6328</v>
      </c>
      <c r="BT252" t="s" s="502">
        <f>HYPERLINK("https://www.webofscience.com/wos/woscc/full-record/WOS:001618262700018","View Record in Web of Science")</f>
        <v>120</v>
      </c>
      <c r="BU252" t="s" s="0">
        <v>256</v>
      </c>
      <c r="BV252" t="s" s="0">
        <v>82</v>
      </c>
      <c r="BW252" t="s" s="0">
        <v>82</v>
      </c>
      <c r="BX252" t="s" s="0">
        <v>122</v>
      </c>
    </row>
    <row r="253">
      <c r="A253" t="s" s="0">
        <v>78</v>
      </c>
      <c r="B253" t="s" s="0">
        <v>78</v>
      </c>
      <c r="C253" t="s" s="0">
        <v>78</v>
      </c>
      <c r="D253" t="s" s="0">
        <v>78</v>
      </c>
      <c r="E253" t="s" s="0">
        <v>6329</v>
      </c>
      <c r="F253" t="s" s="0">
        <v>6330</v>
      </c>
      <c r="G253" t="s" s="0">
        <v>6331</v>
      </c>
      <c r="H253" t="s" s="0">
        <v>82</v>
      </c>
      <c r="I253" t="s" s="0">
        <v>83</v>
      </c>
      <c r="J253" t="s" s="0">
        <v>6332</v>
      </c>
      <c r="K253" t="s" s="0">
        <v>6333</v>
      </c>
      <c r="L253" t="s" s="0">
        <v>6334</v>
      </c>
      <c r="M253" t="s" s="0">
        <v>6334</v>
      </c>
      <c r="N253" t="s" s="0">
        <v>6335</v>
      </c>
      <c r="O253" t="s" s="0">
        <v>6336</v>
      </c>
      <c r="P253" t="s" s="0">
        <v>6337</v>
      </c>
      <c r="Q253" t="s" s="0">
        <v>91</v>
      </c>
      <c r="R253" t="s" s="0">
        <v>82</v>
      </c>
      <c r="S253" t="s" s="0">
        <v>82</v>
      </c>
      <c r="T253" t="s" s="0">
        <v>82</v>
      </c>
      <c r="U253" t="s" s="0">
        <v>82</v>
      </c>
      <c r="V253" t="s" s="0">
        <v>6338</v>
      </c>
      <c r="W253" t="s" s="0">
        <v>6339</v>
      </c>
      <c r="X253" t="s" s="0">
        <v>82</v>
      </c>
      <c r="Y253" t="s" s="0">
        <v>82</v>
      </c>
      <c r="Z253" t="s" s="0">
        <v>94</v>
      </c>
      <c r="AA253" t="s" s="0">
        <v>95</v>
      </c>
      <c r="AB253" t="s" s="0">
        <v>82</v>
      </c>
      <c r="AC253" t="s" s="0">
        <v>82</v>
      </c>
      <c r="AD253" t="s" s="0">
        <v>82</v>
      </c>
      <c r="AE253" t="s" s="0">
        <v>82</v>
      </c>
      <c r="AF253" t="s" s="0">
        <v>82</v>
      </c>
      <c r="AG253" t="s" s="0">
        <v>6340</v>
      </c>
      <c r="AH253" t="s" s="0">
        <v>6341</v>
      </c>
      <c r="AI253" t="s" s="0">
        <v>6342</v>
      </c>
      <c r="AJ253" t="s" s="0">
        <v>82</v>
      </c>
      <c r="AK253" t="s" s="0">
        <v>82</v>
      </c>
      <c r="AL253" t="s" s="0">
        <v>374</v>
      </c>
      <c r="AM253" t="s" s="0">
        <v>102</v>
      </c>
      <c r="AN253" t="s" s="0">
        <v>102</v>
      </c>
      <c r="AO253" t="s" s="0">
        <v>101</v>
      </c>
      <c r="AP253" t="s" s="0">
        <v>221</v>
      </c>
      <c r="AQ253" t="s" s="0">
        <v>103</v>
      </c>
      <c r="AR253" t="s" s="0">
        <v>104</v>
      </c>
      <c r="AS253" t="s" s="0">
        <v>105</v>
      </c>
      <c r="AT253" t="s" s="0">
        <v>6343</v>
      </c>
      <c r="AU253" t="s" s="0">
        <v>82</v>
      </c>
      <c r="AV253" t="s" s="0">
        <v>82</v>
      </c>
      <c r="AW253" t="s" s="0">
        <v>6344</v>
      </c>
      <c r="AX253" t="s" s="0">
        <v>6345</v>
      </c>
      <c r="AY253" t="s" s="0">
        <v>6346</v>
      </c>
      <c r="AZ253" t="s" s="0">
        <v>147</v>
      </c>
      <c r="BA253" t="s" s="0">
        <v>111</v>
      </c>
      <c r="BB253" t="s" s="0">
        <v>77</v>
      </c>
      <c r="BC253" t="s" s="0">
        <v>82</v>
      </c>
      <c r="BD253" t="s" s="0">
        <v>82</v>
      </c>
      <c r="BE253" t="s" s="0">
        <v>82</v>
      </c>
      <c r="BF253" t="s" s="0">
        <v>82</v>
      </c>
      <c r="BG253" t="s" s="0">
        <v>82</v>
      </c>
      <c r="BH253" t="s" s="0">
        <v>82</v>
      </c>
      <c r="BI253" t="s" s="0">
        <v>6347</v>
      </c>
      <c r="BJ253" t="s" s="0">
        <v>6348</v>
      </c>
      <c r="BK253" t="s" s="503">
        <f>HYPERLINK("http://dx.doi.org/10.1186/s12890-025-03881-w","http://dx.doi.org/10.1186/s12890-025-03881-w")</f>
        <v>6349</v>
      </c>
      <c r="BL253" t="s" s="0">
        <v>82</v>
      </c>
      <c r="BM253" t="s" s="0">
        <v>82</v>
      </c>
      <c r="BN253" t="s" s="0">
        <v>640</v>
      </c>
      <c r="BO253" t="s" s="0">
        <v>1227</v>
      </c>
      <c r="BP253" t="s" s="0">
        <v>1227</v>
      </c>
      <c r="BQ253" t="s" s="0">
        <v>6350</v>
      </c>
      <c r="BR253" t="s" s="0">
        <v>6351</v>
      </c>
      <c r="BS253" t="s" s="0">
        <v>6352</v>
      </c>
      <c r="BT253" t="s" s="504">
        <f>HYPERLINK("https://www.webofscience.com/wos/woscc/full-record/WOS:001549740500001","View Record in Web of Science")</f>
        <v>120</v>
      </c>
      <c r="BU253" t="s" s="0">
        <v>121</v>
      </c>
      <c r="BV253" t="s" s="0">
        <v>82</v>
      </c>
      <c r="BW253" t="s" s="0">
        <v>82</v>
      </c>
      <c r="BX253" t="s" s="0">
        <v>122</v>
      </c>
    </row>
    <row r="254">
      <c r="A254" t="s" s="0">
        <v>78</v>
      </c>
      <c r="B254" t="s" s="0">
        <v>78</v>
      </c>
      <c r="C254" t="s" s="0">
        <v>77</v>
      </c>
      <c r="D254" t="s" s="0">
        <v>78</v>
      </c>
      <c r="E254" t="s" s="0">
        <v>6353</v>
      </c>
      <c r="F254" t="s" s="0">
        <v>6354</v>
      </c>
      <c r="G254" t="s" s="0">
        <v>6355</v>
      </c>
      <c r="H254" t="s" s="0">
        <v>82</v>
      </c>
      <c r="I254" t="s" s="0">
        <v>297</v>
      </c>
      <c r="J254" t="s" s="0">
        <v>6356</v>
      </c>
      <c r="K254" t="s" s="0">
        <v>6357</v>
      </c>
      <c r="L254" t="s" s="0">
        <v>82</v>
      </c>
      <c r="M254" t="s" s="0">
        <v>82</v>
      </c>
      <c r="N254" t="s" s="0">
        <v>82</v>
      </c>
      <c r="O254" t="s" s="0">
        <v>6358</v>
      </c>
      <c r="P254" t="s" s="0">
        <v>6359</v>
      </c>
      <c r="Q254" t="s" s="0">
        <v>91</v>
      </c>
      <c r="R254" t="s" s="0">
        <v>82</v>
      </c>
      <c r="S254" t="s" s="0">
        <v>82</v>
      </c>
      <c r="T254" t="s" s="0">
        <v>82</v>
      </c>
      <c r="U254" t="s" s="0">
        <v>82</v>
      </c>
      <c r="V254" t="s" s="0">
        <v>6360</v>
      </c>
      <c r="W254" t="s" s="0">
        <v>6361</v>
      </c>
      <c r="X254" t="s" s="0">
        <v>82</v>
      </c>
      <c r="Y254" t="s" s="0">
        <v>82</v>
      </c>
      <c r="Z254" t="s" s="0">
        <v>94</v>
      </c>
      <c r="AA254" t="s" s="0">
        <v>95</v>
      </c>
      <c r="AB254" t="s" s="0">
        <v>82</v>
      </c>
      <c r="AC254" t="s" s="0">
        <v>82</v>
      </c>
      <c r="AD254" t="s" s="0">
        <v>82</v>
      </c>
      <c r="AE254" t="s" s="0">
        <v>82</v>
      </c>
      <c r="AF254" t="s" s="0">
        <v>82</v>
      </c>
      <c r="AG254" t="s" s="0">
        <v>82</v>
      </c>
      <c r="AH254" t="s" s="0">
        <v>6362</v>
      </c>
      <c r="AI254" t="s" s="0">
        <v>6363</v>
      </c>
      <c r="AJ254" t="s" s="0">
        <v>6364</v>
      </c>
      <c r="AK254" t="s" s="0">
        <v>82</v>
      </c>
      <c r="AL254" t="s" s="0">
        <v>1161</v>
      </c>
      <c r="AM254" t="s" s="0">
        <v>447</v>
      </c>
      <c r="AN254" t="s" s="0">
        <v>447</v>
      </c>
      <c r="AO254" t="s" s="0">
        <v>77</v>
      </c>
      <c r="AP254" t="s" s="0">
        <v>77</v>
      </c>
      <c r="AQ254" t="s" s="0">
        <v>277</v>
      </c>
      <c r="AR254" t="s" s="0">
        <v>278</v>
      </c>
      <c r="AS254" t="s" s="0">
        <v>279</v>
      </c>
      <c r="AT254" t="s" s="0">
        <v>82</v>
      </c>
      <c r="AU254" t="s" s="0">
        <v>6365</v>
      </c>
      <c r="AV254" t="s" s="0">
        <v>82</v>
      </c>
      <c r="AW254" t="s" s="0">
        <v>6366</v>
      </c>
      <c r="AX254" t="s" s="0">
        <v>6367</v>
      </c>
      <c r="AY254" t="s" s="0">
        <v>502</v>
      </c>
      <c r="AZ254" t="s" s="0">
        <v>147</v>
      </c>
      <c r="BA254" t="s" s="0">
        <v>319</v>
      </c>
      <c r="BB254" t="s" s="0">
        <v>102</v>
      </c>
      <c r="BC254" t="s" s="0">
        <v>82</v>
      </c>
      <c r="BD254" t="s" s="0">
        <v>82</v>
      </c>
      <c r="BE254" t="s" s="0">
        <v>82</v>
      </c>
      <c r="BF254" t="s" s="0">
        <v>82</v>
      </c>
      <c r="BG254" t="s" s="0">
        <v>82</v>
      </c>
      <c r="BH254" t="s" s="0">
        <v>82</v>
      </c>
      <c r="BI254" t="s" s="0">
        <v>6368</v>
      </c>
      <c r="BJ254" t="s" s="0">
        <v>6369</v>
      </c>
      <c r="BK254" t="s" s="505">
        <f>HYPERLINK("http://dx.doi.org/10.1016/j.mayocpiqo.2025.100631","http://dx.doi.org/10.1016/j.mayocpiqo.2025.100631")</f>
        <v>6370</v>
      </c>
      <c r="BL254" t="s" s="0">
        <v>82</v>
      </c>
      <c r="BM254" t="s" s="0">
        <v>1556</v>
      </c>
      <c r="BN254" t="s" s="0">
        <v>319</v>
      </c>
      <c r="BO254" t="s" s="0">
        <v>6371</v>
      </c>
      <c r="BP254" t="s" s="0">
        <v>6372</v>
      </c>
      <c r="BQ254" t="s" s="0">
        <v>6373</v>
      </c>
      <c r="BR254" t="s" s="0">
        <v>6374</v>
      </c>
      <c r="BS254" t="s" s="0">
        <v>6375</v>
      </c>
      <c r="BT254" t="s" s="506">
        <f>HYPERLINK("https://www.webofscience.com/wos/woscc/full-record/WOS:001553852000008","View Record in Web of Science")</f>
        <v>120</v>
      </c>
      <c r="BU254" t="s" s="0">
        <v>121</v>
      </c>
      <c r="BV254" t="s" s="0">
        <v>82</v>
      </c>
      <c r="BW254" t="s" s="0">
        <v>82</v>
      </c>
      <c r="BX254" t="s" s="0">
        <v>122</v>
      </c>
    </row>
    <row r="255">
      <c r="A255" t="s" s="0">
        <v>78</v>
      </c>
      <c r="B255" t="s" s="0">
        <v>78</v>
      </c>
      <c r="C255" t="s" s="0">
        <v>78</v>
      </c>
      <c r="D255" t="s" s="0">
        <v>78</v>
      </c>
      <c r="E255" t="s" s="0">
        <v>6376</v>
      </c>
      <c r="F255" t="s" s="0">
        <v>6377</v>
      </c>
      <c r="G255" t="s" s="0">
        <v>6378</v>
      </c>
      <c r="H255" t="s" s="0">
        <v>82</v>
      </c>
      <c r="I255" t="s" s="0">
        <v>83</v>
      </c>
      <c r="J255" t="s" s="0">
        <v>6379</v>
      </c>
      <c r="K255" t="s" s="0">
        <v>6380</v>
      </c>
      <c r="L255" t="s" s="0">
        <v>6381</v>
      </c>
      <c r="M255" t="s" s="0">
        <v>6382</v>
      </c>
      <c r="N255" t="s" s="0">
        <v>6383</v>
      </c>
      <c r="O255" t="s" s="0">
        <v>6384</v>
      </c>
      <c r="P255" t="s" s="0">
        <v>6385</v>
      </c>
      <c r="Q255" t="s" s="0">
        <v>91</v>
      </c>
      <c r="R255" t="s" s="0">
        <v>82</v>
      </c>
      <c r="S255" t="s" s="0">
        <v>82</v>
      </c>
      <c r="T255" t="s" s="0">
        <v>82</v>
      </c>
      <c r="U255" t="s" s="0">
        <v>82</v>
      </c>
      <c r="V255" t="s" s="0">
        <v>6386</v>
      </c>
      <c r="W255" t="s" s="0">
        <v>6387</v>
      </c>
      <c r="X255" t="s" s="0">
        <v>82</v>
      </c>
      <c r="Y255" t="s" s="0">
        <v>82</v>
      </c>
      <c r="Z255" t="s" s="0">
        <v>94</v>
      </c>
      <c r="AA255" t="s" s="0">
        <v>95</v>
      </c>
      <c r="AB255" t="s" s="0">
        <v>82</v>
      </c>
      <c r="AC255" t="s" s="0">
        <v>82</v>
      </c>
      <c r="AD255" t="s" s="0">
        <v>82</v>
      </c>
      <c r="AE255" t="s" s="0">
        <v>82</v>
      </c>
      <c r="AF255" t="s" s="0">
        <v>82</v>
      </c>
      <c r="AG255" t="s" s="0">
        <v>6388</v>
      </c>
      <c r="AH255" t="s" s="0">
        <v>6389</v>
      </c>
      <c r="AI255" t="s" s="0">
        <v>6390</v>
      </c>
      <c r="AJ255" t="s" s="0">
        <v>82</v>
      </c>
      <c r="AK255" t="s" s="0">
        <v>82</v>
      </c>
      <c r="AL255" t="s" s="0">
        <v>1502</v>
      </c>
      <c r="AM255" t="s" s="0">
        <v>78</v>
      </c>
      <c r="AN255" t="s" s="0">
        <v>77</v>
      </c>
      <c r="AO255" t="s" s="0">
        <v>78</v>
      </c>
      <c r="AP255" t="s" s="0">
        <v>102</v>
      </c>
      <c r="AQ255" t="s" s="0">
        <v>2484</v>
      </c>
      <c r="AR255" t="s" s="0">
        <v>2485</v>
      </c>
      <c r="AS255" t="s" s="0">
        <v>2486</v>
      </c>
      <c r="AT255" t="s" s="0">
        <v>6391</v>
      </c>
      <c r="AU255" t="s" s="0">
        <v>82</v>
      </c>
      <c r="AV255" t="s" s="0">
        <v>82</v>
      </c>
      <c r="AW255" t="s" s="0">
        <v>6392</v>
      </c>
      <c r="AX255" t="s" s="0">
        <v>6393</v>
      </c>
      <c r="AY255" t="s" s="0">
        <v>6394</v>
      </c>
      <c r="AZ255" t="s" s="0">
        <v>147</v>
      </c>
      <c r="BA255" t="s" s="0">
        <v>349</v>
      </c>
      <c r="BB255" t="s" s="0">
        <v>82</v>
      </c>
      <c r="BC255" t="s" s="0">
        <v>82</v>
      </c>
      <c r="BD255" t="s" s="0">
        <v>82</v>
      </c>
      <c r="BE255" t="s" s="0">
        <v>82</v>
      </c>
      <c r="BF255" t="s" s="0">
        <v>82</v>
      </c>
      <c r="BG255" t="s" s="0">
        <v>82</v>
      </c>
      <c r="BH255" t="s" s="0">
        <v>82</v>
      </c>
      <c r="BI255" t="s" s="0">
        <v>6395</v>
      </c>
      <c r="BJ255" t="s" s="0">
        <v>6396</v>
      </c>
      <c r="BK255" t="s" s="507">
        <f>HYPERLINK("http://dx.doi.org/10.3389/fonc.2025.1572838","http://dx.doi.org/10.3389/fonc.2025.1572838")</f>
        <v>6397</v>
      </c>
      <c r="BL255" t="s" s="0">
        <v>82</v>
      </c>
      <c r="BM255" t="s" s="0">
        <v>82</v>
      </c>
      <c r="BN255" t="s" s="0">
        <v>149</v>
      </c>
      <c r="BO255" t="s" s="0">
        <v>4833</v>
      </c>
      <c r="BP255" t="s" s="0">
        <v>4833</v>
      </c>
      <c r="BQ255" t="s" s="0">
        <v>6398</v>
      </c>
      <c r="BR255" t="s" s="0">
        <v>6399</v>
      </c>
      <c r="BS255" t="s" s="0">
        <v>6400</v>
      </c>
      <c r="BT255" t="s" s="508">
        <f>HYPERLINK("https://www.webofscience.com/wos/woscc/full-record/WOS:001470461300001","View Record in Web of Science")</f>
        <v>120</v>
      </c>
      <c r="BU255" t="s" s="0">
        <v>121</v>
      </c>
      <c r="BV255" t="s" s="0">
        <v>82</v>
      </c>
      <c r="BW255" t="s" s="0">
        <v>82</v>
      </c>
      <c r="BX255" t="s" s="0">
        <v>122</v>
      </c>
    </row>
    <row r="256">
      <c r="A256" t="s" s="0">
        <v>78</v>
      </c>
      <c r="B256" t="s" s="0">
        <v>78</v>
      </c>
      <c r="C256" t="s" s="0">
        <v>78</v>
      </c>
      <c r="D256" t="s" s="0">
        <v>78</v>
      </c>
      <c r="E256" t="s" s="0">
        <v>6401</v>
      </c>
      <c r="F256" t="s" s="0">
        <v>6402</v>
      </c>
      <c r="G256" t="s" s="0">
        <v>6403</v>
      </c>
      <c r="H256" t="s" s="0">
        <v>82</v>
      </c>
      <c r="I256" t="s" s="0">
        <v>83</v>
      </c>
      <c r="J256" t="s" s="0">
        <v>6404</v>
      </c>
      <c r="K256" t="s" s="0">
        <v>6405</v>
      </c>
      <c r="L256" t="s" s="0">
        <v>82</v>
      </c>
      <c r="M256" t="s" s="0">
        <v>82</v>
      </c>
      <c r="N256" t="s" s="0">
        <v>82</v>
      </c>
      <c r="O256" t="s" s="0">
        <v>6406</v>
      </c>
      <c r="P256" t="s" s="0">
        <v>6407</v>
      </c>
      <c r="Q256" t="s" s="0">
        <v>91</v>
      </c>
      <c r="R256" t="s" s="0">
        <v>82</v>
      </c>
      <c r="S256" t="s" s="0">
        <v>82</v>
      </c>
      <c r="T256" t="s" s="0">
        <v>82</v>
      </c>
      <c r="U256" t="s" s="0">
        <v>82</v>
      </c>
      <c r="V256" t="s" s="0">
        <v>6408</v>
      </c>
      <c r="W256" t="s" s="0">
        <v>3797</v>
      </c>
      <c r="X256" t="s" s="0">
        <v>82</v>
      </c>
      <c r="Y256" t="s" s="0">
        <v>82</v>
      </c>
      <c r="Z256" t="s" s="0">
        <v>94</v>
      </c>
      <c r="AA256" t="s" s="0">
        <v>95</v>
      </c>
      <c r="AB256" t="s" s="0">
        <v>82</v>
      </c>
      <c r="AC256" t="s" s="0">
        <v>82</v>
      </c>
      <c r="AD256" t="s" s="0">
        <v>82</v>
      </c>
      <c r="AE256" t="s" s="0">
        <v>82</v>
      </c>
      <c r="AF256" t="s" s="0">
        <v>82</v>
      </c>
      <c r="AG256" t="s" s="0">
        <v>6409</v>
      </c>
      <c r="AH256" t="s" s="0">
        <v>6410</v>
      </c>
      <c r="AI256" t="s" s="0">
        <v>82</v>
      </c>
      <c r="AJ256" t="s" s="0">
        <v>6411</v>
      </c>
      <c r="AK256" t="s" s="0">
        <v>82</v>
      </c>
      <c r="AL256" t="s" s="0">
        <v>344</v>
      </c>
      <c r="AM256" t="s" s="0">
        <v>138</v>
      </c>
      <c r="AN256" t="s" s="0">
        <v>138</v>
      </c>
      <c r="AO256" t="s" s="0">
        <v>102</v>
      </c>
      <c r="AP256" t="s" s="0">
        <v>245</v>
      </c>
      <c r="AQ256" t="s" s="0">
        <v>202</v>
      </c>
      <c r="AR256" t="s" s="0">
        <v>203</v>
      </c>
      <c r="AS256" t="s" s="0">
        <v>204</v>
      </c>
      <c r="AT256" t="s" s="0">
        <v>3801</v>
      </c>
      <c r="AU256" t="s" s="0">
        <v>3802</v>
      </c>
      <c r="AV256" t="s" s="0">
        <v>82</v>
      </c>
      <c r="AW256" t="s" s="0">
        <v>3803</v>
      </c>
      <c r="AX256" t="s" s="0">
        <v>3804</v>
      </c>
      <c r="AY256" t="s" s="0">
        <v>949</v>
      </c>
      <c r="AZ256" t="s" s="0">
        <v>147</v>
      </c>
      <c r="BA256" t="s" s="0">
        <v>273</v>
      </c>
      <c r="BB256" t="s" s="0">
        <v>138</v>
      </c>
      <c r="BC256" t="s" s="0">
        <v>82</v>
      </c>
      <c r="BD256" t="s" s="0">
        <v>82</v>
      </c>
      <c r="BE256" t="s" s="0">
        <v>82</v>
      </c>
      <c r="BF256" t="s" s="0">
        <v>82</v>
      </c>
      <c r="BG256" t="s" s="0">
        <v>5019</v>
      </c>
      <c r="BH256" t="s" s="0">
        <v>6412</v>
      </c>
      <c r="BI256" t="s" s="0">
        <v>82</v>
      </c>
      <c r="BJ256" t="s" s="0">
        <v>6413</v>
      </c>
      <c r="BK256" t="s" s="509">
        <f>HYPERLINK("http://dx.doi.org/10.1016/j.acra.2025.03.039","http://dx.doi.org/10.1016/j.acra.2025.03.039")</f>
        <v>6414</v>
      </c>
      <c r="BL256" t="s" s="0">
        <v>82</v>
      </c>
      <c r="BM256" t="s" s="0">
        <v>1394</v>
      </c>
      <c r="BN256" t="s" s="0">
        <v>137</v>
      </c>
      <c r="BO256" t="s" s="0">
        <v>414</v>
      </c>
      <c r="BP256" t="s" s="0">
        <v>414</v>
      </c>
      <c r="BQ256" t="s" s="0">
        <v>6415</v>
      </c>
      <c r="BR256" t="s" s="0">
        <v>6416</v>
      </c>
      <c r="BS256" t="s" s="0">
        <v>6417</v>
      </c>
      <c r="BT256" t="s" s="510">
        <f>HYPERLINK("https://www.webofscience.com/wos/woscc/full-record/WOS:001522341300002","View Record in Web of Science")</f>
        <v>120</v>
      </c>
      <c r="BU256" t="s" s="0">
        <v>82</v>
      </c>
      <c r="BV256" t="s" s="0">
        <v>82</v>
      </c>
      <c r="BW256" t="s" s="0">
        <v>82</v>
      </c>
      <c r="BX256" t="s" s="0">
        <v>122</v>
      </c>
    </row>
    <row r="257">
      <c r="A257" t="s" s="0">
        <v>78</v>
      </c>
      <c r="B257" t="s" s="0">
        <v>78</v>
      </c>
      <c r="C257" t="s" s="0">
        <v>102</v>
      </c>
      <c r="D257" t="s" s="0">
        <v>78</v>
      </c>
      <c r="E257" t="s" s="0">
        <v>6418</v>
      </c>
      <c r="F257" t="s" s="0">
        <v>6419</v>
      </c>
      <c r="G257" t="s" s="0">
        <v>6420</v>
      </c>
      <c r="H257" t="s" s="0">
        <v>82</v>
      </c>
      <c r="I257" t="s" s="0">
        <v>297</v>
      </c>
      <c r="J257" t="s" s="0">
        <v>6421</v>
      </c>
      <c r="K257" t="s" s="0">
        <v>6422</v>
      </c>
      <c r="L257" t="s" s="0">
        <v>82</v>
      </c>
      <c r="M257" t="s" s="0">
        <v>82</v>
      </c>
      <c r="N257" t="s" s="0">
        <v>82</v>
      </c>
      <c r="O257" t="s" s="0">
        <v>6423</v>
      </c>
      <c r="P257" t="s" s="0">
        <v>6424</v>
      </c>
      <c r="Q257" t="s" s="0">
        <v>91</v>
      </c>
      <c r="R257" t="s" s="0">
        <v>82</v>
      </c>
      <c r="S257" t="s" s="0">
        <v>82</v>
      </c>
      <c r="T257" t="s" s="0">
        <v>82</v>
      </c>
      <c r="U257" t="s" s="0">
        <v>82</v>
      </c>
      <c r="V257" t="s" s="0">
        <v>6425</v>
      </c>
      <c r="W257" t="s" s="0">
        <v>486</v>
      </c>
      <c r="X257" t="s" s="0">
        <v>82</v>
      </c>
      <c r="Y257" t="s" s="0">
        <v>82</v>
      </c>
      <c r="Z257" t="s" s="0">
        <v>94</v>
      </c>
      <c r="AA257" t="s" s="0">
        <v>95</v>
      </c>
      <c r="AB257" t="s" s="0">
        <v>82</v>
      </c>
      <c r="AC257" t="s" s="0">
        <v>82</v>
      </c>
      <c r="AD257" t="s" s="0">
        <v>82</v>
      </c>
      <c r="AE257" t="s" s="0">
        <v>82</v>
      </c>
      <c r="AF257" t="s" s="0">
        <v>82</v>
      </c>
      <c r="AG257" t="s" s="0">
        <v>6426</v>
      </c>
      <c r="AH257" t="s" s="0">
        <v>6427</v>
      </c>
      <c r="AI257" t="s" s="0">
        <v>6428</v>
      </c>
      <c r="AJ257" t="s" s="0">
        <v>6429</v>
      </c>
      <c r="AK257" t="s" s="0">
        <v>82</v>
      </c>
      <c r="AL257" t="s" s="0">
        <v>828</v>
      </c>
      <c r="AM257" t="s" s="0">
        <v>640</v>
      </c>
      <c r="AN257" t="s" s="0">
        <v>154</v>
      </c>
      <c r="AO257" t="s" s="0">
        <v>77</v>
      </c>
      <c r="AP257" t="s" s="0">
        <v>138</v>
      </c>
      <c r="AQ257" t="s" s="0">
        <v>491</v>
      </c>
      <c r="AR257" t="s" s="0">
        <v>492</v>
      </c>
      <c r="AS257" t="s" s="0">
        <v>493</v>
      </c>
      <c r="AT257" t="s" s="0">
        <v>82</v>
      </c>
      <c r="AU257" t="s" s="0">
        <v>494</v>
      </c>
      <c r="AV257" t="s" s="0">
        <v>82</v>
      </c>
      <c r="AW257" t="s" s="0">
        <v>495</v>
      </c>
      <c r="AX257" t="s" s="0">
        <v>496</v>
      </c>
      <c r="AY257" t="s" s="0">
        <v>6430</v>
      </c>
      <c r="AZ257" t="s" s="0">
        <v>110</v>
      </c>
      <c r="BA257" t="s" s="0">
        <v>221</v>
      </c>
      <c r="BB257" t="s" s="0">
        <v>447</v>
      </c>
      <c r="BC257" t="s" s="0">
        <v>82</v>
      </c>
      <c r="BD257" t="s" s="0">
        <v>82</v>
      </c>
      <c r="BE257" t="s" s="0">
        <v>82</v>
      </c>
      <c r="BF257" t="s" s="0">
        <v>82</v>
      </c>
      <c r="BG257" t="s" s="0">
        <v>6431</v>
      </c>
      <c r="BH257" t="s" s="0">
        <v>2088</v>
      </c>
      <c r="BI257" t="s" s="0">
        <v>82</v>
      </c>
      <c r="BJ257" t="s" s="0">
        <v>6432</v>
      </c>
      <c r="BK257" t="s" s="511">
        <f>HYPERLINK("http://dx.doi.org/10.1093/ehjdh/ztad081","http://dx.doi.org/10.1093/ehjdh/ztad081")</f>
        <v>6433</v>
      </c>
      <c r="BL257" t="s" s="0">
        <v>82</v>
      </c>
      <c r="BM257" t="s" s="0">
        <v>5018</v>
      </c>
      <c r="BN257" t="s" s="0">
        <v>136</v>
      </c>
      <c r="BO257" t="s" s="0">
        <v>503</v>
      </c>
      <c r="BP257" t="s" s="0">
        <v>504</v>
      </c>
      <c r="BQ257" t="s" s="0">
        <v>6434</v>
      </c>
      <c r="BR257" t="s" s="0">
        <v>6435</v>
      </c>
      <c r="BS257" t="s" s="0">
        <v>6436</v>
      </c>
      <c r="BT257" t="s" s="512">
        <f>HYPERLINK("https://www.webofscience.com/wos/woscc/full-record/WOS:001133770300001","View Record in Web of Science")</f>
        <v>120</v>
      </c>
      <c r="BU257" t="s" s="0">
        <v>121</v>
      </c>
      <c r="BV257" t="s" s="0">
        <v>82</v>
      </c>
      <c r="BW257" t="s" s="0">
        <v>82</v>
      </c>
      <c r="BX257" t="s" s="0">
        <v>122</v>
      </c>
    </row>
    <row r="258">
      <c r="A258" t="s" s="0">
        <v>138</v>
      </c>
      <c r="B258" t="s" s="0">
        <v>78</v>
      </c>
      <c r="C258" t="s" s="0">
        <v>154</v>
      </c>
      <c r="D258" t="s" s="0">
        <v>78</v>
      </c>
      <c r="E258" t="s" s="0">
        <v>6437</v>
      </c>
      <c r="F258" t="s" s="0">
        <v>6438</v>
      </c>
      <c r="G258" t="s" s="0">
        <v>6439</v>
      </c>
      <c r="H258" t="s" s="0">
        <v>82</v>
      </c>
      <c r="I258" t="s" s="0">
        <v>83</v>
      </c>
      <c r="J258" t="s" s="0">
        <v>6440</v>
      </c>
      <c r="K258" t="s" s="0">
        <v>6441</v>
      </c>
      <c r="L258" t="s" s="0">
        <v>6442</v>
      </c>
      <c r="M258" t="s" s="0">
        <v>6442</v>
      </c>
      <c r="N258" t="s" s="0">
        <v>6443</v>
      </c>
      <c r="O258" t="s" s="0">
        <v>6444</v>
      </c>
      <c r="P258" t="s" s="0">
        <v>6445</v>
      </c>
      <c r="Q258" t="s" s="0">
        <v>91</v>
      </c>
      <c r="R258" t="s" s="0">
        <v>82</v>
      </c>
      <c r="S258" t="s" s="0">
        <v>82</v>
      </c>
      <c r="T258" t="s" s="0">
        <v>82</v>
      </c>
      <c r="U258" t="s" s="0">
        <v>82</v>
      </c>
      <c r="V258" t="s" s="0">
        <v>6446</v>
      </c>
      <c r="W258" t="s" s="0">
        <v>269</v>
      </c>
      <c r="X258" t="s" s="0">
        <v>82</v>
      </c>
      <c r="Y258" t="s" s="0">
        <v>82</v>
      </c>
      <c r="Z258" t="s" s="0">
        <v>94</v>
      </c>
      <c r="AA258" t="s" s="0">
        <v>95</v>
      </c>
      <c r="AB258" t="s" s="0">
        <v>82</v>
      </c>
      <c r="AC258" t="s" s="0">
        <v>82</v>
      </c>
      <c r="AD258" t="s" s="0">
        <v>82</v>
      </c>
      <c r="AE258" t="s" s="0">
        <v>82</v>
      </c>
      <c r="AF258" t="s" s="0">
        <v>82</v>
      </c>
      <c r="AG258" t="s" s="0">
        <v>82</v>
      </c>
      <c r="AH258" t="s" s="0">
        <v>6447</v>
      </c>
      <c r="AI258" t="s" s="0">
        <v>6448</v>
      </c>
      <c r="AJ258" t="s" s="0">
        <v>6449</v>
      </c>
      <c r="AK258" t="s" s="0">
        <v>82</v>
      </c>
      <c r="AL258" t="s" s="0">
        <v>399</v>
      </c>
      <c r="AM258" t="s" s="0">
        <v>6450</v>
      </c>
      <c r="AN258" t="s" s="0">
        <v>6451</v>
      </c>
      <c r="AO258" t="s" s="0">
        <v>78</v>
      </c>
      <c r="AP258" t="s" s="0">
        <v>463</v>
      </c>
      <c r="AQ258" t="s" s="0">
        <v>277</v>
      </c>
      <c r="AR258" t="s" s="0">
        <v>278</v>
      </c>
      <c r="AS258" t="s" s="0">
        <v>279</v>
      </c>
      <c r="AT258" t="s" s="0">
        <v>82</v>
      </c>
      <c r="AU258" t="s" s="0">
        <v>280</v>
      </c>
      <c r="AV258" t="s" s="0">
        <v>82</v>
      </c>
      <c r="AW258" t="s" s="0">
        <v>281</v>
      </c>
      <c r="AX258" t="s" s="0">
        <v>282</v>
      </c>
      <c r="AY258" t="s" s="0">
        <v>6452</v>
      </c>
      <c r="AZ258" t="s" s="0">
        <v>1035</v>
      </c>
      <c r="BA258" t="s" s="0">
        <v>447</v>
      </c>
      <c r="BB258" t="s" s="0">
        <v>245</v>
      </c>
      <c r="BC258" t="s" s="0">
        <v>82</v>
      </c>
      <c r="BD258" t="s" s="0">
        <v>82</v>
      </c>
      <c r="BE258" t="s" s="0">
        <v>82</v>
      </c>
      <c r="BF258" t="s" s="0">
        <v>82</v>
      </c>
      <c r="BG258" t="s" s="0">
        <v>6453</v>
      </c>
      <c r="BH258" t="s" s="0">
        <v>6454</v>
      </c>
      <c r="BI258" t="s" s="0">
        <v>82</v>
      </c>
      <c r="BJ258" t="s" s="0">
        <v>82</v>
      </c>
      <c r="BK258" t="s" s="0">
        <v>82</v>
      </c>
      <c r="BL258" t="s" s="0">
        <v>82</v>
      </c>
      <c r="BM258" t="s" s="0">
        <v>82</v>
      </c>
      <c r="BN258" t="s" s="0">
        <v>245</v>
      </c>
      <c r="BO258" t="s" s="0">
        <v>289</v>
      </c>
      <c r="BP258" t="s" s="0">
        <v>290</v>
      </c>
      <c r="BQ258" t="s" s="0">
        <v>6455</v>
      </c>
      <c r="BR258" t="s" s="0">
        <v>6456</v>
      </c>
      <c r="BS258" t="s" s="0">
        <v>6457</v>
      </c>
      <c r="BT258" t="s" s="513">
        <f>HYPERLINK("https://www.webofscience.com/wos/woscc/full-record/WOS:000581145100008","View Record in Web of Science")</f>
        <v>120</v>
      </c>
      <c r="BU258" t="s" s="0">
        <v>121</v>
      </c>
      <c r="BV258" t="s" s="0">
        <v>82</v>
      </c>
      <c r="BW258" t="s" s="0">
        <v>82</v>
      </c>
      <c r="BX258" t="s" s="0">
        <v>122</v>
      </c>
    </row>
    <row r="259">
      <c r="A259" t="s" s="0">
        <v>77</v>
      </c>
      <c r="B259" t="s" s="0">
        <v>78</v>
      </c>
      <c r="C259" t="s" s="0">
        <v>78</v>
      </c>
      <c r="D259" t="s" s="0">
        <v>78</v>
      </c>
      <c r="E259" t="s" s="0">
        <v>6458</v>
      </c>
      <c r="F259" t="s" s="0">
        <v>6459</v>
      </c>
      <c r="G259" t="s" s="0">
        <v>6460</v>
      </c>
      <c r="H259" t="s" s="0">
        <v>82</v>
      </c>
      <c r="I259" t="s" s="0">
        <v>83</v>
      </c>
      <c r="J259" t="s" s="0">
        <v>6461</v>
      </c>
      <c r="K259" t="s" s="0">
        <v>6462</v>
      </c>
      <c r="L259" t="s" s="0">
        <v>82</v>
      </c>
      <c r="M259" t="s" s="0">
        <v>82</v>
      </c>
      <c r="N259" t="s" s="0">
        <v>82</v>
      </c>
      <c r="O259" t="s" s="0">
        <v>6463</v>
      </c>
      <c r="P259" t="s" s="0">
        <v>6464</v>
      </c>
      <c r="Q259" t="s" s="0">
        <v>91</v>
      </c>
      <c r="R259" t="s" s="0">
        <v>82</v>
      </c>
      <c r="S259" t="s" s="0">
        <v>82</v>
      </c>
      <c r="T259" t="s" s="0">
        <v>82</v>
      </c>
      <c r="U259" t="s" s="0">
        <v>82</v>
      </c>
      <c r="V259" t="s" s="0">
        <v>6465</v>
      </c>
      <c r="W259" t="s" s="0">
        <v>6466</v>
      </c>
      <c r="X259" t="s" s="0">
        <v>82</v>
      </c>
      <c r="Y259" t="s" s="0">
        <v>82</v>
      </c>
      <c r="Z259" t="s" s="0">
        <v>94</v>
      </c>
      <c r="AA259" t="s" s="0">
        <v>95</v>
      </c>
      <c r="AB259" t="s" s="0">
        <v>82</v>
      </c>
      <c r="AC259" t="s" s="0">
        <v>82</v>
      </c>
      <c r="AD259" t="s" s="0">
        <v>82</v>
      </c>
      <c r="AE259" t="s" s="0">
        <v>82</v>
      </c>
      <c r="AF259" t="s" s="0">
        <v>82</v>
      </c>
      <c r="AG259" t="s" s="0">
        <v>6467</v>
      </c>
      <c r="AH259" t="s" s="0">
        <v>6468</v>
      </c>
      <c r="AI259" t="s" s="0">
        <v>6469</v>
      </c>
      <c r="AJ259" t="s" s="0">
        <v>6470</v>
      </c>
      <c r="AK259" t="s" s="0">
        <v>82</v>
      </c>
      <c r="AL259" t="s" s="0">
        <v>399</v>
      </c>
      <c r="AM259" t="s" s="0">
        <v>149</v>
      </c>
      <c r="AN259" t="s" s="0">
        <v>115</v>
      </c>
      <c r="AO259" t="s" s="0">
        <v>78</v>
      </c>
      <c r="AP259" t="s" s="0">
        <v>138</v>
      </c>
      <c r="AQ259" t="s" s="0">
        <v>312</v>
      </c>
      <c r="AR259" t="s" s="0">
        <v>313</v>
      </c>
      <c r="AS259" t="s" s="0">
        <v>314</v>
      </c>
      <c r="AT259" t="s" s="0">
        <v>82</v>
      </c>
      <c r="AU259" t="s" s="0">
        <v>6471</v>
      </c>
      <c r="AV259" t="s" s="0">
        <v>82</v>
      </c>
      <c r="AW259" t="s" s="0">
        <v>6472</v>
      </c>
      <c r="AX259" t="s" s="0">
        <v>6473</v>
      </c>
      <c r="AY259" t="s" s="0">
        <v>977</v>
      </c>
      <c r="AZ259" t="s" s="0">
        <v>408</v>
      </c>
      <c r="BA259" t="s" s="0">
        <v>149</v>
      </c>
      <c r="BB259" t="s" s="0">
        <v>138</v>
      </c>
      <c r="BC259" t="s" s="0">
        <v>82</v>
      </c>
      <c r="BD259" t="s" s="0">
        <v>82</v>
      </c>
      <c r="BE259" t="s" s="0">
        <v>82</v>
      </c>
      <c r="BF259" t="s" s="0">
        <v>82</v>
      </c>
      <c r="BG259" t="s" s="0">
        <v>82</v>
      </c>
      <c r="BH259" t="s" s="0">
        <v>82</v>
      </c>
      <c r="BI259" t="s" s="0">
        <v>6474</v>
      </c>
      <c r="BJ259" t="s" s="0">
        <v>6475</v>
      </c>
      <c r="BK259" t="s" s="514">
        <f>HYPERLINK("http://dx.doi.org/10.3390/jpm12071029","http://dx.doi.org/10.3390/jpm12071029")</f>
        <v>6476</v>
      </c>
      <c r="BL259" t="s" s="0">
        <v>82</v>
      </c>
      <c r="BM259" t="s" s="0">
        <v>82</v>
      </c>
      <c r="BN259" t="s" s="0">
        <v>319</v>
      </c>
      <c r="BO259" t="s" s="0">
        <v>6371</v>
      </c>
      <c r="BP259" t="s" s="0">
        <v>6372</v>
      </c>
      <c r="BQ259" t="s" s="0">
        <v>6477</v>
      </c>
      <c r="BR259" t="s" s="0">
        <v>6478</v>
      </c>
      <c r="BS259" t="s" s="0">
        <v>6479</v>
      </c>
      <c r="BT259" t="s" s="515">
        <f>HYPERLINK("https://www.webofscience.com/wos/woscc/full-record/WOS:000833124100001","View Record in Web of Science")</f>
        <v>120</v>
      </c>
      <c r="BU259" t="s" s="0">
        <v>121</v>
      </c>
      <c r="BV259" t="s" s="0">
        <v>82</v>
      </c>
      <c r="BW259" t="s" s="0">
        <v>82</v>
      </c>
      <c r="BX259" t="s" s="0">
        <v>122</v>
      </c>
    </row>
    <row r="260">
      <c r="A260" t="s" s="0">
        <v>78</v>
      </c>
      <c r="B260" t="s" s="0">
        <v>78</v>
      </c>
      <c r="C260" t="s" s="0">
        <v>77</v>
      </c>
      <c r="D260" t="s" s="0">
        <v>78</v>
      </c>
      <c r="E260" t="s" s="0">
        <v>6480</v>
      </c>
      <c r="F260" t="s" s="0">
        <v>6481</v>
      </c>
      <c r="G260" t="s" s="0">
        <v>6482</v>
      </c>
      <c r="H260" t="s" s="0">
        <v>82</v>
      </c>
      <c r="I260" t="s" s="0">
        <v>83</v>
      </c>
      <c r="J260" t="s" s="0">
        <v>6483</v>
      </c>
      <c r="K260" t="s" s="0">
        <v>422</v>
      </c>
      <c r="L260" t="s" s="0">
        <v>6484</v>
      </c>
      <c r="M260" t="s" s="0">
        <v>6485</v>
      </c>
      <c r="N260" t="s" s="0">
        <v>6486</v>
      </c>
      <c r="O260" t="s" s="0">
        <v>6487</v>
      </c>
      <c r="P260" t="s" s="0">
        <v>6488</v>
      </c>
      <c r="Q260" t="s" s="0">
        <v>91</v>
      </c>
      <c r="R260" t="s" s="0">
        <v>82</v>
      </c>
      <c r="S260" t="s" s="0">
        <v>82</v>
      </c>
      <c r="T260" t="s" s="0">
        <v>82</v>
      </c>
      <c r="U260" t="s" s="0">
        <v>82</v>
      </c>
      <c r="V260" t="s" s="0">
        <v>6489</v>
      </c>
      <c r="W260" t="s" s="0">
        <v>6490</v>
      </c>
      <c r="X260" t="s" s="0">
        <v>82</v>
      </c>
      <c r="Y260" t="s" s="0">
        <v>82</v>
      </c>
      <c r="Z260" t="s" s="0">
        <v>94</v>
      </c>
      <c r="AA260" t="s" s="0">
        <v>95</v>
      </c>
      <c r="AB260" t="s" s="0">
        <v>82</v>
      </c>
      <c r="AC260" t="s" s="0">
        <v>82</v>
      </c>
      <c r="AD260" t="s" s="0">
        <v>82</v>
      </c>
      <c r="AE260" t="s" s="0">
        <v>82</v>
      </c>
      <c r="AF260" t="s" s="0">
        <v>82</v>
      </c>
      <c r="AG260" t="s" s="0">
        <v>6491</v>
      </c>
      <c r="AH260" t="s" s="0">
        <v>6492</v>
      </c>
      <c r="AI260" t="s" s="0">
        <v>82</v>
      </c>
      <c r="AJ260" t="s" s="0">
        <v>6493</v>
      </c>
      <c r="AK260" t="s" s="0">
        <v>82</v>
      </c>
      <c r="AL260" t="s" s="0">
        <v>1320</v>
      </c>
      <c r="AM260" t="s" s="0">
        <v>102</v>
      </c>
      <c r="AN260" t="s" s="0">
        <v>102</v>
      </c>
      <c r="AO260" t="s" s="0">
        <v>447</v>
      </c>
      <c r="AP260" t="s" s="0">
        <v>101</v>
      </c>
      <c r="AQ260" t="s" s="0">
        <v>6494</v>
      </c>
      <c r="AR260" t="s" s="0">
        <v>6495</v>
      </c>
      <c r="AS260" t="s" s="0">
        <v>6496</v>
      </c>
      <c r="AT260" t="s" s="0">
        <v>6497</v>
      </c>
      <c r="AU260" t="s" s="0">
        <v>6498</v>
      </c>
      <c r="AV260" t="s" s="0">
        <v>82</v>
      </c>
      <c r="AW260" t="s" s="0">
        <v>6499</v>
      </c>
      <c r="AX260" t="s" s="0">
        <v>6500</v>
      </c>
      <c r="AY260" t="s" s="0">
        <v>2302</v>
      </c>
      <c r="AZ260" t="s" s="0">
        <v>181</v>
      </c>
      <c r="BA260" t="s" s="0">
        <v>4937</v>
      </c>
      <c r="BB260" t="s" s="0">
        <v>77</v>
      </c>
      <c r="BC260" t="s" s="0">
        <v>82</v>
      </c>
      <c r="BD260" t="s" s="0">
        <v>82</v>
      </c>
      <c r="BE260" t="s" s="0">
        <v>82</v>
      </c>
      <c r="BF260" t="s" s="0">
        <v>82</v>
      </c>
      <c r="BG260" t="s" s="0">
        <v>831</v>
      </c>
      <c r="BH260" t="s" s="0">
        <v>111</v>
      </c>
      <c r="BI260" t="s" s="0">
        <v>82</v>
      </c>
      <c r="BJ260" t="s" s="0">
        <v>6501</v>
      </c>
      <c r="BK260" t="s" s="516">
        <f>HYPERLINK("http://dx.doi.org/10.1016/j.jfma.2024.12.008","http://dx.doi.org/10.1016/j.jfma.2024.12.008")</f>
        <v>6502</v>
      </c>
      <c r="BL260" t="s" s="0">
        <v>82</v>
      </c>
      <c r="BM260" t="s" s="0">
        <v>2302</v>
      </c>
      <c r="BN260" t="s" s="0">
        <v>221</v>
      </c>
      <c r="BO260" t="s" s="0">
        <v>354</v>
      </c>
      <c r="BP260" t="s" s="0">
        <v>355</v>
      </c>
      <c r="BQ260" t="s" s="0">
        <v>6503</v>
      </c>
      <c r="BR260" t="s" s="0">
        <v>6504</v>
      </c>
      <c r="BS260" t="s" s="0">
        <v>6505</v>
      </c>
      <c r="BT260" t="s" s="517">
        <f>HYPERLINK("https://www.webofscience.com/wos/woscc/full-record/WOS:001686853600002","View Record in Web of Science")</f>
        <v>120</v>
      </c>
      <c r="BU260" t="s" s="0">
        <v>1008</v>
      </c>
      <c r="BV260" t="s" s="0">
        <v>4390</v>
      </c>
      <c r="BW260" t="s" s="0">
        <v>4391</v>
      </c>
      <c r="BX260" t="s" s="0">
        <v>122</v>
      </c>
    </row>
    <row r="261">
      <c r="A261" t="s" s="0">
        <v>78</v>
      </c>
      <c r="B261" t="s" s="0">
        <v>78</v>
      </c>
      <c r="C261" t="s" s="0">
        <v>154</v>
      </c>
      <c r="D261" t="s" s="0">
        <v>78</v>
      </c>
      <c r="E261" t="s" s="0">
        <v>6506</v>
      </c>
      <c r="F261" t="s" s="0">
        <v>6507</v>
      </c>
      <c r="G261" t="s" s="0">
        <v>6508</v>
      </c>
      <c r="H261" t="s" s="0">
        <v>82</v>
      </c>
      <c r="I261" t="s" s="0">
        <v>83</v>
      </c>
      <c r="J261" t="s" s="0">
        <v>6509</v>
      </c>
      <c r="K261" t="s" s="0">
        <v>6510</v>
      </c>
      <c r="L261" t="s" s="0">
        <v>6511</v>
      </c>
      <c r="M261" t="s" s="0">
        <v>6512</v>
      </c>
      <c r="N261" t="s" s="0">
        <v>6513</v>
      </c>
      <c r="O261" t="s" s="0">
        <v>6514</v>
      </c>
      <c r="P261" t="s" s="0">
        <v>6515</v>
      </c>
      <c r="Q261" t="s" s="0">
        <v>91</v>
      </c>
      <c r="R261" t="s" s="0">
        <v>82</v>
      </c>
      <c r="S261" t="s" s="0">
        <v>82</v>
      </c>
      <c r="T261" t="s" s="0">
        <v>82</v>
      </c>
      <c r="U261" t="s" s="0">
        <v>82</v>
      </c>
      <c r="V261" t="s" s="0">
        <v>6516</v>
      </c>
      <c r="W261" t="s" s="0">
        <v>6517</v>
      </c>
      <c r="X261" t="s" s="0">
        <v>82</v>
      </c>
      <c r="Y261" t="s" s="0">
        <v>82</v>
      </c>
      <c r="Z261" t="s" s="0">
        <v>94</v>
      </c>
      <c r="AA261" t="s" s="0">
        <v>95</v>
      </c>
      <c r="AB261" t="s" s="0">
        <v>82</v>
      </c>
      <c r="AC261" t="s" s="0">
        <v>82</v>
      </c>
      <c r="AD261" t="s" s="0">
        <v>82</v>
      </c>
      <c r="AE261" t="s" s="0">
        <v>82</v>
      </c>
      <c r="AF261" t="s" s="0">
        <v>82</v>
      </c>
      <c r="AG261" t="s" s="0">
        <v>6518</v>
      </c>
      <c r="AH261" t="s" s="0">
        <v>6519</v>
      </c>
      <c r="AI261" t="s" s="0">
        <v>6520</v>
      </c>
      <c r="AJ261" t="s" s="0">
        <v>6521</v>
      </c>
      <c r="AK261" t="s" s="0">
        <v>82</v>
      </c>
      <c r="AL261" t="s" s="0">
        <v>944</v>
      </c>
      <c r="AM261" t="s" s="0">
        <v>276</v>
      </c>
      <c r="AN261" t="s" s="0">
        <v>4685</v>
      </c>
      <c r="AO261" t="s" s="0">
        <v>77</v>
      </c>
      <c r="AP261" t="s" s="0">
        <v>311</v>
      </c>
      <c r="AQ261" t="s" s="0">
        <v>277</v>
      </c>
      <c r="AR261" t="s" s="0">
        <v>278</v>
      </c>
      <c r="AS261" t="s" s="0">
        <v>279</v>
      </c>
      <c r="AT261" t="s" s="0">
        <v>6522</v>
      </c>
      <c r="AU261" t="s" s="0">
        <v>82</v>
      </c>
      <c r="AV261" t="s" s="0">
        <v>82</v>
      </c>
      <c r="AW261" t="s" s="0">
        <v>6517</v>
      </c>
      <c r="AX261" t="s" s="0">
        <v>6523</v>
      </c>
      <c r="AY261" t="s" s="0">
        <v>1222</v>
      </c>
      <c r="AZ261" t="s" s="0">
        <v>1035</v>
      </c>
      <c r="BA261" t="s" s="0">
        <v>276</v>
      </c>
      <c r="BB261" t="s" s="0">
        <v>82</v>
      </c>
      <c r="BC261" t="s" s="0">
        <v>82</v>
      </c>
      <c r="BD261" t="s" s="0">
        <v>82</v>
      </c>
      <c r="BE261" t="s" s="0">
        <v>82</v>
      </c>
      <c r="BF261" t="s" s="0">
        <v>82</v>
      </c>
      <c r="BG261" t="s" s="0">
        <v>82</v>
      </c>
      <c r="BH261" t="s" s="0">
        <v>82</v>
      </c>
      <c r="BI261" t="s" s="0">
        <v>6524</v>
      </c>
      <c r="BJ261" t="s" s="0">
        <v>6525</v>
      </c>
      <c r="BK261" t="s" s="518">
        <f>HYPERLINK("http://dx.doi.org/10.1016/j.ebiom.2020.102710","http://dx.doi.org/10.1016/j.ebiom.2020.102710")</f>
        <v>6526</v>
      </c>
      <c r="BL261" t="s" s="0">
        <v>82</v>
      </c>
      <c r="BM261" t="s" s="0">
        <v>82</v>
      </c>
      <c r="BN261" t="s" s="0">
        <v>349</v>
      </c>
      <c r="BO261" t="s" s="0">
        <v>6527</v>
      </c>
      <c r="BP261" t="s" s="0">
        <v>6528</v>
      </c>
      <c r="BQ261" t="s" s="0">
        <v>6529</v>
      </c>
      <c r="BR261" t="s" s="0">
        <v>6530</v>
      </c>
      <c r="BS261" t="s" s="0">
        <v>6531</v>
      </c>
      <c r="BT261" t="s" s="519">
        <f>HYPERLINK("https://www.webofscience.com/wos/woscc/full-record/WOS:000531578000009","View Record in Web of Science")</f>
        <v>120</v>
      </c>
      <c r="BU261" t="s" s="0">
        <v>121</v>
      </c>
      <c r="BV261" t="s" s="0">
        <v>82</v>
      </c>
      <c r="BW261" t="s" s="0">
        <v>82</v>
      </c>
      <c r="BX261" t="s" s="0">
        <v>122</v>
      </c>
    </row>
    <row r="262">
      <c r="A262" t="s" s="0">
        <v>78</v>
      </c>
      <c r="B262" t="s" s="0">
        <v>78</v>
      </c>
      <c r="C262" t="s" s="0">
        <v>221</v>
      </c>
      <c r="D262" t="s" s="0">
        <v>78</v>
      </c>
      <c r="E262" t="s" s="0">
        <v>6532</v>
      </c>
      <c r="F262" t="s" s="0">
        <v>6533</v>
      </c>
      <c r="G262" t="s" s="0">
        <v>6534</v>
      </c>
      <c r="H262" t="s" s="0">
        <v>82</v>
      </c>
      <c r="I262" t="s" s="0">
        <v>83</v>
      </c>
      <c r="J262" t="s" s="0">
        <v>6535</v>
      </c>
      <c r="K262" t="s" s="0">
        <v>6536</v>
      </c>
      <c r="L262" t="s" s="0">
        <v>6537</v>
      </c>
      <c r="M262" t="s" s="0">
        <v>6538</v>
      </c>
      <c r="N262" t="s" s="0">
        <v>6539</v>
      </c>
      <c r="O262" t="s" s="0">
        <v>6540</v>
      </c>
      <c r="P262" t="s" s="0">
        <v>6541</v>
      </c>
      <c r="Q262" t="s" s="0">
        <v>91</v>
      </c>
      <c r="R262" t="s" s="0">
        <v>82</v>
      </c>
      <c r="S262" t="s" s="0">
        <v>82</v>
      </c>
      <c r="T262" t="s" s="0">
        <v>82</v>
      </c>
      <c r="U262" t="s" s="0">
        <v>82</v>
      </c>
      <c r="V262" t="s" s="0">
        <v>6542</v>
      </c>
      <c r="W262" t="s" s="0">
        <v>6543</v>
      </c>
      <c r="X262" t="s" s="0">
        <v>82</v>
      </c>
      <c r="Y262" t="s" s="0">
        <v>82</v>
      </c>
      <c r="Z262" t="s" s="0">
        <v>94</v>
      </c>
      <c r="AA262" t="s" s="0">
        <v>95</v>
      </c>
      <c r="AB262" t="s" s="0">
        <v>82</v>
      </c>
      <c r="AC262" t="s" s="0">
        <v>82</v>
      </c>
      <c r="AD262" t="s" s="0">
        <v>82</v>
      </c>
      <c r="AE262" t="s" s="0">
        <v>82</v>
      </c>
      <c r="AF262" t="s" s="0">
        <v>82</v>
      </c>
      <c r="AG262" t="s" s="0">
        <v>6544</v>
      </c>
      <c r="AH262" t="s" s="0">
        <v>6545</v>
      </c>
      <c r="AI262" t="s" s="0">
        <v>6546</v>
      </c>
      <c r="AJ262" t="s" s="0">
        <v>6547</v>
      </c>
      <c r="AK262" t="s" s="0">
        <v>82</v>
      </c>
      <c r="AL262" t="s" s="0">
        <v>1502</v>
      </c>
      <c r="AM262" t="s" s="0">
        <v>115</v>
      </c>
      <c r="AN262" t="s" s="0">
        <v>349</v>
      </c>
      <c r="AO262" t="s" s="0">
        <v>78</v>
      </c>
      <c r="AP262" t="s" s="0">
        <v>115</v>
      </c>
      <c r="AQ262" t="s" s="0">
        <v>3217</v>
      </c>
      <c r="AR262" t="s" s="0">
        <v>3218</v>
      </c>
      <c r="AS262" t="s" s="0">
        <v>3219</v>
      </c>
      <c r="AT262" t="s" s="0">
        <v>6548</v>
      </c>
      <c r="AU262" t="s" s="0">
        <v>6549</v>
      </c>
      <c r="AV262" t="s" s="0">
        <v>82</v>
      </c>
      <c r="AW262" t="s" s="0">
        <v>6550</v>
      </c>
      <c r="AX262" t="s" s="0">
        <v>6551</v>
      </c>
      <c r="AY262" t="s" s="0">
        <v>1716</v>
      </c>
      <c r="AZ262" t="s" s="0">
        <v>408</v>
      </c>
      <c r="BA262" t="s" s="0">
        <v>864</v>
      </c>
      <c r="BB262" t="s" s="0">
        <v>137</v>
      </c>
      <c r="BC262" t="s" s="0">
        <v>82</v>
      </c>
      <c r="BD262" t="s" s="0">
        <v>82</v>
      </c>
      <c r="BE262" t="s" s="0">
        <v>82</v>
      </c>
      <c r="BF262" t="s" s="0">
        <v>82</v>
      </c>
      <c r="BG262" t="s" s="0">
        <v>6552</v>
      </c>
      <c r="BH262" t="s" s="0">
        <v>6553</v>
      </c>
      <c r="BI262" t="s" s="0">
        <v>82</v>
      </c>
      <c r="BJ262" t="s" s="0">
        <v>6554</v>
      </c>
      <c r="BK262" t="s" s="520">
        <f>HYPERLINK("http://dx.doi.org/10.1007/s00535-022-01908-1","http://dx.doi.org/10.1007/s00535-022-01908-1")</f>
        <v>6555</v>
      </c>
      <c r="BL262" t="s" s="0">
        <v>82</v>
      </c>
      <c r="BM262" t="s" s="0">
        <v>1482</v>
      </c>
      <c r="BN262" t="s" s="0">
        <v>137</v>
      </c>
      <c r="BO262" t="s" s="0">
        <v>924</v>
      </c>
      <c r="BP262" t="s" s="0">
        <v>924</v>
      </c>
      <c r="BQ262" t="s" s="0">
        <v>6556</v>
      </c>
      <c r="BR262" t="s" s="0">
        <v>6557</v>
      </c>
      <c r="BS262" t="s" s="0">
        <v>6558</v>
      </c>
      <c r="BT262" t="s" s="521">
        <f>HYPERLINK("https://www.webofscience.com/wos/woscc/full-record/WOS:000841111600001","View Record in Web of Science")</f>
        <v>120</v>
      </c>
      <c r="BU262" t="s" s="0">
        <v>256</v>
      </c>
      <c r="BV262" t="s" s="0">
        <v>82</v>
      </c>
      <c r="BW262" t="s" s="0">
        <v>82</v>
      </c>
      <c r="BX262" t="s" s="0">
        <v>122</v>
      </c>
    </row>
    <row r="263">
      <c r="A263" t="s" s="0">
        <v>78</v>
      </c>
      <c r="B263" t="s" s="0">
        <v>78</v>
      </c>
      <c r="C263" t="s" s="0">
        <v>78</v>
      </c>
      <c r="D263" t="s" s="0">
        <v>78</v>
      </c>
      <c r="E263" t="s" s="0">
        <v>6559</v>
      </c>
      <c r="F263" t="s" s="0">
        <v>6560</v>
      </c>
      <c r="G263" t="s" s="0">
        <v>6561</v>
      </c>
      <c r="H263" t="s" s="0">
        <v>82</v>
      </c>
      <c r="I263" t="s" s="0">
        <v>83</v>
      </c>
      <c r="J263" t="s" s="0">
        <v>6562</v>
      </c>
      <c r="K263" t="s" s="0">
        <v>6563</v>
      </c>
      <c r="L263" t="s" s="0">
        <v>6564</v>
      </c>
      <c r="M263" t="s" s="0">
        <v>6565</v>
      </c>
      <c r="N263" t="s" s="0">
        <v>6566</v>
      </c>
      <c r="O263" t="s" s="0">
        <v>6567</v>
      </c>
      <c r="P263" t="s" s="0">
        <v>6568</v>
      </c>
      <c r="Q263" t="s" s="0">
        <v>91</v>
      </c>
      <c r="R263" t="s" s="0">
        <v>82</v>
      </c>
      <c r="S263" t="s" s="0">
        <v>82</v>
      </c>
      <c r="T263" t="s" s="0">
        <v>82</v>
      </c>
      <c r="U263" t="s" s="0">
        <v>82</v>
      </c>
      <c r="V263" t="s" s="0">
        <v>6569</v>
      </c>
      <c r="W263" t="s" s="0">
        <v>3565</v>
      </c>
      <c r="X263" t="s" s="0">
        <v>82</v>
      </c>
      <c r="Y263" t="s" s="0">
        <v>82</v>
      </c>
      <c r="Z263" t="s" s="0">
        <v>94</v>
      </c>
      <c r="AA263" t="s" s="0">
        <v>95</v>
      </c>
      <c r="AB263" t="s" s="0">
        <v>82</v>
      </c>
      <c r="AC263" t="s" s="0">
        <v>82</v>
      </c>
      <c r="AD263" t="s" s="0">
        <v>82</v>
      </c>
      <c r="AE263" t="s" s="0">
        <v>82</v>
      </c>
      <c r="AF263" t="s" s="0">
        <v>82</v>
      </c>
      <c r="AG263" t="s" s="0">
        <v>6570</v>
      </c>
      <c r="AH263" t="s" s="0">
        <v>6571</v>
      </c>
      <c r="AI263" t="s" s="0">
        <v>6572</v>
      </c>
      <c r="AJ263" t="s" s="0">
        <v>6573</v>
      </c>
      <c r="AK263" t="s" s="0">
        <v>82</v>
      </c>
      <c r="AL263" t="s" s="0">
        <v>863</v>
      </c>
      <c r="AM263" t="s" s="0">
        <v>78</v>
      </c>
      <c r="AN263" t="s" s="0">
        <v>78</v>
      </c>
      <c r="AO263" t="s" s="0">
        <v>78</v>
      </c>
      <c r="AP263" t="s" s="0">
        <v>447</v>
      </c>
      <c r="AQ263" t="s" s="0">
        <v>2484</v>
      </c>
      <c r="AR263" t="s" s="0">
        <v>2485</v>
      </c>
      <c r="AS263" t="s" s="0">
        <v>2486</v>
      </c>
      <c r="AT263" t="s" s="0">
        <v>82</v>
      </c>
      <c r="AU263" t="s" s="0">
        <v>3568</v>
      </c>
      <c r="AV263" t="s" s="0">
        <v>82</v>
      </c>
      <c r="AW263" t="s" s="0">
        <v>3569</v>
      </c>
      <c r="AX263" t="s" s="0">
        <v>3570</v>
      </c>
      <c r="AY263" t="s" s="0">
        <v>6574</v>
      </c>
      <c r="AZ263" t="s" s="0">
        <v>210</v>
      </c>
      <c r="BA263" t="s" s="0">
        <v>245</v>
      </c>
      <c r="BB263" t="s" s="0">
        <v>82</v>
      </c>
      <c r="BC263" t="s" s="0">
        <v>82</v>
      </c>
      <c r="BD263" t="s" s="0">
        <v>82</v>
      </c>
      <c r="BE263" t="s" s="0">
        <v>82</v>
      </c>
      <c r="BF263" t="s" s="0">
        <v>82</v>
      </c>
      <c r="BG263" t="s" s="0">
        <v>82</v>
      </c>
      <c r="BH263" t="s" s="0">
        <v>82</v>
      </c>
      <c r="BI263" t="s" s="0">
        <v>6575</v>
      </c>
      <c r="BJ263" t="s" s="0">
        <v>6576</v>
      </c>
      <c r="BK263" t="s" s="522">
        <f>HYPERLINK("http://dx.doi.org/10.3389/fmed.2023.1113030","http://dx.doi.org/10.3389/fmed.2023.1113030")</f>
        <v>6577</v>
      </c>
      <c r="BL263" t="s" s="0">
        <v>82</v>
      </c>
      <c r="BM263" t="s" s="0">
        <v>82</v>
      </c>
      <c r="BN263" t="s" s="0">
        <v>640</v>
      </c>
      <c r="BO263" t="s" s="0">
        <v>354</v>
      </c>
      <c r="BP263" t="s" s="0">
        <v>355</v>
      </c>
      <c r="BQ263" t="s" s="0">
        <v>6578</v>
      </c>
      <c r="BR263" t="s" s="0">
        <v>6579</v>
      </c>
      <c r="BS263" t="s" s="0">
        <v>6580</v>
      </c>
      <c r="BT263" t="s" s="523">
        <f>HYPERLINK("https://www.webofscience.com/wos/woscc/full-record/WOS:001119152700001","View Record in Web of Science")</f>
        <v>120</v>
      </c>
      <c r="BU263" t="s" s="0">
        <v>121</v>
      </c>
      <c r="BV263" t="s" s="0">
        <v>82</v>
      </c>
      <c r="BW263" t="s" s="0">
        <v>82</v>
      </c>
      <c r="BX263" t="s" s="0">
        <v>122</v>
      </c>
    </row>
    <row r="264">
      <c r="A264" t="s" s="0">
        <v>78</v>
      </c>
      <c r="B264" t="s" s="0">
        <v>78</v>
      </c>
      <c r="C264" t="s" s="0">
        <v>102</v>
      </c>
      <c r="D264" t="s" s="0">
        <v>78</v>
      </c>
      <c r="E264" t="s" s="0">
        <v>6581</v>
      </c>
      <c r="F264" t="s" s="0">
        <v>6582</v>
      </c>
      <c r="G264" t="s" s="0">
        <v>6583</v>
      </c>
      <c r="H264" t="s" s="0">
        <v>82</v>
      </c>
      <c r="I264" t="s" s="0">
        <v>83</v>
      </c>
      <c r="J264" t="s" s="0">
        <v>6584</v>
      </c>
      <c r="K264" t="s" s="0">
        <v>6585</v>
      </c>
      <c r="L264" t="s" s="0">
        <v>82</v>
      </c>
      <c r="M264" t="s" s="0">
        <v>82</v>
      </c>
      <c r="N264" t="s" s="0">
        <v>82</v>
      </c>
      <c r="O264" t="s" s="0">
        <v>6586</v>
      </c>
      <c r="P264" t="s" s="0">
        <v>6587</v>
      </c>
      <c r="Q264" t="s" s="0">
        <v>91</v>
      </c>
      <c r="R264" t="s" s="0">
        <v>82</v>
      </c>
      <c r="S264" t="s" s="0">
        <v>82</v>
      </c>
      <c r="T264" t="s" s="0">
        <v>82</v>
      </c>
      <c r="U264" t="s" s="0">
        <v>82</v>
      </c>
      <c r="V264" t="s" s="0">
        <v>6588</v>
      </c>
      <c r="W264" t="s" s="0">
        <v>6589</v>
      </c>
      <c r="X264" t="s" s="0">
        <v>82</v>
      </c>
      <c r="Y264" t="s" s="0">
        <v>82</v>
      </c>
      <c r="Z264" t="s" s="0">
        <v>94</v>
      </c>
      <c r="AA264" t="s" s="0">
        <v>95</v>
      </c>
      <c r="AB264" t="s" s="0">
        <v>82</v>
      </c>
      <c r="AC264" t="s" s="0">
        <v>82</v>
      </c>
      <c r="AD264" t="s" s="0">
        <v>82</v>
      </c>
      <c r="AE264" t="s" s="0">
        <v>82</v>
      </c>
      <c r="AF264" t="s" s="0">
        <v>82</v>
      </c>
      <c r="AG264" t="s" s="0">
        <v>82</v>
      </c>
      <c r="AH264" t="s" s="0">
        <v>82</v>
      </c>
      <c r="AI264" t="s" s="0">
        <v>6590</v>
      </c>
      <c r="AJ264" t="s" s="0">
        <v>6591</v>
      </c>
      <c r="AK264" t="s" s="0">
        <v>82</v>
      </c>
      <c r="AL264" t="s" s="0">
        <v>640</v>
      </c>
      <c r="AM264" t="s" s="0">
        <v>111</v>
      </c>
      <c r="AN264" t="s" s="0">
        <v>111</v>
      </c>
      <c r="AO264" t="s" s="0">
        <v>447</v>
      </c>
      <c r="AP264" t="s" s="0">
        <v>138</v>
      </c>
      <c r="AQ264" t="s" s="0">
        <v>832</v>
      </c>
      <c r="AR264" t="s" s="0">
        <v>833</v>
      </c>
      <c r="AS264" t="s" s="0">
        <v>834</v>
      </c>
      <c r="AT264" t="s" s="0">
        <v>6592</v>
      </c>
      <c r="AU264" t="s" s="0">
        <v>6593</v>
      </c>
      <c r="AV264" t="s" s="0">
        <v>82</v>
      </c>
      <c r="AW264" t="s" s="0">
        <v>6589</v>
      </c>
      <c r="AX264" t="s" s="0">
        <v>6594</v>
      </c>
      <c r="AY264" t="s" s="0">
        <v>6595</v>
      </c>
      <c r="AZ264" t="s" s="0">
        <v>210</v>
      </c>
      <c r="BA264" t="s" s="0">
        <v>6596</v>
      </c>
      <c r="BB264" t="s" s="0">
        <v>149</v>
      </c>
      <c r="BC264" t="s" s="0">
        <v>82</v>
      </c>
      <c r="BD264" t="s" s="0">
        <v>82</v>
      </c>
      <c r="BE264" t="s" s="0">
        <v>82</v>
      </c>
      <c r="BF264" t="s" s="0">
        <v>82</v>
      </c>
      <c r="BG264" t="s" s="0">
        <v>6597</v>
      </c>
      <c r="BH264" t="s" s="0">
        <v>6598</v>
      </c>
      <c r="BI264" t="s" s="0">
        <v>82</v>
      </c>
      <c r="BJ264" t="s" s="0">
        <v>6599</v>
      </c>
      <c r="BK264" t="s" s="524">
        <f>HYPERLINK("http://dx.doi.org/10.1212/WNL.0000000000201710","http://dx.doi.org/10.1212/WNL.0000000000201710")</f>
        <v>6600</v>
      </c>
      <c r="BL264" t="s" s="0">
        <v>82</v>
      </c>
      <c r="BM264" t="s" s="0">
        <v>82</v>
      </c>
      <c r="BN264" t="s" s="0">
        <v>245</v>
      </c>
      <c r="BO264" t="s" s="0">
        <v>251</v>
      </c>
      <c r="BP264" t="s" s="0">
        <v>252</v>
      </c>
      <c r="BQ264" t="s" s="0">
        <v>6601</v>
      </c>
      <c r="BR264" t="s" s="0">
        <v>6602</v>
      </c>
      <c r="BS264" t="s" s="0">
        <v>6603</v>
      </c>
      <c r="BT264" t="s" s="525">
        <f>HYPERLINK("https://www.webofscience.com/wos/woscc/full-record/WOS:000951284900016","View Record in Web of Science")</f>
        <v>120</v>
      </c>
      <c r="BU264" t="s" s="0">
        <v>4837</v>
      </c>
      <c r="BV264" t="s" s="0">
        <v>82</v>
      </c>
      <c r="BW264" t="s" s="0">
        <v>82</v>
      </c>
      <c r="BX264" t="s" s="0">
        <v>122</v>
      </c>
    </row>
    <row r="265">
      <c r="A265" t="s" s="0">
        <v>77</v>
      </c>
      <c r="B265" t="s" s="0">
        <v>78</v>
      </c>
      <c r="C265" t="s" s="0">
        <v>447</v>
      </c>
      <c r="D265" t="s" s="0">
        <v>78</v>
      </c>
      <c r="E265" t="s" s="0">
        <v>6604</v>
      </c>
      <c r="F265" t="s" s="0">
        <v>6605</v>
      </c>
      <c r="G265" t="s" s="0">
        <v>6606</v>
      </c>
      <c r="H265" t="s" s="0">
        <v>82</v>
      </c>
      <c r="I265" t="s" s="0">
        <v>83</v>
      </c>
      <c r="J265" t="s" s="0">
        <v>6607</v>
      </c>
      <c r="K265" t="s" s="0">
        <v>6608</v>
      </c>
      <c r="L265" t="s" s="0">
        <v>6609</v>
      </c>
      <c r="M265" t="s" s="0">
        <v>6610</v>
      </c>
      <c r="N265" t="s" s="0">
        <v>6611</v>
      </c>
      <c r="O265" t="s" s="0">
        <v>6612</v>
      </c>
      <c r="P265" t="s" s="0">
        <v>6613</v>
      </c>
      <c r="Q265" t="s" s="0">
        <v>91</v>
      </c>
      <c r="R265" t="s" s="0">
        <v>82</v>
      </c>
      <c r="S265" t="s" s="0">
        <v>82</v>
      </c>
      <c r="T265" t="s" s="0">
        <v>82</v>
      </c>
      <c r="U265" t="s" s="0">
        <v>82</v>
      </c>
      <c r="V265" t="s" s="0">
        <v>6614</v>
      </c>
      <c r="W265" t="s" s="0">
        <v>6615</v>
      </c>
      <c r="X265" t="s" s="0">
        <v>82</v>
      </c>
      <c r="Y265" t="s" s="0">
        <v>82</v>
      </c>
      <c r="Z265" t="s" s="0">
        <v>94</v>
      </c>
      <c r="AA265" t="s" s="0">
        <v>95</v>
      </c>
      <c r="AB265" t="s" s="0">
        <v>82</v>
      </c>
      <c r="AC265" t="s" s="0">
        <v>82</v>
      </c>
      <c r="AD265" t="s" s="0">
        <v>82</v>
      </c>
      <c r="AE265" t="s" s="0">
        <v>82</v>
      </c>
      <c r="AF265" t="s" s="0">
        <v>82</v>
      </c>
      <c r="AG265" t="s" s="0">
        <v>6616</v>
      </c>
      <c r="AH265" t="s" s="0">
        <v>6617</v>
      </c>
      <c r="AI265" t="s" s="0">
        <v>6618</v>
      </c>
      <c r="AJ265" t="s" s="0">
        <v>6619</v>
      </c>
      <c r="AK265" t="s" s="0">
        <v>82</v>
      </c>
      <c r="AL265" t="s" s="0">
        <v>1502</v>
      </c>
      <c r="AM265" t="s" s="0">
        <v>245</v>
      </c>
      <c r="AN265" t="s" s="0">
        <v>149</v>
      </c>
      <c r="AO265" t="s" s="0">
        <v>101</v>
      </c>
      <c r="AP265" t="s" s="0">
        <v>154</v>
      </c>
      <c r="AQ265" t="s" s="0">
        <v>6620</v>
      </c>
      <c r="AR265" t="s" s="0">
        <v>1417</v>
      </c>
      <c r="AS265" t="s" s="0">
        <v>6621</v>
      </c>
      <c r="AT265" t="s" s="0">
        <v>6622</v>
      </c>
      <c r="AU265" t="s" s="0">
        <v>6623</v>
      </c>
      <c r="AV265" t="s" s="0">
        <v>82</v>
      </c>
      <c r="AW265" t="s" s="0">
        <v>6624</v>
      </c>
      <c r="AX265" t="s" s="0">
        <v>6625</v>
      </c>
      <c r="AY265" t="s" s="0">
        <v>1196</v>
      </c>
      <c r="AZ265" t="s" s="0">
        <v>110</v>
      </c>
      <c r="BA265" t="s" s="0">
        <v>1320</v>
      </c>
      <c r="BB265" t="s" s="0">
        <v>138</v>
      </c>
      <c r="BC265" t="s" s="0">
        <v>82</v>
      </c>
      <c r="BD265" t="s" s="0">
        <v>82</v>
      </c>
      <c r="BE265" t="s" s="0">
        <v>82</v>
      </c>
      <c r="BF265" t="s" s="0">
        <v>82</v>
      </c>
      <c r="BG265" t="s" s="0">
        <v>6626</v>
      </c>
      <c r="BH265" t="s" s="0">
        <v>6627</v>
      </c>
      <c r="BI265" t="s" s="0">
        <v>82</v>
      </c>
      <c r="BJ265" t="s" s="0">
        <v>6628</v>
      </c>
      <c r="BK265" t="s" s="526">
        <f>HYPERLINK("http://dx.doi.org/10.2215/CJN.0000000000000471","http://dx.doi.org/10.2215/CJN.0000000000000471")</f>
        <v>6629</v>
      </c>
      <c r="BL265" t="s" s="0">
        <v>82</v>
      </c>
      <c r="BM265" t="s" s="0">
        <v>376</v>
      </c>
      <c r="BN265" t="s" s="0">
        <v>245</v>
      </c>
      <c r="BO265" t="s" s="0">
        <v>1197</v>
      </c>
      <c r="BP265" t="s" s="0">
        <v>1197</v>
      </c>
      <c r="BQ265" t="s" s="0">
        <v>6630</v>
      </c>
      <c r="BR265" t="s" s="0">
        <v>6631</v>
      </c>
      <c r="BS265" t="s" s="0">
        <v>6632</v>
      </c>
      <c r="BT265" t="s" s="527">
        <f>HYPERLINK("https://www.webofscience.com/wos/woscc/full-record/WOS:001243441500001","View Record in Web of Science")</f>
        <v>120</v>
      </c>
      <c r="BU265" t="s" s="0">
        <v>1265</v>
      </c>
      <c r="BV265" t="s" s="0">
        <v>82</v>
      </c>
      <c r="BW265" t="s" s="0">
        <v>82</v>
      </c>
      <c r="BX265" t="s" s="0">
        <v>122</v>
      </c>
    </row>
    <row r="266">
      <c r="A266" t="s" s="0">
        <v>78</v>
      </c>
      <c r="B266" t="s" s="0">
        <v>78</v>
      </c>
      <c r="C266" t="s" s="0">
        <v>78</v>
      </c>
      <c r="D266" t="s" s="0">
        <v>78</v>
      </c>
      <c r="E266" t="s" s="0">
        <v>6633</v>
      </c>
      <c r="F266" t="s" s="0">
        <v>6634</v>
      </c>
      <c r="G266" t="s" s="0">
        <v>6635</v>
      </c>
      <c r="H266" t="s" s="0">
        <v>82</v>
      </c>
      <c r="I266" t="s" s="0">
        <v>83</v>
      </c>
      <c r="J266" t="s" s="0">
        <v>6636</v>
      </c>
      <c r="K266" t="s" s="0">
        <v>6637</v>
      </c>
      <c r="L266" t="s" s="0">
        <v>82</v>
      </c>
      <c r="M266" t="s" s="0">
        <v>82</v>
      </c>
      <c r="N266" t="s" s="0">
        <v>82</v>
      </c>
      <c r="O266" t="s" s="0">
        <v>6638</v>
      </c>
      <c r="P266" t="s" s="0">
        <v>6639</v>
      </c>
      <c r="Q266" t="s" s="0">
        <v>91</v>
      </c>
      <c r="R266" t="s" s="0">
        <v>82</v>
      </c>
      <c r="S266" t="s" s="0">
        <v>82</v>
      </c>
      <c r="T266" t="s" s="0">
        <v>82</v>
      </c>
      <c r="U266" t="s" s="0">
        <v>82</v>
      </c>
      <c r="V266" t="s" s="0">
        <v>6640</v>
      </c>
      <c r="W266" t="s" s="0">
        <v>6641</v>
      </c>
      <c r="X266" t="s" s="0">
        <v>82</v>
      </c>
      <c r="Y266" t="s" s="0">
        <v>82</v>
      </c>
      <c r="Z266" t="s" s="0">
        <v>94</v>
      </c>
      <c r="AA266" t="s" s="0">
        <v>95</v>
      </c>
      <c r="AB266" t="s" s="0">
        <v>82</v>
      </c>
      <c r="AC266" t="s" s="0">
        <v>82</v>
      </c>
      <c r="AD266" t="s" s="0">
        <v>82</v>
      </c>
      <c r="AE266" t="s" s="0">
        <v>82</v>
      </c>
      <c r="AF266" t="s" s="0">
        <v>82</v>
      </c>
      <c r="AG266" t="s" s="0">
        <v>6642</v>
      </c>
      <c r="AH266" t="s" s="0">
        <v>82</v>
      </c>
      <c r="AI266" t="s" s="0">
        <v>82</v>
      </c>
      <c r="AJ266" t="s" s="0">
        <v>82</v>
      </c>
      <c r="AK266" t="s" s="0">
        <v>82</v>
      </c>
      <c r="AL266" t="s" s="0">
        <v>1502</v>
      </c>
      <c r="AM266" t="s" s="0">
        <v>78</v>
      </c>
      <c r="AN266" t="s" s="0">
        <v>78</v>
      </c>
      <c r="AO266" t="s" s="0">
        <v>78</v>
      </c>
      <c r="AP266" t="s" s="0">
        <v>78</v>
      </c>
      <c r="AQ266" t="s" s="0">
        <v>6643</v>
      </c>
      <c r="AR266" t="s" s="0">
        <v>6644</v>
      </c>
      <c r="AS266" t="s" s="0">
        <v>6645</v>
      </c>
      <c r="AT266" t="s" s="0">
        <v>6646</v>
      </c>
      <c r="AU266" t="s" s="0">
        <v>6647</v>
      </c>
      <c r="AV266" t="s" s="0">
        <v>82</v>
      </c>
      <c r="AW266" t="s" s="0">
        <v>6648</v>
      </c>
      <c r="AX266" t="s" s="0">
        <v>6649</v>
      </c>
      <c r="AY266" t="s" s="0">
        <v>1342</v>
      </c>
      <c r="AZ266" t="s" s="0">
        <v>181</v>
      </c>
      <c r="BA266" t="s" s="0">
        <v>6650</v>
      </c>
      <c r="BB266" t="s" s="0">
        <v>136</v>
      </c>
      <c r="BC266" t="s" s="0">
        <v>82</v>
      </c>
      <c r="BD266" t="s" s="0">
        <v>82</v>
      </c>
      <c r="BE266" t="s" s="0">
        <v>82</v>
      </c>
      <c r="BF266" t="s" s="0">
        <v>82</v>
      </c>
      <c r="BG266" t="s" s="0">
        <v>6651</v>
      </c>
      <c r="BH266" t="s" s="0">
        <v>6474</v>
      </c>
      <c r="BI266" t="s" s="0">
        <v>82</v>
      </c>
      <c r="BJ266" t="s" s="0">
        <v>6652</v>
      </c>
      <c r="BK266" t="s" s="528">
        <f>HYPERLINK("http://dx.doi.org/10.2460/javma.25.10.0691","http://dx.doi.org/10.2460/javma.25.10.0691")</f>
        <v>6653</v>
      </c>
      <c r="BL266" t="s" s="0">
        <v>82</v>
      </c>
      <c r="BM266" t="s" s="0">
        <v>82</v>
      </c>
      <c r="BN266" t="s" s="0">
        <v>136</v>
      </c>
      <c r="BO266" t="s" s="0">
        <v>6654</v>
      </c>
      <c r="BP266" t="s" s="0">
        <v>6654</v>
      </c>
      <c r="BQ266" t="s" s="0">
        <v>6655</v>
      </c>
      <c r="BR266" t="s" s="0">
        <v>6656</v>
      </c>
      <c r="BS266" t="s" s="0">
        <v>6657</v>
      </c>
      <c r="BT266" t="s" s="529">
        <f>HYPERLINK("https://www.webofscience.com/wos/woscc/full-record/WOS:001836423900033","View Record in Web of Science")</f>
        <v>120</v>
      </c>
      <c r="BU266" t="s" s="0">
        <v>82</v>
      </c>
      <c r="BV266" t="s" s="0">
        <v>82</v>
      </c>
      <c r="BW266" t="s" s="0">
        <v>82</v>
      </c>
      <c r="BX266" t="s" s="0">
        <v>122</v>
      </c>
    </row>
    <row r="267">
      <c r="A267" t="s" s="0">
        <v>640</v>
      </c>
      <c r="B267" t="s" s="0">
        <v>78</v>
      </c>
      <c r="C267" t="s" s="0">
        <v>239</v>
      </c>
      <c r="D267" t="s" s="0">
        <v>78</v>
      </c>
      <c r="E267" t="s" s="0">
        <v>6658</v>
      </c>
      <c r="F267" t="s" s="0">
        <v>6659</v>
      </c>
      <c r="G267" t="s" s="0">
        <v>6660</v>
      </c>
      <c r="H267" t="s" s="0">
        <v>82</v>
      </c>
      <c r="I267" t="s" s="0">
        <v>83</v>
      </c>
      <c r="J267" t="s" s="0">
        <v>6661</v>
      </c>
      <c r="K267" t="s" s="0">
        <v>6662</v>
      </c>
      <c r="L267" t="s" s="0">
        <v>6663</v>
      </c>
      <c r="M267" t="s" s="0">
        <v>6664</v>
      </c>
      <c r="N267" t="s" s="0">
        <v>6665</v>
      </c>
      <c r="O267" t="s" s="0">
        <v>6666</v>
      </c>
      <c r="P267" t="s" s="0">
        <v>6667</v>
      </c>
      <c r="Q267" t="s" s="0">
        <v>91</v>
      </c>
      <c r="R267" t="s" s="0">
        <v>82</v>
      </c>
      <c r="S267" t="s" s="0">
        <v>82</v>
      </c>
      <c r="T267" t="s" s="0">
        <v>82</v>
      </c>
      <c r="U267" t="s" s="0">
        <v>82</v>
      </c>
      <c r="V267" t="s" s="0">
        <v>6668</v>
      </c>
      <c r="W267" t="s" s="0">
        <v>6124</v>
      </c>
      <c r="X267" t="s" s="0">
        <v>82</v>
      </c>
      <c r="Y267" t="s" s="0">
        <v>82</v>
      </c>
      <c r="Z267" t="s" s="0">
        <v>94</v>
      </c>
      <c r="AA267" t="s" s="0">
        <v>95</v>
      </c>
      <c r="AB267" t="s" s="0">
        <v>82</v>
      </c>
      <c r="AC267" t="s" s="0">
        <v>82</v>
      </c>
      <c r="AD267" t="s" s="0">
        <v>82</v>
      </c>
      <c r="AE267" t="s" s="0">
        <v>82</v>
      </c>
      <c r="AF267" t="s" s="0">
        <v>82</v>
      </c>
      <c r="AG267" t="s" s="0">
        <v>6669</v>
      </c>
      <c r="AH267" t="s" s="0">
        <v>6670</v>
      </c>
      <c r="AI267" t="s" s="0">
        <v>6671</v>
      </c>
      <c r="AJ267" t="s" s="0">
        <v>6672</v>
      </c>
      <c r="AK267" t="s" s="0">
        <v>82</v>
      </c>
      <c r="AL267" t="s" s="0">
        <v>1186</v>
      </c>
      <c r="AM267" t="s" s="0">
        <v>1091</v>
      </c>
      <c r="AN267" t="s" s="0">
        <v>1628</v>
      </c>
      <c r="AO267" t="s" s="0">
        <v>77</v>
      </c>
      <c r="AP267" t="s" s="0">
        <v>344</v>
      </c>
      <c r="AQ267" t="s" s="0">
        <v>312</v>
      </c>
      <c r="AR267" t="s" s="0">
        <v>313</v>
      </c>
      <c r="AS267" t="s" s="0">
        <v>314</v>
      </c>
      <c r="AT267" t="s" s="0">
        <v>82</v>
      </c>
      <c r="AU267" t="s" s="0">
        <v>6129</v>
      </c>
      <c r="AV267" t="s" s="0">
        <v>82</v>
      </c>
      <c r="AW267" t="s" s="0">
        <v>6124</v>
      </c>
      <c r="AX267" t="s" s="0">
        <v>6130</v>
      </c>
      <c r="AY267" t="s" s="0">
        <v>1844</v>
      </c>
      <c r="AZ267" t="s" s="0">
        <v>525</v>
      </c>
      <c r="BA267" t="s" s="0">
        <v>115</v>
      </c>
      <c r="BB267" t="s" s="0">
        <v>245</v>
      </c>
      <c r="BC267" t="s" s="0">
        <v>82</v>
      </c>
      <c r="BD267" t="s" s="0">
        <v>82</v>
      </c>
      <c r="BE267" t="s" s="0">
        <v>82</v>
      </c>
      <c r="BF267" t="s" s="0">
        <v>82</v>
      </c>
      <c r="BG267" t="s" s="0">
        <v>82</v>
      </c>
      <c r="BH267" t="s" s="0">
        <v>82</v>
      </c>
      <c r="BI267" t="s" s="0">
        <v>6673</v>
      </c>
      <c r="BJ267" t="s" s="0">
        <v>6674</v>
      </c>
      <c r="BK267" t="s" s="530">
        <f>HYPERLINK("http://dx.doi.org/10.3390/cancers13102368","http://dx.doi.org/10.3390/cancers13102368")</f>
        <v>6675</v>
      </c>
      <c r="BL267" t="s" s="0">
        <v>82</v>
      </c>
      <c r="BM267" t="s" s="0">
        <v>82</v>
      </c>
      <c r="BN267" t="s" s="0">
        <v>1320</v>
      </c>
      <c r="BO267" t="s" s="0">
        <v>4833</v>
      </c>
      <c r="BP267" t="s" s="0">
        <v>4833</v>
      </c>
      <c r="BQ267" t="s" s="0">
        <v>6676</v>
      </c>
      <c r="BR267" t="s" s="0">
        <v>6677</v>
      </c>
      <c r="BS267" t="s" s="0">
        <v>6678</v>
      </c>
      <c r="BT267" t="s" s="531">
        <f>HYPERLINK("https://www.webofscience.com/wos/woscc/full-record/WOS:000654719300001","View Record in Web of Science")</f>
        <v>120</v>
      </c>
      <c r="BU267" t="s" s="0">
        <v>121</v>
      </c>
      <c r="BV267" t="s" s="0">
        <v>82</v>
      </c>
      <c r="BW267" t="s" s="0">
        <v>82</v>
      </c>
      <c r="BX267" t="s" s="0">
        <v>122</v>
      </c>
    </row>
    <row r="268">
      <c r="A268" t="s" s="0">
        <v>78</v>
      </c>
      <c r="B268" t="s" s="0">
        <v>78</v>
      </c>
      <c r="C268" t="s" s="0">
        <v>78</v>
      </c>
      <c r="D268" t="s" s="0">
        <v>78</v>
      </c>
      <c r="E268" t="s" s="0">
        <v>6679</v>
      </c>
      <c r="F268" t="s" s="0">
        <v>6680</v>
      </c>
      <c r="G268" t="s" s="0">
        <v>6681</v>
      </c>
      <c r="H268" t="s" s="0">
        <v>82</v>
      </c>
      <c r="I268" t="s" s="0">
        <v>83</v>
      </c>
      <c r="J268" t="s" s="0">
        <v>6682</v>
      </c>
      <c r="K268" t="s" s="0">
        <v>6683</v>
      </c>
      <c r="L268" t="s" s="0">
        <v>6684</v>
      </c>
      <c r="M268" t="s" s="0">
        <v>6685</v>
      </c>
      <c r="N268" t="s" s="0">
        <v>6686</v>
      </c>
      <c r="O268" t="s" s="0">
        <v>6687</v>
      </c>
      <c r="P268" t="s" s="0">
        <v>6688</v>
      </c>
      <c r="Q268" t="s" s="0">
        <v>91</v>
      </c>
      <c r="R268" t="s" s="0">
        <v>82</v>
      </c>
      <c r="S268" t="s" s="0">
        <v>82</v>
      </c>
      <c r="T268" t="s" s="0">
        <v>82</v>
      </c>
      <c r="U268" t="s" s="0">
        <v>82</v>
      </c>
      <c r="V268" t="s" s="0">
        <v>6689</v>
      </c>
      <c r="W268" t="s" s="0">
        <v>6690</v>
      </c>
      <c r="X268" t="s" s="0">
        <v>82</v>
      </c>
      <c r="Y268" t="s" s="0">
        <v>82</v>
      </c>
      <c r="Z268" t="s" s="0">
        <v>94</v>
      </c>
      <c r="AA268" t="s" s="0">
        <v>95</v>
      </c>
      <c r="AB268" t="s" s="0">
        <v>82</v>
      </c>
      <c r="AC268" t="s" s="0">
        <v>82</v>
      </c>
      <c r="AD268" t="s" s="0">
        <v>82</v>
      </c>
      <c r="AE268" t="s" s="0">
        <v>82</v>
      </c>
      <c r="AF268" t="s" s="0">
        <v>82</v>
      </c>
      <c r="AG268" t="s" s="0">
        <v>6691</v>
      </c>
      <c r="AH268" t="s" s="0">
        <v>6692</v>
      </c>
      <c r="AI268" t="s" s="0">
        <v>6693</v>
      </c>
      <c r="AJ268" t="s" s="0">
        <v>82</v>
      </c>
      <c r="AK268" t="s" s="0">
        <v>82</v>
      </c>
      <c r="AL268" t="s" s="0">
        <v>829</v>
      </c>
      <c r="AM268" t="s" s="0">
        <v>447</v>
      </c>
      <c r="AN268" t="s" s="0">
        <v>447</v>
      </c>
      <c r="AO268" t="s" s="0">
        <v>221</v>
      </c>
      <c r="AP268" t="s" s="0">
        <v>323</v>
      </c>
      <c r="AQ268" t="s" s="0">
        <v>6694</v>
      </c>
      <c r="AR268" t="s" s="0">
        <v>6695</v>
      </c>
      <c r="AS268" t="s" s="0">
        <v>6696</v>
      </c>
      <c r="AT268" t="s" s="0">
        <v>82</v>
      </c>
      <c r="AU268" t="s" s="0">
        <v>6697</v>
      </c>
      <c r="AV268" t="s" s="0">
        <v>82</v>
      </c>
      <c r="AW268" t="s" s="0">
        <v>6698</v>
      </c>
      <c r="AX268" t="s" s="0">
        <v>6699</v>
      </c>
      <c r="AY268" t="s" s="0">
        <v>5604</v>
      </c>
      <c r="AZ268" t="s" s="0">
        <v>147</v>
      </c>
      <c r="BA268" t="s" s="0">
        <v>149</v>
      </c>
      <c r="BB268" t="s" s="0">
        <v>344</v>
      </c>
      <c r="BC268" t="s" s="0">
        <v>82</v>
      </c>
      <c r="BD268" t="s" s="0">
        <v>82</v>
      </c>
      <c r="BE268" t="s" s="0">
        <v>82</v>
      </c>
      <c r="BF268" t="s" s="0">
        <v>82</v>
      </c>
      <c r="BG268" t="s" s="0">
        <v>82</v>
      </c>
      <c r="BH268" t="s" s="0">
        <v>82</v>
      </c>
      <c r="BI268" t="s" s="0">
        <v>82</v>
      </c>
      <c r="BJ268" t="s" s="0">
        <v>6700</v>
      </c>
      <c r="BK268" t="s" s="532">
        <f>HYPERLINK("http://dx.doi.org/10.1002/advs.202508977","http://dx.doi.org/10.1002/advs.202508977")</f>
        <v>6701</v>
      </c>
      <c r="BL268" t="s" s="0">
        <v>82</v>
      </c>
      <c r="BM268" t="s" s="0">
        <v>949</v>
      </c>
      <c r="BN268" t="s" s="0">
        <v>115</v>
      </c>
      <c r="BO268" t="s" s="0">
        <v>6702</v>
      </c>
      <c r="BP268" t="s" s="0">
        <v>6703</v>
      </c>
      <c r="BQ268" t="s" s="0">
        <v>6704</v>
      </c>
      <c r="BR268" t="s" s="0">
        <v>6705</v>
      </c>
      <c r="BS268" t="s" s="0">
        <v>6706</v>
      </c>
      <c r="BT268" t="s" s="533">
        <f>HYPERLINK("https://www.webofscience.com/wos/woscc/full-record/WOS:001535162400001","View Record in Web of Science")</f>
        <v>120</v>
      </c>
      <c r="BU268" t="s" s="0">
        <v>121</v>
      </c>
      <c r="BV268" t="s" s="0">
        <v>82</v>
      </c>
      <c r="BW268" t="s" s="0">
        <v>82</v>
      </c>
      <c r="BX268" t="s" s="0">
        <v>122</v>
      </c>
    </row>
    <row r="269">
      <c r="A269" t="s" s="0">
        <v>78</v>
      </c>
      <c r="B269" t="s" s="0">
        <v>78</v>
      </c>
      <c r="C269" t="s" s="0">
        <v>78</v>
      </c>
      <c r="D269" t="s" s="0">
        <v>78</v>
      </c>
      <c r="E269" t="s" s="0">
        <v>6707</v>
      </c>
      <c r="F269" t="s" s="0">
        <v>6708</v>
      </c>
      <c r="G269" t="s" s="0">
        <v>6709</v>
      </c>
      <c r="H269" t="s" s="0">
        <v>82</v>
      </c>
      <c r="I269" t="s" s="0">
        <v>83</v>
      </c>
      <c r="J269" t="s" s="0">
        <v>6710</v>
      </c>
      <c r="K269" t="s" s="0">
        <v>6711</v>
      </c>
      <c r="L269" t="s" s="0">
        <v>6712</v>
      </c>
      <c r="M269" t="s" s="0">
        <v>6713</v>
      </c>
      <c r="N269" t="s" s="0">
        <v>6714</v>
      </c>
      <c r="O269" t="s" s="0">
        <v>6715</v>
      </c>
      <c r="P269" t="s" s="0">
        <v>6716</v>
      </c>
      <c r="Q269" t="s" s="0">
        <v>91</v>
      </c>
      <c r="R269" t="s" s="0">
        <v>82</v>
      </c>
      <c r="S269" t="s" s="0">
        <v>82</v>
      </c>
      <c r="T269" t="s" s="0">
        <v>82</v>
      </c>
      <c r="U269" t="s" s="0">
        <v>82</v>
      </c>
      <c r="V269" t="s" s="0">
        <v>6717</v>
      </c>
      <c r="W269" t="s" s="0">
        <v>269</v>
      </c>
      <c r="X269" t="s" s="0">
        <v>82</v>
      </c>
      <c r="Y269" t="s" s="0">
        <v>82</v>
      </c>
      <c r="Z269" t="s" s="0">
        <v>94</v>
      </c>
      <c r="AA269" t="s" s="0">
        <v>95</v>
      </c>
      <c r="AB269" t="s" s="0">
        <v>82</v>
      </c>
      <c r="AC269" t="s" s="0">
        <v>82</v>
      </c>
      <c r="AD269" t="s" s="0">
        <v>82</v>
      </c>
      <c r="AE269" t="s" s="0">
        <v>82</v>
      </c>
      <c r="AF269" t="s" s="0">
        <v>82</v>
      </c>
      <c r="AG269" t="s" s="0">
        <v>82</v>
      </c>
      <c r="AH269" t="s" s="0">
        <v>6718</v>
      </c>
      <c r="AI269" t="s" s="0">
        <v>6719</v>
      </c>
      <c r="AJ269" t="s" s="0">
        <v>6720</v>
      </c>
      <c r="AK269" t="s" s="0">
        <v>82</v>
      </c>
      <c r="AL269" t="s" s="0">
        <v>828</v>
      </c>
      <c r="AM269" t="s" s="0">
        <v>78</v>
      </c>
      <c r="AN269" t="s" s="0">
        <v>77</v>
      </c>
      <c r="AO269" t="s" s="0">
        <v>78</v>
      </c>
      <c r="AP269" t="s" s="0">
        <v>78</v>
      </c>
      <c r="AQ269" t="s" s="0">
        <v>277</v>
      </c>
      <c r="AR269" t="s" s="0">
        <v>278</v>
      </c>
      <c r="AS269" t="s" s="0">
        <v>279</v>
      </c>
      <c r="AT269" t="s" s="0">
        <v>82</v>
      </c>
      <c r="AU269" t="s" s="0">
        <v>280</v>
      </c>
      <c r="AV269" t="s" s="0">
        <v>82</v>
      </c>
      <c r="AW269" t="s" s="0">
        <v>281</v>
      </c>
      <c r="AX269" t="s" s="0">
        <v>282</v>
      </c>
      <c r="AY269" t="s" s="0">
        <v>153</v>
      </c>
      <c r="AZ269" t="s" s="0">
        <v>181</v>
      </c>
      <c r="BA269" t="s" s="0">
        <v>136</v>
      </c>
      <c r="BB269" t="s" s="0">
        <v>101</v>
      </c>
      <c r="BC269" t="s" s="0">
        <v>82</v>
      </c>
      <c r="BD269" t="s" s="0">
        <v>82</v>
      </c>
      <c r="BE269" t="s" s="0">
        <v>82</v>
      </c>
      <c r="BF269" t="s" s="0">
        <v>82</v>
      </c>
      <c r="BG269" t="s" s="0">
        <v>82</v>
      </c>
      <c r="BH269" t="s" s="0">
        <v>82</v>
      </c>
      <c r="BI269" t="s" s="0">
        <v>6721</v>
      </c>
      <c r="BJ269" t="s" s="0">
        <v>6722</v>
      </c>
      <c r="BK269" t="s" s="534">
        <f>HYPERLINK("http://dx.doi.org/10.1016/j.landig.2025.100961","http://dx.doi.org/10.1016/j.landig.2025.100961")</f>
        <v>6723</v>
      </c>
      <c r="BL269" t="s" s="0">
        <v>82</v>
      </c>
      <c r="BM269" t="s" s="0">
        <v>82</v>
      </c>
      <c r="BN269" t="s" s="0">
        <v>115</v>
      </c>
      <c r="BO269" t="s" s="0">
        <v>289</v>
      </c>
      <c r="BP269" t="s" s="0">
        <v>290</v>
      </c>
      <c r="BQ269" t="s" s="0">
        <v>6724</v>
      </c>
      <c r="BR269" t="s" s="0">
        <v>6725</v>
      </c>
      <c r="BS269" t="s" s="0">
        <v>6726</v>
      </c>
      <c r="BT269" t="s" s="535">
        <f>HYPERLINK("https://www.webofscience.com/wos/woscc/full-record/WOS:001750568300001","View Record in Web of Science")</f>
        <v>120</v>
      </c>
      <c r="BU269" t="s" s="0">
        <v>1008</v>
      </c>
      <c r="BV269" t="s" s="0">
        <v>82</v>
      </c>
      <c r="BW269" t="s" s="0">
        <v>82</v>
      </c>
      <c r="BX269" t="s" s="0">
        <v>122</v>
      </c>
    </row>
    <row r="270">
      <c r="A270" t="s" s="0">
        <v>78</v>
      </c>
      <c r="B270" t="s" s="0">
        <v>78</v>
      </c>
      <c r="C270" t="s" s="0">
        <v>102</v>
      </c>
      <c r="D270" t="s" s="0">
        <v>78</v>
      </c>
      <c r="E270" t="s" s="0">
        <v>6727</v>
      </c>
      <c r="F270" t="s" s="0">
        <v>6728</v>
      </c>
      <c r="G270" t="s" s="0">
        <v>6729</v>
      </c>
      <c r="H270" t="s" s="0">
        <v>82</v>
      </c>
      <c r="I270" t="s" s="0">
        <v>83</v>
      </c>
      <c r="J270" t="s" s="0">
        <v>6730</v>
      </c>
      <c r="K270" t="s" s="0">
        <v>6731</v>
      </c>
      <c r="L270" t="s" s="0">
        <v>6732</v>
      </c>
      <c r="M270" t="s" s="0">
        <v>6733</v>
      </c>
      <c r="N270" t="s" s="0">
        <v>6734</v>
      </c>
      <c r="O270" t="s" s="0">
        <v>6735</v>
      </c>
      <c r="P270" t="s" s="0">
        <v>6736</v>
      </c>
      <c r="Q270" t="s" s="0">
        <v>91</v>
      </c>
      <c r="R270" t="s" s="0">
        <v>82</v>
      </c>
      <c r="S270" t="s" s="0">
        <v>82</v>
      </c>
      <c r="T270" t="s" s="0">
        <v>82</v>
      </c>
      <c r="U270" t="s" s="0">
        <v>82</v>
      </c>
      <c r="V270" t="s" s="0">
        <v>6737</v>
      </c>
      <c r="W270" t="s" s="0">
        <v>6738</v>
      </c>
      <c r="X270" t="s" s="0">
        <v>82</v>
      </c>
      <c r="Y270" t="s" s="0">
        <v>82</v>
      </c>
      <c r="Z270" t="s" s="0">
        <v>94</v>
      </c>
      <c r="AA270" t="s" s="0">
        <v>95</v>
      </c>
      <c r="AB270" t="s" s="0">
        <v>82</v>
      </c>
      <c r="AC270" t="s" s="0">
        <v>82</v>
      </c>
      <c r="AD270" t="s" s="0">
        <v>82</v>
      </c>
      <c r="AE270" t="s" s="0">
        <v>82</v>
      </c>
      <c r="AF270" t="s" s="0">
        <v>82</v>
      </c>
      <c r="AG270" t="s" s="0">
        <v>82</v>
      </c>
      <c r="AH270" t="s" s="0">
        <v>6739</v>
      </c>
      <c r="AI270" t="s" s="0">
        <v>6740</v>
      </c>
      <c r="AJ270" t="s" s="0">
        <v>6741</v>
      </c>
      <c r="AK270" t="s" s="0">
        <v>82</v>
      </c>
      <c r="AL270" t="s" s="0">
        <v>1161</v>
      </c>
      <c r="AM270" t="s" s="0">
        <v>245</v>
      </c>
      <c r="AN270" t="s" s="0">
        <v>137</v>
      </c>
      <c r="AO270" t="s" s="0">
        <v>77</v>
      </c>
      <c r="AP270" t="s" s="0">
        <v>102</v>
      </c>
      <c r="AQ270" t="s" s="0">
        <v>174</v>
      </c>
      <c r="AR270" t="s" s="0">
        <v>175</v>
      </c>
      <c r="AS270" t="s" s="0">
        <v>176</v>
      </c>
      <c r="AT270" t="s" s="0">
        <v>6742</v>
      </c>
      <c r="AU270" t="s" s="0">
        <v>6743</v>
      </c>
      <c r="AV270" t="s" s="0">
        <v>82</v>
      </c>
      <c r="AW270" t="s" s="0">
        <v>6744</v>
      </c>
      <c r="AX270" t="s" s="0">
        <v>6745</v>
      </c>
      <c r="AY270" t="s" s="0">
        <v>2108</v>
      </c>
      <c r="AZ270" t="s" s="0">
        <v>110</v>
      </c>
      <c r="BA270" t="s" s="0">
        <v>2575</v>
      </c>
      <c r="BB270" t="s" s="0">
        <v>447</v>
      </c>
      <c r="BC270" t="s" s="0">
        <v>82</v>
      </c>
      <c r="BD270" t="s" s="0">
        <v>82</v>
      </c>
      <c r="BE270" t="s" s="0">
        <v>82</v>
      </c>
      <c r="BF270" t="s" s="0">
        <v>82</v>
      </c>
      <c r="BG270" t="s" s="0">
        <v>2580</v>
      </c>
      <c r="BH270" t="s" s="0">
        <v>725</v>
      </c>
      <c r="BI270" t="s" s="0">
        <v>82</v>
      </c>
      <c r="BJ270" t="s" s="0">
        <v>6746</v>
      </c>
      <c r="BK270" t="s" s="536">
        <f>HYPERLINK("http://dx.doi.org/10.1111/dmcn.15727","http://dx.doi.org/10.1111/dmcn.15727")</f>
        <v>6747</v>
      </c>
      <c r="BL270" t="s" s="0">
        <v>82</v>
      </c>
      <c r="BM270" t="s" s="0">
        <v>2939</v>
      </c>
      <c r="BN270" t="s" s="0">
        <v>245</v>
      </c>
      <c r="BO270" t="s" s="0">
        <v>6748</v>
      </c>
      <c r="BP270" t="s" s="0">
        <v>6749</v>
      </c>
      <c r="BQ270" t="s" s="0">
        <v>6750</v>
      </c>
      <c r="BR270" t="s" s="0">
        <v>6751</v>
      </c>
      <c r="BS270" t="s" s="0">
        <v>6752</v>
      </c>
      <c r="BT270" t="s" s="537">
        <f>HYPERLINK("https://www.webofscience.com/wos/woscc/full-record/WOS:001045089900001","View Record in Web of Science")</f>
        <v>120</v>
      </c>
      <c r="BU270" t="s" s="0">
        <v>256</v>
      </c>
      <c r="BV270" t="s" s="0">
        <v>82</v>
      </c>
      <c r="BW270" t="s" s="0">
        <v>82</v>
      </c>
      <c r="BX270" t="s" s="0">
        <v>122</v>
      </c>
    </row>
    <row r="271">
      <c r="A271" t="s" s="0">
        <v>78</v>
      </c>
      <c r="B271" t="s" s="0">
        <v>78</v>
      </c>
      <c r="C271" t="s" s="0">
        <v>102</v>
      </c>
      <c r="D271" t="s" s="0">
        <v>78</v>
      </c>
      <c r="E271" t="s" s="0">
        <v>6753</v>
      </c>
      <c r="F271" t="s" s="0">
        <v>6754</v>
      </c>
      <c r="G271" t="s" s="0">
        <v>6755</v>
      </c>
      <c r="H271" t="s" s="0">
        <v>82</v>
      </c>
      <c r="I271" t="s" s="0">
        <v>83</v>
      </c>
      <c r="J271" t="s" s="0">
        <v>6756</v>
      </c>
      <c r="K271" t="s" s="0">
        <v>6757</v>
      </c>
      <c r="L271" t="s" s="0">
        <v>82</v>
      </c>
      <c r="M271" t="s" s="0">
        <v>82</v>
      </c>
      <c r="N271" t="s" s="0">
        <v>82</v>
      </c>
      <c r="O271" t="s" s="0">
        <v>6758</v>
      </c>
      <c r="P271" t="s" s="0">
        <v>6759</v>
      </c>
      <c r="Q271" t="s" s="0">
        <v>91</v>
      </c>
      <c r="R271" t="s" s="0">
        <v>82</v>
      </c>
      <c r="S271" t="s" s="0">
        <v>82</v>
      </c>
      <c r="T271" t="s" s="0">
        <v>82</v>
      </c>
      <c r="U271" t="s" s="0">
        <v>82</v>
      </c>
      <c r="V271" t="s" s="0">
        <v>6760</v>
      </c>
      <c r="W271" t="s" s="0">
        <v>6761</v>
      </c>
      <c r="X271" t="s" s="0">
        <v>82</v>
      </c>
      <c r="Y271" t="s" s="0">
        <v>82</v>
      </c>
      <c r="Z271" t="s" s="0">
        <v>94</v>
      </c>
      <c r="AA271" t="s" s="0">
        <v>95</v>
      </c>
      <c r="AB271" t="s" s="0">
        <v>82</v>
      </c>
      <c r="AC271" t="s" s="0">
        <v>82</v>
      </c>
      <c r="AD271" t="s" s="0">
        <v>82</v>
      </c>
      <c r="AE271" t="s" s="0">
        <v>82</v>
      </c>
      <c r="AF271" t="s" s="0">
        <v>82</v>
      </c>
      <c r="AG271" t="s" s="0">
        <v>82</v>
      </c>
      <c r="AH271" t="s" s="0">
        <v>6762</v>
      </c>
      <c r="AI271" t="s" s="0">
        <v>82</v>
      </c>
      <c r="AJ271" t="s" s="0">
        <v>6763</v>
      </c>
      <c r="AK271" t="s" s="0">
        <v>82</v>
      </c>
      <c r="AL271" t="s" s="0">
        <v>154</v>
      </c>
      <c r="AM271" t="s" s="0">
        <v>111</v>
      </c>
      <c r="AN271" t="s" s="0">
        <v>1780</v>
      </c>
      <c r="AO271" t="s" s="0">
        <v>78</v>
      </c>
      <c r="AP271" t="s" s="0">
        <v>138</v>
      </c>
      <c r="AQ271" t="s" s="0">
        <v>6764</v>
      </c>
      <c r="AR271" t="s" s="0">
        <v>104</v>
      </c>
      <c r="AS271" t="s" s="0">
        <v>6765</v>
      </c>
      <c r="AT271" t="s" s="0">
        <v>6766</v>
      </c>
      <c r="AU271" t="s" s="0">
        <v>6767</v>
      </c>
      <c r="AV271" t="s" s="0">
        <v>82</v>
      </c>
      <c r="AW271" t="s" s="0">
        <v>6768</v>
      </c>
      <c r="AX271" t="s" s="0">
        <v>6769</v>
      </c>
      <c r="AY271" t="s" s="0">
        <v>722</v>
      </c>
      <c r="AZ271" t="s" s="0">
        <v>210</v>
      </c>
      <c r="BA271" t="s" s="0">
        <v>1628</v>
      </c>
      <c r="BB271" t="s" s="0">
        <v>447</v>
      </c>
      <c r="BC271" t="s" s="0">
        <v>2057</v>
      </c>
      <c r="BD271" t="s" s="0">
        <v>82</v>
      </c>
      <c r="BE271" t="s" s="0">
        <v>82</v>
      </c>
      <c r="BF271" t="s" s="0">
        <v>82</v>
      </c>
      <c r="BG271" t="s" s="0">
        <v>4622</v>
      </c>
      <c r="BH271" t="s" s="0">
        <v>6770</v>
      </c>
      <c r="BI271" t="s" s="0">
        <v>82</v>
      </c>
      <c r="BJ271" t="s" s="0">
        <v>6771</v>
      </c>
      <c r="BK271" t="s" s="538">
        <f>HYPERLINK("http://dx.doi.org/10.1016/j.crad.2022.09.122","http://dx.doi.org/10.1016/j.crad.2022.09.122")</f>
        <v>6772</v>
      </c>
      <c r="BL271" t="s" s="0">
        <v>82</v>
      </c>
      <c r="BM271" t="s" s="0">
        <v>728</v>
      </c>
      <c r="BN271" t="s" s="0">
        <v>138</v>
      </c>
      <c r="BO271" t="s" s="0">
        <v>414</v>
      </c>
      <c r="BP271" t="s" s="0">
        <v>414</v>
      </c>
      <c r="BQ271" t="s" s="0">
        <v>6773</v>
      </c>
      <c r="BR271" t="s" s="0">
        <v>6774</v>
      </c>
      <c r="BS271" t="s" s="0">
        <v>6775</v>
      </c>
      <c r="BT271" t="s" s="539">
        <f>HYPERLINK("https://www.webofscience.com/wos/woscc/full-record/WOS:000994059400001","View Record in Web of Science")</f>
        <v>120</v>
      </c>
      <c r="BU271" t="s" s="0">
        <v>82</v>
      </c>
      <c r="BV271" t="s" s="0">
        <v>82</v>
      </c>
      <c r="BW271" t="s" s="0">
        <v>82</v>
      </c>
      <c r="BX271" t="s" s="0">
        <v>122</v>
      </c>
    </row>
    <row r="272">
      <c r="A272" t="s" s="0">
        <v>77</v>
      </c>
      <c r="B272" t="s" s="0">
        <v>78</v>
      </c>
      <c r="C272" t="s" s="0">
        <v>1320</v>
      </c>
      <c r="D272" t="s" s="0">
        <v>78</v>
      </c>
      <c r="E272" t="s" s="0">
        <v>6776</v>
      </c>
      <c r="F272" t="s" s="0">
        <v>6777</v>
      </c>
      <c r="G272" t="s" s="0">
        <v>6778</v>
      </c>
      <c r="H272" t="s" s="0">
        <v>82</v>
      </c>
      <c r="I272" t="s" s="0">
        <v>83</v>
      </c>
      <c r="J272" t="s" s="0">
        <v>6779</v>
      </c>
      <c r="K272" t="s" s="0">
        <v>6780</v>
      </c>
      <c r="L272" t="s" s="0">
        <v>6781</v>
      </c>
      <c r="M272" t="s" s="0">
        <v>6781</v>
      </c>
      <c r="N272" t="s" s="0">
        <v>6782</v>
      </c>
      <c r="O272" t="s" s="0">
        <v>6783</v>
      </c>
      <c r="P272" t="s" s="0">
        <v>6784</v>
      </c>
      <c r="Q272" t="s" s="0">
        <v>91</v>
      </c>
      <c r="R272" t="s" s="0">
        <v>82</v>
      </c>
      <c r="S272" t="s" s="0">
        <v>82</v>
      </c>
      <c r="T272" t="s" s="0">
        <v>82</v>
      </c>
      <c r="U272" t="s" s="0">
        <v>82</v>
      </c>
      <c r="V272" t="s" s="0">
        <v>6785</v>
      </c>
      <c r="W272" t="s" s="0">
        <v>6786</v>
      </c>
      <c r="X272" t="s" s="0">
        <v>82</v>
      </c>
      <c r="Y272" t="s" s="0">
        <v>82</v>
      </c>
      <c r="Z272" t="s" s="0">
        <v>94</v>
      </c>
      <c r="AA272" t="s" s="0">
        <v>95</v>
      </c>
      <c r="AB272" t="s" s="0">
        <v>82</v>
      </c>
      <c r="AC272" t="s" s="0">
        <v>82</v>
      </c>
      <c r="AD272" t="s" s="0">
        <v>82</v>
      </c>
      <c r="AE272" t="s" s="0">
        <v>82</v>
      </c>
      <c r="AF272" t="s" s="0">
        <v>82</v>
      </c>
      <c r="AG272" t="s" s="0">
        <v>6787</v>
      </c>
      <c r="AH272" t="s" s="0">
        <v>6788</v>
      </c>
      <c r="AI272" t="s" s="0">
        <v>6789</v>
      </c>
      <c r="AJ272" t="s" s="0">
        <v>6790</v>
      </c>
      <c r="AK272" t="s" s="0">
        <v>82</v>
      </c>
      <c r="AL272" t="s" s="0">
        <v>5994</v>
      </c>
      <c r="AM272" t="s" s="0">
        <v>3502</v>
      </c>
      <c r="AN272" t="s" s="0">
        <v>6791</v>
      </c>
      <c r="AO272" t="s" s="0">
        <v>221</v>
      </c>
      <c r="AP272" t="s" s="0">
        <v>111</v>
      </c>
      <c r="AQ272" t="s" s="0">
        <v>400</v>
      </c>
      <c r="AR272" t="s" s="0">
        <v>401</v>
      </c>
      <c r="AS272" t="s" s="0">
        <v>402</v>
      </c>
      <c r="AT272" t="s" s="0">
        <v>6792</v>
      </c>
      <c r="AU272" t="s" s="0">
        <v>6793</v>
      </c>
      <c r="AV272" t="s" s="0">
        <v>82</v>
      </c>
      <c r="AW272" t="s" s="0">
        <v>6794</v>
      </c>
      <c r="AX272" t="s" s="0">
        <v>6795</v>
      </c>
      <c r="AY272" t="s" s="0">
        <v>250</v>
      </c>
      <c r="AZ272" t="s" s="0">
        <v>110</v>
      </c>
      <c r="BA272" t="s" s="0">
        <v>6796</v>
      </c>
      <c r="BB272" t="s" s="0">
        <v>82</v>
      </c>
      <c r="BC272" t="s" s="0">
        <v>82</v>
      </c>
      <c r="BD272" t="s" s="0">
        <v>82</v>
      </c>
      <c r="BE272" t="s" s="0">
        <v>82</v>
      </c>
      <c r="BF272" t="s" s="0">
        <v>82</v>
      </c>
      <c r="BG272" t="s" s="0">
        <v>82</v>
      </c>
      <c r="BH272" t="s" s="0">
        <v>82</v>
      </c>
      <c r="BI272" t="s" s="0">
        <v>6797</v>
      </c>
      <c r="BJ272" t="s" s="0">
        <v>6798</v>
      </c>
      <c r="BK272" t="s" s="540">
        <f>HYPERLINK("http://dx.doi.org/10.1016/j.radonc.2024.110345","http://dx.doi.org/10.1016/j.radonc.2024.110345")</f>
        <v>6799</v>
      </c>
      <c r="BL272" t="s" s="0">
        <v>82</v>
      </c>
      <c r="BM272" t="s" s="0">
        <v>1631</v>
      </c>
      <c r="BN272" t="s" s="0">
        <v>137</v>
      </c>
      <c r="BO272" t="s" s="0">
        <v>2164</v>
      </c>
      <c r="BP272" t="s" s="0">
        <v>2164</v>
      </c>
      <c r="BQ272" t="s" s="0">
        <v>6800</v>
      </c>
      <c r="BR272" t="s" s="0">
        <v>6801</v>
      </c>
      <c r="BS272" t="s" s="0">
        <v>6802</v>
      </c>
      <c r="BT272" t="s" s="541">
        <f>HYPERLINK("https://www.webofscience.com/wos/woscc/full-record/WOS:001256853700001","View Record in Web of Science")</f>
        <v>120</v>
      </c>
      <c r="BU272" t="s" s="0">
        <v>2442</v>
      </c>
      <c r="BV272" t="s" s="0">
        <v>4390</v>
      </c>
      <c r="BW272" t="s" s="0">
        <v>4391</v>
      </c>
      <c r="BX272" t="s" s="0">
        <v>122</v>
      </c>
    </row>
    <row r="273">
      <c r="A273" t="s" s="0">
        <v>78</v>
      </c>
      <c r="B273" t="s" s="0">
        <v>78</v>
      </c>
      <c r="C273" t="s" s="0">
        <v>78</v>
      </c>
      <c r="D273" t="s" s="0">
        <v>78</v>
      </c>
      <c r="E273" t="s" s="0">
        <v>6803</v>
      </c>
      <c r="F273" t="s" s="0">
        <v>6804</v>
      </c>
      <c r="G273" t="s" s="0">
        <v>6805</v>
      </c>
      <c r="H273" t="s" s="0">
        <v>82</v>
      </c>
      <c r="I273" t="s" s="0">
        <v>83</v>
      </c>
      <c r="J273" t="s" s="0">
        <v>6806</v>
      </c>
      <c r="K273" t="s" s="0">
        <v>6807</v>
      </c>
      <c r="L273" t="s" s="0">
        <v>6808</v>
      </c>
      <c r="M273" t="s" s="0">
        <v>6809</v>
      </c>
      <c r="N273" t="s" s="0">
        <v>6810</v>
      </c>
      <c r="O273" t="s" s="0">
        <v>6811</v>
      </c>
      <c r="P273" t="s" s="0">
        <v>82</v>
      </c>
      <c r="Q273" t="s" s="0">
        <v>91</v>
      </c>
      <c r="R273" t="s" s="0">
        <v>82</v>
      </c>
      <c r="S273" t="s" s="0">
        <v>82</v>
      </c>
      <c r="T273" t="s" s="0">
        <v>82</v>
      </c>
      <c r="U273" t="s" s="0">
        <v>82</v>
      </c>
      <c r="V273" t="s" s="0">
        <v>6812</v>
      </c>
      <c r="W273" t="s" s="0">
        <v>6813</v>
      </c>
      <c r="X273" t="s" s="0">
        <v>82</v>
      </c>
      <c r="Y273" t="s" s="0">
        <v>82</v>
      </c>
      <c r="Z273" t="s" s="0">
        <v>94</v>
      </c>
      <c r="AA273" t="s" s="0">
        <v>95</v>
      </c>
      <c r="AB273" t="s" s="0">
        <v>82</v>
      </c>
      <c r="AC273" t="s" s="0">
        <v>82</v>
      </c>
      <c r="AD273" t="s" s="0">
        <v>82</v>
      </c>
      <c r="AE273" t="s" s="0">
        <v>82</v>
      </c>
      <c r="AF273" t="s" s="0">
        <v>82</v>
      </c>
      <c r="AG273" t="s" s="0">
        <v>6814</v>
      </c>
      <c r="AH273" t="s" s="0">
        <v>6815</v>
      </c>
      <c r="AI273" t="s" s="0">
        <v>82</v>
      </c>
      <c r="AJ273" t="s" s="0">
        <v>82</v>
      </c>
      <c r="AK273" t="s" s="0">
        <v>82</v>
      </c>
      <c r="AL273" t="s" s="0">
        <v>344</v>
      </c>
      <c r="AM273" t="s" s="0">
        <v>78</v>
      </c>
      <c r="AN273" t="s" s="0">
        <v>78</v>
      </c>
      <c r="AO273" t="s" s="0">
        <v>78</v>
      </c>
      <c r="AP273" t="s" s="0">
        <v>78</v>
      </c>
      <c r="AQ273" t="s" s="0">
        <v>1578</v>
      </c>
      <c r="AR273" t="s" s="0">
        <v>1579</v>
      </c>
      <c r="AS273" t="s" s="0">
        <v>1580</v>
      </c>
      <c r="AT273" t="s" s="0">
        <v>6816</v>
      </c>
      <c r="AU273" t="s" s="0">
        <v>82</v>
      </c>
      <c r="AV273" t="s" s="0">
        <v>82</v>
      </c>
      <c r="AW273" t="s" s="0">
        <v>6817</v>
      </c>
      <c r="AX273" t="s" s="0">
        <v>6818</v>
      </c>
      <c r="AY273" t="s" s="0">
        <v>181</v>
      </c>
      <c r="AZ273" t="s" s="0">
        <v>181</v>
      </c>
      <c r="BA273" t="s" s="0">
        <v>831</v>
      </c>
      <c r="BB273" t="s" s="0">
        <v>82</v>
      </c>
      <c r="BC273" t="s" s="0">
        <v>82</v>
      </c>
      <c r="BD273" t="s" s="0">
        <v>82</v>
      </c>
      <c r="BE273" t="s" s="0">
        <v>82</v>
      </c>
      <c r="BF273" t="s" s="0">
        <v>82</v>
      </c>
      <c r="BG273" t="s" s="0">
        <v>82</v>
      </c>
      <c r="BH273" t="s" s="0">
        <v>82</v>
      </c>
      <c r="BI273" t="s" s="0">
        <v>6819</v>
      </c>
      <c r="BJ273" t="s" s="0">
        <v>6820</v>
      </c>
      <c r="BK273" t="s" s="542">
        <f>HYPERLINK("http://dx.doi.org/10.2147/COPD.S609203","http://dx.doi.org/10.2147/COPD.S609203")</f>
        <v>6821</v>
      </c>
      <c r="BL273" t="s" s="0">
        <v>82</v>
      </c>
      <c r="BM273" t="s" s="0">
        <v>82</v>
      </c>
      <c r="BN273" t="s" s="0">
        <v>323</v>
      </c>
      <c r="BO273" t="s" s="0">
        <v>1227</v>
      </c>
      <c r="BP273" t="s" s="0">
        <v>1227</v>
      </c>
      <c r="BQ273" t="s" s="0">
        <v>6822</v>
      </c>
      <c r="BR273" t="s" s="0">
        <v>82</v>
      </c>
      <c r="BS273" t="s" s="0">
        <v>6823</v>
      </c>
      <c r="BT273" t="s" s="543">
        <f>HYPERLINK("https://www.webofscience.com/wos/woscc/full-record/WOS:001852273100001","View Record in Web of Science")</f>
        <v>120</v>
      </c>
      <c r="BU273" t="s" s="0">
        <v>1008</v>
      </c>
      <c r="BV273" t="s" s="0">
        <v>82</v>
      </c>
      <c r="BW273" t="s" s="0">
        <v>82</v>
      </c>
      <c r="BX273" t="s" s="0">
        <v>122</v>
      </c>
    </row>
    <row r="274">
      <c r="A274" t="s" s="0">
        <v>78</v>
      </c>
      <c r="B274" t="s" s="0">
        <v>78</v>
      </c>
      <c r="C274" t="s" s="0">
        <v>78</v>
      </c>
      <c r="D274" t="s" s="0">
        <v>78</v>
      </c>
      <c r="E274" t="s" s="0">
        <v>6824</v>
      </c>
      <c r="F274" t="s" s="0">
        <v>6825</v>
      </c>
      <c r="G274" t="s" s="0">
        <v>6826</v>
      </c>
      <c r="H274" t="s" s="0">
        <v>82</v>
      </c>
      <c r="I274" t="s" s="0">
        <v>83</v>
      </c>
      <c r="J274" t="s" s="0">
        <v>6827</v>
      </c>
      <c r="K274" t="s" s="0">
        <v>6828</v>
      </c>
      <c r="L274" t="s" s="0">
        <v>82</v>
      </c>
      <c r="M274" t="s" s="0">
        <v>82</v>
      </c>
      <c r="N274" t="s" s="0">
        <v>82</v>
      </c>
      <c r="O274" t="s" s="0">
        <v>6829</v>
      </c>
      <c r="P274" t="s" s="0">
        <v>6830</v>
      </c>
      <c r="Q274" t="s" s="0">
        <v>91</v>
      </c>
      <c r="R274" t="s" s="0">
        <v>82</v>
      </c>
      <c r="S274" t="s" s="0">
        <v>82</v>
      </c>
      <c r="T274" t="s" s="0">
        <v>82</v>
      </c>
      <c r="U274" t="s" s="0">
        <v>82</v>
      </c>
      <c r="V274" t="s" s="0">
        <v>6831</v>
      </c>
      <c r="W274" t="s" s="0">
        <v>6832</v>
      </c>
      <c r="X274" t="s" s="0">
        <v>82</v>
      </c>
      <c r="Y274" t="s" s="0">
        <v>82</v>
      </c>
      <c r="Z274" t="s" s="0">
        <v>94</v>
      </c>
      <c r="AA274" t="s" s="0">
        <v>95</v>
      </c>
      <c r="AB274" t="s" s="0">
        <v>82</v>
      </c>
      <c r="AC274" t="s" s="0">
        <v>82</v>
      </c>
      <c r="AD274" t="s" s="0">
        <v>82</v>
      </c>
      <c r="AE274" t="s" s="0">
        <v>82</v>
      </c>
      <c r="AF274" t="s" s="0">
        <v>82</v>
      </c>
      <c r="AG274" t="s" s="0">
        <v>6833</v>
      </c>
      <c r="AH274" t="s" s="0">
        <v>6834</v>
      </c>
      <c r="AI274" t="s" s="0">
        <v>82</v>
      </c>
      <c r="AJ274" t="s" s="0">
        <v>82</v>
      </c>
      <c r="AK274" t="s" s="0">
        <v>82</v>
      </c>
      <c r="AL274" t="s" s="0">
        <v>238</v>
      </c>
      <c r="AM274" t="s" s="0">
        <v>78</v>
      </c>
      <c r="AN274" t="s" s="0">
        <v>78</v>
      </c>
      <c r="AO274" t="s" s="0">
        <v>447</v>
      </c>
      <c r="AP274" t="s" s="0">
        <v>447</v>
      </c>
      <c r="AQ274" t="s" s="0">
        <v>103</v>
      </c>
      <c r="AR274" t="s" s="0">
        <v>104</v>
      </c>
      <c r="AS274" t="s" s="0">
        <v>105</v>
      </c>
      <c r="AT274" t="s" s="0">
        <v>6835</v>
      </c>
      <c r="AU274" t="s" s="0">
        <v>6836</v>
      </c>
      <c r="AV274" t="s" s="0">
        <v>82</v>
      </c>
      <c r="AW274" t="s" s="0">
        <v>6837</v>
      </c>
      <c r="AX274" t="s" s="0">
        <v>6838</v>
      </c>
      <c r="AY274" t="s" s="0">
        <v>6839</v>
      </c>
      <c r="AZ274" t="s" s="0">
        <v>181</v>
      </c>
      <c r="BA274" t="s" s="0">
        <v>548</v>
      </c>
      <c r="BB274" t="s" s="0">
        <v>77</v>
      </c>
      <c r="BC274" t="s" s="0">
        <v>82</v>
      </c>
      <c r="BD274" t="s" s="0">
        <v>82</v>
      </c>
      <c r="BE274" t="s" s="0">
        <v>82</v>
      </c>
      <c r="BF274" t="s" s="0">
        <v>82</v>
      </c>
      <c r="BG274" t="s" s="0">
        <v>82</v>
      </c>
      <c r="BH274" t="s" s="0">
        <v>82</v>
      </c>
      <c r="BI274" t="s" s="0">
        <v>6840</v>
      </c>
      <c r="BJ274" t="s" s="0">
        <v>6841</v>
      </c>
      <c r="BK274" t="s" s="544">
        <f>HYPERLINK("http://dx.doi.org/10.1186/s40001-026-04712-2","http://dx.doi.org/10.1186/s40001-026-04712-2")</f>
        <v>6842</v>
      </c>
      <c r="BL274" t="s" s="0">
        <v>82</v>
      </c>
      <c r="BM274" t="s" s="0">
        <v>184</v>
      </c>
      <c r="BN274" t="s" s="0">
        <v>831</v>
      </c>
      <c r="BO274" t="s" s="0">
        <v>2464</v>
      </c>
      <c r="BP274" t="s" s="0">
        <v>2465</v>
      </c>
      <c r="BQ274" t="s" s="0">
        <v>6843</v>
      </c>
      <c r="BR274" t="s" s="0">
        <v>82</v>
      </c>
      <c r="BS274" t="s" s="0">
        <v>6844</v>
      </c>
      <c r="BT274" t="s" s="545">
        <f>HYPERLINK("https://www.webofscience.com/wos/woscc/full-record/WOS:001814712200001","View Record in Web of Science")</f>
        <v>120</v>
      </c>
      <c r="BU274" t="s" s="0">
        <v>1008</v>
      </c>
      <c r="BV274" t="s" s="0">
        <v>82</v>
      </c>
      <c r="BW274" t="s" s="0">
        <v>82</v>
      </c>
      <c r="BX274" t="s" s="0">
        <v>122</v>
      </c>
    </row>
    <row r="275">
      <c r="A275" t="s" s="0">
        <v>78</v>
      </c>
      <c r="B275" t="s" s="0">
        <v>78</v>
      </c>
      <c r="C275" t="s" s="0">
        <v>78</v>
      </c>
      <c r="D275" t="s" s="0">
        <v>78</v>
      </c>
      <c r="E275" t="s" s="0">
        <v>6845</v>
      </c>
      <c r="F275" t="s" s="0">
        <v>6846</v>
      </c>
      <c r="G275" t="s" s="0">
        <v>6847</v>
      </c>
      <c r="H275" t="s" s="0">
        <v>82</v>
      </c>
      <c r="I275" t="s" s="0">
        <v>297</v>
      </c>
      <c r="J275" t="s" s="0">
        <v>6848</v>
      </c>
      <c r="K275" t="s" s="0">
        <v>6849</v>
      </c>
      <c r="L275" t="s" s="0">
        <v>6850</v>
      </c>
      <c r="M275" t="s" s="0">
        <v>6851</v>
      </c>
      <c r="N275" t="s" s="0">
        <v>6852</v>
      </c>
      <c r="O275" t="s" s="0">
        <v>6853</v>
      </c>
      <c r="P275" t="s" s="0">
        <v>6854</v>
      </c>
      <c r="Q275" t="s" s="0">
        <v>91</v>
      </c>
      <c r="R275" t="s" s="0">
        <v>82</v>
      </c>
      <c r="S275" t="s" s="0">
        <v>82</v>
      </c>
      <c r="T275" t="s" s="0">
        <v>82</v>
      </c>
      <c r="U275" t="s" s="0">
        <v>82</v>
      </c>
      <c r="V275" t="s" s="0">
        <v>6855</v>
      </c>
      <c r="W275" t="s" s="0">
        <v>6856</v>
      </c>
      <c r="X275" t="s" s="0">
        <v>82</v>
      </c>
      <c r="Y275" t="s" s="0">
        <v>82</v>
      </c>
      <c r="Z275" t="s" s="0">
        <v>94</v>
      </c>
      <c r="AA275" t="s" s="0">
        <v>95</v>
      </c>
      <c r="AB275" t="s" s="0">
        <v>82</v>
      </c>
      <c r="AC275" t="s" s="0">
        <v>82</v>
      </c>
      <c r="AD275" t="s" s="0">
        <v>82</v>
      </c>
      <c r="AE275" t="s" s="0">
        <v>82</v>
      </c>
      <c r="AF275" t="s" s="0">
        <v>82</v>
      </c>
      <c r="AG275" t="s" s="0">
        <v>6857</v>
      </c>
      <c r="AH275" t="s" s="0">
        <v>82</v>
      </c>
      <c r="AI275" t="s" s="0">
        <v>82</v>
      </c>
      <c r="AJ275" t="s" s="0">
        <v>82</v>
      </c>
      <c r="AK275" t="s" s="0">
        <v>82</v>
      </c>
      <c r="AL275" t="s" s="0">
        <v>154</v>
      </c>
      <c r="AM275" t="s" s="0">
        <v>78</v>
      </c>
      <c r="AN275" t="s" s="0">
        <v>78</v>
      </c>
      <c r="AO275" t="s" s="0">
        <v>78</v>
      </c>
      <c r="AP275" t="s" s="0">
        <v>78</v>
      </c>
      <c r="AQ275" t="s" s="0">
        <v>1578</v>
      </c>
      <c r="AR275" t="s" s="0">
        <v>1579</v>
      </c>
      <c r="AS275" t="s" s="0">
        <v>1580</v>
      </c>
      <c r="AT275" t="s" s="0">
        <v>6858</v>
      </c>
      <c r="AU275" t="s" s="0">
        <v>82</v>
      </c>
      <c r="AV275" t="s" s="0">
        <v>82</v>
      </c>
      <c r="AW275" t="s" s="0">
        <v>6859</v>
      </c>
      <c r="AX275" t="s" s="0">
        <v>6860</v>
      </c>
      <c r="AY275" t="s" s="0">
        <v>181</v>
      </c>
      <c r="AZ275" t="s" s="0">
        <v>181</v>
      </c>
      <c r="BA275" t="s" s="0">
        <v>239</v>
      </c>
      <c r="BB275" t="s" s="0">
        <v>82</v>
      </c>
      <c r="BC275" t="s" s="0">
        <v>82</v>
      </c>
      <c r="BD275" t="s" s="0">
        <v>82</v>
      </c>
      <c r="BE275" t="s" s="0">
        <v>82</v>
      </c>
      <c r="BF275" t="s" s="0">
        <v>82</v>
      </c>
      <c r="BG275" t="s" s="0">
        <v>82</v>
      </c>
      <c r="BH275" t="s" s="0">
        <v>82</v>
      </c>
      <c r="BI275" t="s" s="0">
        <v>6861</v>
      </c>
      <c r="BJ275" t="s" s="0">
        <v>6862</v>
      </c>
      <c r="BK275" t="s" s="546">
        <f>HYPERLINK("http://dx.doi.org/10.2147/AMEP.S599543","http://dx.doi.org/10.2147/AMEP.S599543")</f>
        <v>6863</v>
      </c>
      <c r="BL275" t="s" s="0">
        <v>82</v>
      </c>
      <c r="BM275" t="s" s="0">
        <v>82</v>
      </c>
      <c r="BN275" t="s" s="0">
        <v>323</v>
      </c>
      <c r="BO275" t="s" s="0">
        <v>6864</v>
      </c>
      <c r="BP275" t="s" s="0">
        <v>6865</v>
      </c>
      <c r="BQ275" t="s" s="0">
        <v>6866</v>
      </c>
      <c r="BR275" t="s" s="0">
        <v>6867</v>
      </c>
      <c r="BS275" t="s" s="0">
        <v>6868</v>
      </c>
      <c r="BT275" t="s" s="547">
        <f>HYPERLINK("https://www.webofscience.com/wos/woscc/full-record/WOS:001757494200001","View Record in Web of Science")</f>
        <v>120</v>
      </c>
      <c r="BU275" t="s" s="0">
        <v>121</v>
      </c>
      <c r="BV275" t="s" s="0">
        <v>82</v>
      </c>
      <c r="BW275" t="s" s="0">
        <v>82</v>
      </c>
      <c r="BX275" t="s" s="0">
        <v>122</v>
      </c>
    </row>
    <row r="276">
      <c r="A276" t="s" s="0">
        <v>77</v>
      </c>
      <c r="B276" t="s" s="0">
        <v>78</v>
      </c>
      <c r="C276" t="s" s="0">
        <v>101</v>
      </c>
      <c r="D276" t="s" s="0">
        <v>78</v>
      </c>
      <c r="E276" t="s" s="0">
        <v>6869</v>
      </c>
      <c r="F276" t="s" s="0">
        <v>6870</v>
      </c>
      <c r="G276" t="s" s="0">
        <v>6871</v>
      </c>
      <c r="H276" t="s" s="0">
        <v>82</v>
      </c>
      <c r="I276" t="s" s="0">
        <v>83</v>
      </c>
      <c r="J276" t="s" s="0">
        <v>6872</v>
      </c>
      <c r="K276" t="s" s="0">
        <v>6873</v>
      </c>
      <c r="L276" t="s" s="0">
        <v>6874</v>
      </c>
      <c r="M276" t="s" s="0">
        <v>6875</v>
      </c>
      <c r="N276" t="s" s="0">
        <v>6876</v>
      </c>
      <c r="O276" t="s" s="0">
        <v>6877</v>
      </c>
      <c r="P276" t="s" s="0">
        <v>6878</v>
      </c>
      <c r="Q276" t="s" s="0">
        <v>91</v>
      </c>
      <c r="R276" t="s" s="0">
        <v>82</v>
      </c>
      <c r="S276" t="s" s="0">
        <v>82</v>
      </c>
      <c r="T276" t="s" s="0">
        <v>82</v>
      </c>
      <c r="U276" t="s" s="0">
        <v>82</v>
      </c>
      <c r="V276" t="s" s="0">
        <v>6879</v>
      </c>
      <c r="W276" t="s" s="0">
        <v>2293</v>
      </c>
      <c r="X276" t="s" s="0">
        <v>82</v>
      </c>
      <c r="Y276" t="s" s="0">
        <v>82</v>
      </c>
      <c r="Z276" t="s" s="0">
        <v>94</v>
      </c>
      <c r="AA276" t="s" s="0">
        <v>95</v>
      </c>
      <c r="AB276" t="s" s="0">
        <v>82</v>
      </c>
      <c r="AC276" t="s" s="0">
        <v>82</v>
      </c>
      <c r="AD276" t="s" s="0">
        <v>82</v>
      </c>
      <c r="AE276" t="s" s="0">
        <v>82</v>
      </c>
      <c r="AF276" t="s" s="0">
        <v>82</v>
      </c>
      <c r="AG276" t="s" s="0">
        <v>6880</v>
      </c>
      <c r="AH276" t="s" s="0">
        <v>6881</v>
      </c>
      <c r="AI276" t="s" s="0">
        <v>6882</v>
      </c>
      <c r="AJ276" t="s" s="0">
        <v>82</v>
      </c>
      <c r="AK276" t="s" s="0">
        <v>82</v>
      </c>
      <c r="AL276" t="s" s="0">
        <v>1502</v>
      </c>
      <c r="AM276" t="s" s="0">
        <v>148</v>
      </c>
      <c r="AN276" t="s" s="0">
        <v>1161</v>
      </c>
      <c r="AO276" t="s" s="0">
        <v>78</v>
      </c>
      <c r="AP276" t="s" s="0">
        <v>323</v>
      </c>
      <c r="AQ276" t="s" s="0">
        <v>2051</v>
      </c>
      <c r="AR276" t="s" s="0">
        <v>203</v>
      </c>
      <c r="AS276" t="s" s="0">
        <v>2052</v>
      </c>
      <c r="AT276" t="s" s="0">
        <v>2298</v>
      </c>
      <c r="AU276" t="s" s="0">
        <v>2299</v>
      </c>
      <c r="AV276" t="s" s="0">
        <v>82</v>
      </c>
      <c r="AW276" t="s" s="0">
        <v>2300</v>
      </c>
      <c r="AX276" t="s" s="0">
        <v>2301</v>
      </c>
      <c r="AY276" t="s" s="0">
        <v>2030</v>
      </c>
      <c r="AZ276" t="s" s="0">
        <v>408</v>
      </c>
      <c r="BA276" t="s" s="0">
        <v>273</v>
      </c>
      <c r="BB276" t="s" s="0">
        <v>375</v>
      </c>
      <c r="BC276" t="s" s="0">
        <v>82</v>
      </c>
      <c r="BD276" t="s" s="0">
        <v>82</v>
      </c>
      <c r="BE276" t="s" s="0">
        <v>82</v>
      </c>
      <c r="BF276" t="s" s="0">
        <v>82</v>
      </c>
      <c r="BG276" t="s" s="0">
        <v>6883</v>
      </c>
      <c r="BH276" t="s" s="0">
        <v>6884</v>
      </c>
      <c r="BI276" t="s" s="0">
        <v>82</v>
      </c>
      <c r="BJ276" t="s" s="0">
        <v>6885</v>
      </c>
      <c r="BK276" t="s" s="548">
        <f>HYPERLINK("http://dx.doi.org/10.1007/s00330-021-08493-6","http://dx.doi.org/10.1007/s00330-021-08493-6")</f>
        <v>6886</v>
      </c>
      <c r="BL276" t="s" s="0">
        <v>82</v>
      </c>
      <c r="BM276" t="s" s="0">
        <v>612</v>
      </c>
      <c r="BN276" t="s" s="0">
        <v>319</v>
      </c>
      <c r="BO276" t="s" s="0">
        <v>414</v>
      </c>
      <c r="BP276" t="s" s="0">
        <v>414</v>
      </c>
      <c r="BQ276" t="s" s="0">
        <v>6887</v>
      </c>
      <c r="BR276" t="s" s="0">
        <v>6888</v>
      </c>
      <c r="BS276" t="s" s="0">
        <v>6889</v>
      </c>
      <c r="BT276" t="s" s="549">
        <f>HYPERLINK("https://www.webofscience.com/wos/woscc/full-record/WOS:000744763000001","View Record in Web of Science")</f>
        <v>120</v>
      </c>
      <c r="BU276" t="s" s="0">
        <v>82</v>
      </c>
      <c r="BV276" t="s" s="0">
        <v>82</v>
      </c>
      <c r="BW276" t="s" s="0">
        <v>82</v>
      </c>
      <c r="BX276" t="s" s="0">
        <v>122</v>
      </c>
    </row>
    <row r="277">
      <c r="A277" t="s" s="0">
        <v>78</v>
      </c>
      <c r="B277" t="s" s="0">
        <v>78</v>
      </c>
      <c r="C277" t="s" s="0">
        <v>77</v>
      </c>
      <c r="D277" t="s" s="0">
        <v>78</v>
      </c>
      <c r="E277" t="s" s="0">
        <v>6890</v>
      </c>
      <c r="F277" t="s" s="0">
        <v>6891</v>
      </c>
      <c r="G277" t="s" s="0">
        <v>6892</v>
      </c>
      <c r="H277" t="s" s="0">
        <v>82</v>
      </c>
      <c r="I277" t="s" s="0">
        <v>83</v>
      </c>
      <c r="J277" t="s" s="0">
        <v>6893</v>
      </c>
      <c r="K277" t="s" s="0">
        <v>6894</v>
      </c>
      <c r="L277" t="s" s="0">
        <v>6895</v>
      </c>
      <c r="M277" t="s" s="0">
        <v>6896</v>
      </c>
      <c r="N277" t="s" s="0">
        <v>6897</v>
      </c>
      <c r="O277" t="s" s="0">
        <v>6898</v>
      </c>
      <c r="P277" t="s" s="0">
        <v>6899</v>
      </c>
      <c r="Q277" t="s" s="0">
        <v>91</v>
      </c>
      <c r="R277" t="s" s="0">
        <v>82</v>
      </c>
      <c r="S277" t="s" s="0">
        <v>82</v>
      </c>
      <c r="T277" t="s" s="0">
        <v>82</v>
      </c>
      <c r="U277" t="s" s="0">
        <v>82</v>
      </c>
      <c r="V277" t="s" s="0">
        <v>6900</v>
      </c>
      <c r="W277" t="s" s="0">
        <v>4291</v>
      </c>
      <c r="X277" t="s" s="0">
        <v>82</v>
      </c>
      <c r="Y277" t="s" s="0">
        <v>82</v>
      </c>
      <c r="Z277" t="s" s="0">
        <v>94</v>
      </c>
      <c r="AA277" t="s" s="0">
        <v>95</v>
      </c>
      <c r="AB277" t="s" s="0">
        <v>82</v>
      </c>
      <c r="AC277" t="s" s="0">
        <v>82</v>
      </c>
      <c r="AD277" t="s" s="0">
        <v>82</v>
      </c>
      <c r="AE277" t="s" s="0">
        <v>82</v>
      </c>
      <c r="AF277" t="s" s="0">
        <v>82</v>
      </c>
      <c r="AG277" t="s" s="0">
        <v>82</v>
      </c>
      <c r="AH277" t="s" s="0">
        <v>82</v>
      </c>
      <c r="AI277" t="s" s="0">
        <v>6901</v>
      </c>
      <c r="AJ277" t="s" s="0">
        <v>6902</v>
      </c>
      <c r="AK277" t="s" s="0">
        <v>82</v>
      </c>
      <c r="AL277" t="s" s="0">
        <v>828</v>
      </c>
      <c r="AM277" t="s" s="0">
        <v>221</v>
      </c>
      <c r="AN277" t="s" s="0">
        <v>221</v>
      </c>
      <c r="AO277" t="s" s="0">
        <v>78</v>
      </c>
      <c r="AP277" t="s" s="0">
        <v>102</v>
      </c>
      <c r="AQ277" t="s" s="0">
        <v>4295</v>
      </c>
      <c r="AR277" t="s" s="0">
        <v>4296</v>
      </c>
      <c r="AS277" t="s" s="0">
        <v>4297</v>
      </c>
      <c r="AT277" t="s" s="0">
        <v>82</v>
      </c>
      <c r="AU277" t="s" s="0">
        <v>4298</v>
      </c>
      <c r="AV277" t="s" s="0">
        <v>82</v>
      </c>
      <c r="AW277" t="s" s="0">
        <v>4291</v>
      </c>
      <c r="AX277" t="s" s="0">
        <v>4299</v>
      </c>
      <c r="AY277" t="s" s="0">
        <v>6903</v>
      </c>
      <c r="AZ277" t="s" s="0">
        <v>110</v>
      </c>
      <c r="BA277" t="s" s="0">
        <v>1320</v>
      </c>
      <c r="BB277" t="s" s="0">
        <v>245</v>
      </c>
      <c r="BC277" t="s" s="0">
        <v>82</v>
      </c>
      <c r="BD277" t="s" s="0">
        <v>82</v>
      </c>
      <c r="BE277" t="s" s="0">
        <v>82</v>
      </c>
      <c r="BF277" t="s" s="0">
        <v>82</v>
      </c>
      <c r="BG277" t="s" s="0">
        <v>82</v>
      </c>
      <c r="BH277" t="s" s="0">
        <v>82</v>
      </c>
      <c r="BI277" t="s" s="0">
        <v>6904</v>
      </c>
      <c r="BJ277" t="s" s="0">
        <v>6905</v>
      </c>
      <c r="BK277" t="s" s="550">
        <f>HYPERLINK("http://dx.doi.org/10.1371/journal.pone.0311719","http://dx.doi.org/10.1371/journal.pone.0311719")</f>
        <v>6906</v>
      </c>
      <c r="BL277" t="s" s="0">
        <v>82</v>
      </c>
      <c r="BM277" t="s" s="0">
        <v>82</v>
      </c>
      <c r="BN277" t="s" s="0">
        <v>685</v>
      </c>
      <c r="BO277" t="s" s="0">
        <v>644</v>
      </c>
      <c r="BP277" t="s" s="0">
        <v>645</v>
      </c>
      <c r="BQ277" t="s" s="0">
        <v>6907</v>
      </c>
      <c r="BR277" t="s" s="0">
        <v>6908</v>
      </c>
      <c r="BS277" t="s" s="0">
        <v>6909</v>
      </c>
      <c r="BT277" t="s" s="551">
        <f>HYPERLINK("https://www.webofscience.com/wos/woscc/full-record/WOS:001336670500012","View Record in Web of Science")</f>
        <v>120</v>
      </c>
      <c r="BU277" t="s" s="0">
        <v>121</v>
      </c>
      <c r="BV277" t="s" s="0">
        <v>82</v>
      </c>
      <c r="BW277" t="s" s="0">
        <v>82</v>
      </c>
      <c r="BX277" t="s" s="0">
        <v>122</v>
      </c>
    </row>
    <row r="278">
      <c r="A278" t="s" s="0">
        <v>78</v>
      </c>
      <c r="B278" t="s" s="0">
        <v>78</v>
      </c>
      <c r="C278" t="s" s="0">
        <v>78</v>
      </c>
      <c r="D278" t="s" s="0">
        <v>78</v>
      </c>
      <c r="E278" t="s" s="0">
        <v>6910</v>
      </c>
      <c r="F278" t="s" s="0">
        <v>6911</v>
      </c>
      <c r="G278" t="s" s="0">
        <v>6912</v>
      </c>
      <c r="H278" t="s" s="0">
        <v>82</v>
      </c>
      <c r="I278" t="s" s="0">
        <v>83</v>
      </c>
      <c r="J278" t="s" s="0">
        <v>6913</v>
      </c>
      <c r="K278" t="s" s="0">
        <v>6914</v>
      </c>
      <c r="L278" t="s" s="0">
        <v>6609</v>
      </c>
      <c r="M278" t="s" s="0">
        <v>6610</v>
      </c>
      <c r="N278" t="s" s="0">
        <v>6915</v>
      </c>
      <c r="O278" t="s" s="0">
        <v>6916</v>
      </c>
      <c r="P278" t="s" s="0">
        <v>6917</v>
      </c>
      <c r="Q278" t="s" s="0">
        <v>91</v>
      </c>
      <c r="R278" t="s" s="0">
        <v>82</v>
      </c>
      <c r="S278" t="s" s="0">
        <v>82</v>
      </c>
      <c r="T278" t="s" s="0">
        <v>82</v>
      </c>
      <c r="U278" t="s" s="0">
        <v>82</v>
      </c>
      <c r="V278" t="s" s="0">
        <v>6918</v>
      </c>
      <c r="W278" t="s" s="0">
        <v>6387</v>
      </c>
      <c r="X278" t="s" s="0">
        <v>82</v>
      </c>
      <c r="Y278" t="s" s="0">
        <v>82</v>
      </c>
      <c r="Z278" t="s" s="0">
        <v>94</v>
      </c>
      <c r="AA278" t="s" s="0">
        <v>95</v>
      </c>
      <c r="AB278" t="s" s="0">
        <v>82</v>
      </c>
      <c r="AC278" t="s" s="0">
        <v>82</v>
      </c>
      <c r="AD278" t="s" s="0">
        <v>82</v>
      </c>
      <c r="AE278" t="s" s="0">
        <v>82</v>
      </c>
      <c r="AF278" t="s" s="0">
        <v>82</v>
      </c>
      <c r="AG278" t="s" s="0">
        <v>6919</v>
      </c>
      <c r="AH278" t="s" s="0">
        <v>82</v>
      </c>
      <c r="AI278" t="s" s="0">
        <v>82</v>
      </c>
      <c r="AJ278" t="s" s="0">
        <v>82</v>
      </c>
      <c r="AK278" t="s" s="0">
        <v>82</v>
      </c>
      <c r="AL278" t="s" s="0">
        <v>831</v>
      </c>
      <c r="AM278" t="s" s="0">
        <v>78</v>
      </c>
      <c r="AN278" t="s" s="0">
        <v>78</v>
      </c>
      <c r="AO278" t="s" s="0">
        <v>78</v>
      </c>
      <c r="AP278" t="s" s="0">
        <v>78</v>
      </c>
      <c r="AQ278" t="s" s="0">
        <v>2484</v>
      </c>
      <c r="AR278" t="s" s="0">
        <v>2485</v>
      </c>
      <c r="AS278" t="s" s="0">
        <v>2486</v>
      </c>
      <c r="AT278" t="s" s="0">
        <v>6391</v>
      </c>
      <c r="AU278" t="s" s="0">
        <v>82</v>
      </c>
      <c r="AV278" t="s" s="0">
        <v>82</v>
      </c>
      <c r="AW278" t="s" s="0">
        <v>6392</v>
      </c>
      <c r="AX278" t="s" s="0">
        <v>6393</v>
      </c>
      <c r="AY278" t="s" s="0">
        <v>6920</v>
      </c>
      <c r="AZ278" t="s" s="0">
        <v>181</v>
      </c>
      <c r="BA278" t="s" s="0">
        <v>640</v>
      </c>
      <c r="BB278" t="s" s="0">
        <v>82</v>
      </c>
      <c r="BC278" t="s" s="0">
        <v>82</v>
      </c>
      <c r="BD278" t="s" s="0">
        <v>82</v>
      </c>
      <c r="BE278" t="s" s="0">
        <v>82</v>
      </c>
      <c r="BF278" t="s" s="0">
        <v>82</v>
      </c>
      <c r="BG278" t="s" s="0">
        <v>82</v>
      </c>
      <c r="BH278" t="s" s="0">
        <v>82</v>
      </c>
      <c r="BI278" t="s" s="0">
        <v>6921</v>
      </c>
      <c r="BJ278" t="s" s="0">
        <v>6922</v>
      </c>
      <c r="BK278" t="s" s="552">
        <f>HYPERLINK("http://dx.doi.org/10.3389/fonc.2026.1875284","http://dx.doi.org/10.3389/fonc.2026.1875284")</f>
        <v>6923</v>
      </c>
      <c r="BL278" t="s" s="0">
        <v>82</v>
      </c>
      <c r="BM278" t="s" s="0">
        <v>82</v>
      </c>
      <c r="BN278" t="s" s="0">
        <v>149</v>
      </c>
      <c r="BO278" t="s" s="0">
        <v>4833</v>
      </c>
      <c r="BP278" t="s" s="0">
        <v>4833</v>
      </c>
      <c r="BQ278" t="s" s="0">
        <v>6924</v>
      </c>
      <c r="BR278" t="s" s="0">
        <v>6925</v>
      </c>
      <c r="BS278" t="s" s="0">
        <v>6926</v>
      </c>
      <c r="BT278" t="s" s="553">
        <f>HYPERLINK("https://www.webofscience.com/wos/woscc/full-record/WOS:001837231600001","View Record in Web of Science")</f>
        <v>120</v>
      </c>
      <c r="BU278" t="s" s="0">
        <v>121</v>
      </c>
      <c r="BV278" t="s" s="0">
        <v>82</v>
      </c>
      <c r="BW278" t="s" s="0">
        <v>82</v>
      </c>
      <c r="BX278" t="s" s="0">
        <v>122</v>
      </c>
    </row>
    <row r="279">
      <c r="A279" t="s" s="0">
        <v>78</v>
      </c>
      <c r="B279" t="s" s="0">
        <v>78</v>
      </c>
      <c r="C279" t="s" s="0">
        <v>78</v>
      </c>
      <c r="D279" t="s" s="0">
        <v>78</v>
      </c>
      <c r="E279" t="s" s="0">
        <v>6927</v>
      </c>
      <c r="F279" t="s" s="0">
        <v>6928</v>
      </c>
      <c r="G279" t="s" s="0">
        <v>6929</v>
      </c>
      <c r="H279" t="s" s="0">
        <v>82</v>
      </c>
      <c r="I279" t="s" s="0">
        <v>83</v>
      </c>
      <c r="J279" t="s" s="0">
        <v>6930</v>
      </c>
      <c r="K279" t="s" s="0">
        <v>82</v>
      </c>
      <c r="L279" t="s" s="0">
        <v>82</v>
      </c>
      <c r="M279" t="s" s="0">
        <v>82</v>
      </c>
      <c r="N279" t="s" s="0">
        <v>82</v>
      </c>
      <c r="O279" t="s" s="0">
        <v>6931</v>
      </c>
      <c r="P279" t="s" s="0">
        <v>6313</v>
      </c>
      <c r="Q279" t="s" s="0">
        <v>91</v>
      </c>
      <c r="R279" t="s" s="0">
        <v>82</v>
      </c>
      <c r="S279" t="s" s="0">
        <v>82</v>
      </c>
      <c r="T279" t="s" s="0">
        <v>82</v>
      </c>
      <c r="U279" t="s" s="0">
        <v>82</v>
      </c>
      <c r="V279" t="s" s="0">
        <v>6932</v>
      </c>
      <c r="W279" t="s" s="0">
        <v>6933</v>
      </c>
      <c r="X279" t="s" s="0">
        <v>82</v>
      </c>
      <c r="Y279" t="s" s="0">
        <v>82</v>
      </c>
      <c r="Z279" t="s" s="0">
        <v>94</v>
      </c>
      <c r="AA279" t="s" s="0">
        <v>95</v>
      </c>
      <c r="AB279" t="s" s="0">
        <v>82</v>
      </c>
      <c r="AC279" t="s" s="0">
        <v>82</v>
      </c>
      <c r="AD279" t="s" s="0">
        <v>82</v>
      </c>
      <c r="AE279" t="s" s="0">
        <v>82</v>
      </c>
      <c r="AF279" t="s" s="0">
        <v>82</v>
      </c>
      <c r="AG279" t="s" s="0">
        <v>6934</v>
      </c>
      <c r="AH279" t="s" s="0">
        <v>82</v>
      </c>
      <c r="AI279" t="s" s="0">
        <v>82</v>
      </c>
      <c r="AJ279" t="s" s="0">
        <v>82</v>
      </c>
      <c r="AK279" t="s" s="0">
        <v>82</v>
      </c>
      <c r="AL279" t="s" s="0">
        <v>154</v>
      </c>
      <c r="AM279" t="s" s="0">
        <v>78</v>
      </c>
      <c r="AN279" t="s" s="0">
        <v>78</v>
      </c>
      <c r="AO279" t="s" s="0">
        <v>447</v>
      </c>
      <c r="AP279" t="s" s="0">
        <v>447</v>
      </c>
      <c r="AQ279" t="s" s="0">
        <v>2051</v>
      </c>
      <c r="AR279" t="s" s="0">
        <v>203</v>
      </c>
      <c r="AS279" t="s" s="0">
        <v>2052</v>
      </c>
      <c r="AT279" t="s" s="0">
        <v>82</v>
      </c>
      <c r="AU279" t="s" s="0">
        <v>6935</v>
      </c>
      <c r="AV279" t="s" s="0">
        <v>82</v>
      </c>
      <c r="AW279" t="s" s="0">
        <v>6936</v>
      </c>
      <c r="AX279" t="s" s="0">
        <v>6937</v>
      </c>
      <c r="AY279" t="s" s="0">
        <v>6938</v>
      </c>
      <c r="AZ279" t="s" s="0">
        <v>147</v>
      </c>
      <c r="BA279" t="s" s="0">
        <v>640</v>
      </c>
      <c r="BB279" t="s" s="0">
        <v>77</v>
      </c>
      <c r="BC279" t="s" s="0">
        <v>82</v>
      </c>
      <c r="BD279" t="s" s="0">
        <v>82</v>
      </c>
      <c r="BE279" t="s" s="0">
        <v>82</v>
      </c>
      <c r="BF279" t="s" s="0">
        <v>82</v>
      </c>
      <c r="BG279" t="s" s="0">
        <v>82</v>
      </c>
      <c r="BH279" t="s" s="0">
        <v>82</v>
      </c>
      <c r="BI279" t="s" s="0">
        <v>6939</v>
      </c>
      <c r="BJ279" t="s" s="0">
        <v>6940</v>
      </c>
      <c r="BK279" t="s" s="554">
        <f>HYPERLINK("http://dx.doi.org/10.1007/s12672-025-04030-9","http://dx.doi.org/10.1007/s12672-025-04030-9")</f>
        <v>6941</v>
      </c>
      <c r="BL279" t="s" s="0">
        <v>82</v>
      </c>
      <c r="BM279" t="s" s="0">
        <v>82</v>
      </c>
      <c r="BN279" t="s" s="0">
        <v>323</v>
      </c>
      <c r="BO279" t="s" s="0">
        <v>6942</v>
      </c>
      <c r="BP279" t="s" s="0">
        <v>6942</v>
      </c>
      <c r="BQ279" t="s" s="0">
        <v>6943</v>
      </c>
      <c r="BR279" t="s" s="0">
        <v>6944</v>
      </c>
      <c r="BS279" t="s" s="0">
        <v>6945</v>
      </c>
      <c r="BT279" t="s" s="555">
        <f>HYPERLINK("https://www.webofscience.com/wos/woscc/full-record/WOS:001651154400001","View Record in Web of Science")</f>
        <v>120</v>
      </c>
      <c r="BU279" t="s" s="0">
        <v>121</v>
      </c>
      <c r="BV279" t="s" s="0">
        <v>82</v>
      </c>
      <c r="BW279" t="s" s="0">
        <v>82</v>
      </c>
      <c r="BX279" t="s" s="0">
        <v>122</v>
      </c>
    </row>
    <row r="280">
      <c r="A280" t="s" s="0">
        <v>78</v>
      </c>
      <c r="B280" t="s" s="0">
        <v>78</v>
      </c>
      <c r="C280" t="s" s="0">
        <v>78</v>
      </c>
      <c r="D280" t="s" s="0">
        <v>78</v>
      </c>
      <c r="E280" t="s" s="0">
        <v>6946</v>
      </c>
      <c r="F280" t="s" s="0">
        <v>6947</v>
      </c>
      <c r="G280" t="s" s="0">
        <v>6948</v>
      </c>
      <c r="H280" t="s" s="0">
        <v>82</v>
      </c>
      <c r="I280" t="s" s="0">
        <v>83</v>
      </c>
      <c r="J280" t="s" s="0">
        <v>6949</v>
      </c>
      <c r="K280" t="s" s="0">
        <v>6950</v>
      </c>
      <c r="L280" t="s" s="0">
        <v>6951</v>
      </c>
      <c r="M280" t="s" s="0">
        <v>6952</v>
      </c>
      <c r="N280" t="s" s="0">
        <v>6953</v>
      </c>
      <c r="O280" t="s" s="0">
        <v>6954</v>
      </c>
      <c r="P280" t="s" s="0">
        <v>6955</v>
      </c>
      <c r="Q280" t="s" s="0">
        <v>91</v>
      </c>
      <c r="R280" t="s" s="0">
        <v>82</v>
      </c>
      <c r="S280" t="s" s="0">
        <v>82</v>
      </c>
      <c r="T280" t="s" s="0">
        <v>82</v>
      </c>
      <c r="U280" t="s" s="0">
        <v>82</v>
      </c>
      <c r="V280" t="s" s="0">
        <v>6956</v>
      </c>
      <c r="W280" t="s" s="0">
        <v>340</v>
      </c>
      <c r="X280" t="s" s="0">
        <v>82</v>
      </c>
      <c r="Y280" t="s" s="0">
        <v>82</v>
      </c>
      <c r="Z280" t="s" s="0">
        <v>94</v>
      </c>
      <c r="AA280" t="s" s="0">
        <v>95</v>
      </c>
      <c r="AB280" t="s" s="0">
        <v>82</v>
      </c>
      <c r="AC280" t="s" s="0">
        <v>82</v>
      </c>
      <c r="AD280" t="s" s="0">
        <v>82</v>
      </c>
      <c r="AE280" t="s" s="0">
        <v>82</v>
      </c>
      <c r="AF280" t="s" s="0">
        <v>82</v>
      </c>
      <c r="AG280" t="s" s="0">
        <v>6957</v>
      </c>
      <c r="AH280" t="s" s="0">
        <v>6958</v>
      </c>
      <c r="AI280" t="s" s="0">
        <v>6959</v>
      </c>
      <c r="AJ280" t="s" s="0">
        <v>82</v>
      </c>
      <c r="AK280" t="s" s="0">
        <v>82</v>
      </c>
      <c r="AL280" t="s" s="0">
        <v>632</v>
      </c>
      <c r="AM280" t="s" s="0">
        <v>78</v>
      </c>
      <c r="AN280" t="s" s="0">
        <v>78</v>
      </c>
      <c r="AO280" t="s" s="0">
        <v>447</v>
      </c>
      <c r="AP280" t="s" s="0">
        <v>447</v>
      </c>
      <c r="AQ280" t="s" s="0">
        <v>312</v>
      </c>
      <c r="AR280" t="s" s="0">
        <v>313</v>
      </c>
      <c r="AS280" t="s" s="0">
        <v>314</v>
      </c>
      <c r="AT280" t="s" s="0">
        <v>82</v>
      </c>
      <c r="AU280" t="s" s="0">
        <v>345</v>
      </c>
      <c r="AV280" t="s" s="0">
        <v>82</v>
      </c>
      <c r="AW280" t="s" s="0">
        <v>346</v>
      </c>
      <c r="AX280" t="s" s="0">
        <v>347</v>
      </c>
      <c r="AY280" t="s" s="0">
        <v>2758</v>
      </c>
      <c r="AZ280" t="s" s="0">
        <v>181</v>
      </c>
      <c r="BA280" t="s" s="0">
        <v>349</v>
      </c>
      <c r="BB280" t="s" s="0">
        <v>245</v>
      </c>
      <c r="BC280" t="s" s="0">
        <v>82</v>
      </c>
      <c r="BD280" t="s" s="0">
        <v>82</v>
      </c>
      <c r="BE280" t="s" s="0">
        <v>82</v>
      </c>
      <c r="BF280" t="s" s="0">
        <v>82</v>
      </c>
      <c r="BG280" t="s" s="0">
        <v>82</v>
      </c>
      <c r="BH280" t="s" s="0">
        <v>82</v>
      </c>
      <c r="BI280" t="s" s="0">
        <v>6960</v>
      </c>
      <c r="BJ280" t="s" s="0">
        <v>6961</v>
      </c>
      <c r="BK280" t="s" s="556">
        <f>HYPERLINK("http://dx.doi.org/10.3390/jcm15103701","http://dx.doi.org/10.3390/jcm15103701")</f>
        <v>6962</v>
      </c>
      <c r="BL280" t="s" s="0">
        <v>82</v>
      </c>
      <c r="BM280" t="s" s="0">
        <v>82</v>
      </c>
      <c r="BN280" t="s" s="0">
        <v>831</v>
      </c>
      <c r="BO280" t="s" s="0">
        <v>354</v>
      </c>
      <c r="BP280" t="s" s="0">
        <v>355</v>
      </c>
      <c r="BQ280" t="s" s="0">
        <v>6963</v>
      </c>
      <c r="BR280" t="s" s="0">
        <v>6964</v>
      </c>
      <c r="BS280" t="s" s="0">
        <v>6965</v>
      </c>
      <c r="BT280" t="s" s="557">
        <f>HYPERLINK("https://www.webofscience.com/wos/woscc/full-record/WOS:001774782700001","View Record in Web of Science")</f>
        <v>120</v>
      </c>
      <c r="BU280" t="s" s="0">
        <v>121</v>
      </c>
      <c r="BV280" t="s" s="0">
        <v>82</v>
      </c>
      <c r="BW280" t="s" s="0">
        <v>82</v>
      </c>
      <c r="BX280" t="s" s="0">
        <v>122</v>
      </c>
    </row>
    <row r="281">
      <c r="A281" t="s" s="0">
        <v>78</v>
      </c>
      <c r="B281" t="s" s="0">
        <v>78</v>
      </c>
      <c r="C281" t="s" s="0">
        <v>78</v>
      </c>
      <c r="D281" t="s" s="0">
        <v>78</v>
      </c>
      <c r="E281" t="s" s="0">
        <v>6966</v>
      </c>
      <c r="F281" t="s" s="0">
        <v>6967</v>
      </c>
      <c r="G281" t="s" s="0">
        <v>6968</v>
      </c>
      <c r="H281" t="s" s="0">
        <v>82</v>
      </c>
      <c r="I281" t="s" s="0">
        <v>297</v>
      </c>
      <c r="J281" t="s" s="0">
        <v>6969</v>
      </c>
      <c r="K281" t="s" s="0">
        <v>6970</v>
      </c>
      <c r="L281" t="s" s="0">
        <v>6971</v>
      </c>
      <c r="M281" t="s" s="0">
        <v>6972</v>
      </c>
      <c r="N281" t="s" s="0">
        <v>6973</v>
      </c>
      <c r="O281" t="s" s="0">
        <v>6974</v>
      </c>
      <c r="P281" t="s" s="0">
        <v>6975</v>
      </c>
      <c r="Q281" t="s" s="0">
        <v>91</v>
      </c>
      <c r="R281" t="s" s="0">
        <v>82</v>
      </c>
      <c r="S281" t="s" s="0">
        <v>82</v>
      </c>
      <c r="T281" t="s" s="0">
        <v>82</v>
      </c>
      <c r="U281" t="s" s="0">
        <v>82</v>
      </c>
      <c r="V281" t="s" s="0">
        <v>6976</v>
      </c>
      <c r="W281" t="s" s="0">
        <v>6977</v>
      </c>
      <c r="X281" t="s" s="0">
        <v>82</v>
      </c>
      <c r="Y281" t="s" s="0">
        <v>82</v>
      </c>
      <c r="Z281" t="s" s="0">
        <v>94</v>
      </c>
      <c r="AA281" t="s" s="0">
        <v>95</v>
      </c>
      <c r="AB281" t="s" s="0">
        <v>82</v>
      </c>
      <c r="AC281" t="s" s="0">
        <v>82</v>
      </c>
      <c r="AD281" t="s" s="0">
        <v>82</v>
      </c>
      <c r="AE281" t="s" s="0">
        <v>82</v>
      </c>
      <c r="AF281" t="s" s="0">
        <v>82</v>
      </c>
      <c r="AG281" t="s" s="0">
        <v>6978</v>
      </c>
      <c r="AH281" t="s" s="0">
        <v>6979</v>
      </c>
      <c r="AI281" t="s" s="0">
        <v>6980</v>
      </c>
      <c r="AJ281" t="s" s="0">
        <v>6981</v>
      </c>
      <c r="AK281" t="s" s="0">
        <v>82</v>
      </c>
      <c r="AL281" t="s" s="0">
        <v>828</v>
      </c>
      <c r="AM281" t="s" s="0">
        <v>77</v>
      </c>
      <c r="AN281" t="s" s="0">
        <v>447</v>
      </c>
      <c r="AO281" t="s" s="0">
        <v>78</v>
      </c>
      <c r="AP281" t="s" s="0">
        <v>78</v>
      </c>
      <c r="AQ281" t="s" s="0">
        <v>312</v>
      </c>
      <c r="AR281" t="s" s="0">
        <v>313</v>
      </c>
      <c r="AS281" t="s" s="0">
        <v>314</v>
      </c>
      <c r="AT281" t="s" s="0">
        <v>82</v>
      </c>
      <c r="AU281" t="s" s="0">
        <v>6982</v>
      </c>
      <c r="AV281" t="s" s="0">
        <v>82</v>
      </c>
      <c r="AW281" t="s" s="0">
        <v>6977</v>
      </c>
      <c r="AX281" t="s" s="0">
        <v>6983</v>
      </c>
      <c r="AY281" t="s" s="0">
        <v>6984</v>
      </c>
      <c r="AZ281" t="s" s="0">
        <v>147</v>
      </c>
      <c r="BA281" t="s" s="0">
        <v>138</v>
      </c>
      <c r="BB281" t="s" s="0">
        <v>77</v>
      </c>
      <c r="BC281" t="s" s="0">
        <v>82</v>
      </c>
      <c r="BD281" t="s" s="0">
        <v>82</v>
      </c>
      <c r="BE281" t="s" s="0">
        <v>82</v>
      </c>
      <c r="BF281" t="s" s="0">
        <v>82</v>
      </c>
      <c r="BG281" t="s" s="0">
        <v>82</v>
      </c>
      <c r="BH281" t="s" s="0">
        <v>82</v>
      </c>
      <c r="BI281" t="s" s="0">
        <v>447</v>
      </c>
      <c r="BJ281" t="s" s="0">
        <v>6985</v>
      </c>
      <c r="BK281" t="s" s="558">
        <f>HYPERLINK("http://dx.doi.org/10.3390/diabetology7010002","http://dx.doi.org/10.3390/diabetology7010002")</f>
        <v>6986</v>
      </c>
      <c r="BL281" t="s" s="0">
        <v>82</v>
      </c>
      <c r="BM281" t="s" s="0">
        <v>82</v>
      </c>
      <c r="BN281" t="s" s="0">
        <v>148</v>
      </c>
      <c r="BO281" t="s" s="0">
        <v>697</v>
      </c>
      <c r="BP281" t="s" s="0">
        <v>697</v>
      </c>
      <c r="BQ281" t="s" s="0">
        <v>6987</v>
      </c>
      <c r="BR281" t="s" s="0">
        <v>82</v>
      </c>
      <c r="BS281" t="s" s="0">
        <v>6988</v>
      </c>
      <c r="BT281" t="s" s="559">
        <f>HYPERLINK("https://www.webofscience.com/wos/woscc/full-record/WOS:001672706500001","View Record in Web of Science")</f>
        <v>120</v>
      </c>
      <c r="BU281" t="s" s="0">
        <v>121</v>
      </c>
      <c r="BV281" t="s" s="0">
        <v>82</v>
      </c>
      <c r="BW281" t="s" s="0">
        <v>82</v>
      </c>
      <c r="BX281" t="s" s="0">
        <v>122</v>
      </c>
    </row>
    <row r="282">
      <c r="A282" t="s" s="0">
        <v>447</v>
      </c>
      <c r="B282" t="s" s="0">
        <v>78</v>
      </c>
      <c r="C282" t="s" s="0">
        <v>101</v>
      </c>
      <c r="D282" t="s" s="0">
        <v>78</v>
      </c>
      <c r="E282" t="s" s="0">
        <v>6989</v>
      </c>
      <c r="F282" t="s" s="0">
        <v>6990</v>
      </c>
      <c r="G282" t="s" s="0">
        <v>6991</v>
      </c>
      <c r="H282" t="s" s="0">
        <v>82</v>
      </c>
      <c r="I282" t="s" s="0">
        <v>83</v>
      </c>
      <c r="J282" t="s" s="0">
        <v>6992</v>
      </c>
      <c r="K282" t="s" s="0">
        <v>6993</v>
      </c>
      <c r="L282" t="s" s="0">
        <v>6609</v>
      </c>
      <c r="M282" t="s" s="0">
        <v>6610</v>
      </c>
      <c r="N282" t="s" s="0">
        <v>88</v>
      </c>
      <c r="O282" t="s" s="0">
        <v>6994</v>
      </c>
      <c r="P282" t="s" s="0">
        <v>6995</v>
      </c>
      <c r="Q282" t="s" s="0">
        <v>91</v>
      </c>
      <c r="R282" t="s" s="0">
        <v>82</v>
      </c>
      <c r="S282" t="s" s="0">
        <v>82</v>
      </c>
      <c r="T282" t="s" s="0">
        <v>82</v>
      </c>
      <c r="U282" t="s" s="0">
        <v>82</v>
      </c>
      <c r="V282" t="s" s="0">
        <v>6996</v>
      </c>
      <c r="W282" t="s" s="0">
        <v>2908</v>
      </c>
      <c r="X282" t="s" s="0">
        <v>82</v>
      </c>
      <c r="Y282" t="s" s="0">
        <v>82</v>
      </c>
      <c r="Z282" t="s" s="0">
        <v>94</v>
      </c>
      <c r="AA282" t="s" s="0">
        <v>95</v>
      </c>
      <c r="AB282" t="s" s="0">
        <v>82</v>
      </c>
      <c r="AC282" t="s" s="0">
        <v>82</v>
      </c>
      <c r="AD282" t="s" s="0">
        <v>82</v>
      </c>
      <c r="AE282" t="s" s="0">
        <v>82</v>
      </c>
      <c r="AF282" t="s" s="0">
        <v>82</v>
      </c>
      <c r="AG282" t="s" s="0">
        <v>6997</v>
      </c>
      <c r="AH282" t="s" s="0">
        <v>6998</v>
      </c>
      <c r="AI282" t="s" s="0">
        <v>6999</v>
      </c>
      <c r="AJ282" t="s" s="0">
        <v>7000</v>
      </c>
      <c r="AK282" t="s" s="0">
        <v>82</v>
      </c>
      <c r="AL282" t="s" s="0">
        <v>830</v>
      </c>
      <c r="AM282" t="s" s="0">
        <v>136</v>
      </c>
      <c r="AN282" t="s" s="0">
        <v>137</v>
      </c>
      <c r="AO282" t="s" s="0">
        <v>447</v>
      </c>
      <c r="AP282" t="s" s="0">
        <v>349</v>
      </c>
      <c r="AQ282" t="s" s="0">
        <v>103</v>
      </c>
      <c r="AR282" t="s" s="0">
        <v>104</v>
      </c>
      <c r="AS282" t="s" s="0">
        <v>105</v>
      </c>
      <c r="AT282" t="s" s="0">
        <v>2912</v>
      </c>
      <c r="AU282" t="s" s="0">
        <v>2913</v>
      </c>
      <c r="AV282" t="s" s="0">
        <v>82</v>
      </c>
      <c r="AW282" t="s" s="0">
        <v>2914</v>
      </c>
      <c r="AX282" t="s" s="0">
        <v>2915</v>
      </c>
      <c r="AY282" t="s" s="0">
        <v>7001</v>
      </c>
      <c r="AZ282" t="s" s="0">
        <v>147</v>
      </c>
      <c r="BA282" t="s" s="0">
        <v>311</v>
      </c>
      <c r="BB282" t="s" s="0">
        <v>77</v>
      </c>
      <c r="BC282" t="s" s="0">
        <v>82</v>
      </c>
      <c r="BD282" t="s" s="0">
        <v>82</v>
      </c>
      <c r="BE282" t="s" s="0">
        <v>82</v>
      </c>
      <c r="BF282" t="s" s="0">
        <v>82</v>
      </c>
      <c r="BG282" t="s" s="0">
        <v>82</v>
      </c>
      <c r="BH282" t="s" s="0">
        <v>82</v>
      </c>
      <c r="BI282" t="s" s="0">
        <v>239</v>
      </c>
      <c r="BJ282" t="s" s="0">
        <v>7002</v>
      </c>
      <c r="BK282" t="s" s="560">
        <f>HYPERLINK("http://dx.doi.org/10.1186/s13054-024-05248-9","http://dx.doi.org/10.1186/s13054-024-05248-9")</f>
        <v>7003</v>
      </c>
      <c r="BL282" t="s" s="0">
        <v>82</v>
      </c>
      <c r="BM282" t="s" s="0">
        <v>82</v>
      </c>
      <c r="BN282" t="s" s="0">
        <v>115</v>
      </c>
      <c r="BO282" t="s" s="0">
        <v>2920</v>
      </c>
      <c r="BP282" t="s" s="0">
        <v>355</v>
      </c>
      <c r="BQ282" t="s" s="0">
        <v>7004</v>
      </c>
      <c r="BR282" t="s" s="0">
        <v>7005</v>
      </c>
      <c r="BS282" t="s" s="0">
        <v>7006</v>
      </c>
      <c r="BT282" t="s" s="561">
        <f>HYPERLINK("https://www.webofscience.com/wos/woscc/full-record/WOS:001393523000002","View Record in Web of Science")</f>
        <v>120</v>
      </c>
      <c r="BU282" t="s" s="0">
        <v>121</v>
      </c>
      <c r="BV282" t="s" s="0">
        <v>82</v>
      </c>
      <c r="BW282" t="s" s="0">
        <v>82</v>
      </c>
      <c r="BX282" t="s" s="0">
        <v>122</v>
      </c>
    </row>
    <row r="283">
      <c r="A283" t="s" s="0">
        <v>78</v>
      </c>
      <c r="B283" t="s" s="0">
        <v>78</v>
      </c>
      <c r="C283" t="s" s="0">
        <v>640</v>
      </c>
      <c r="D283" t="s" s="0">
        <v>78</v>
      </c>
      <c r="E283" t="s" s="0">
        <v>7007</v>
      </c>
      <c r="F283" t="s" s="0">
        <v>7008</v>
      </c>
      <c r="G283" t="s" s="0">
        <v>7009</v>
      </c>
      <c r="H283" t="s" s="0">
        <v>82</v>
      </c>
      <c r="I283" t="s" s="0">
        <v>83</v>
      </c>
      <c r="J283" t="s" s="0">
        <v>7010</v>
      </c>
      <c r="K283" t="s" s="0">
        <v>7011</v>
      </c>
      <c r="L283" t="s" s="0">
        <v>82</v>
      </c>
      <c r="M283" t="s" s="0">
        <v>82</v>
      </c>
      <c r="N283" t="s" s="0">
        <v>82</v>
      </c>
      <c r="O283" t="s" s="0">
        <v>7012</v>
      </c>
      <c r="P283" t="s" s="0">
        <v>7013</v>
      </c>
      <c r="Q283" t="s" s="0">
        <v>91</v>
      </c>
      <c r="R283" t="s" s="0">
        <v>82</v>
      </c>
      <c r="S283" t="s" s="0">
        <v>82</v>
      </c>
      <c r="T283" t="s" s="0">
        <v>82</v>
      </c>
      <c r="U283" t="s" s="0">
        <v>82</v>
      </c>
      <c r="V283" t="s" s="0">
        <v>7014</v>
      </c>
      <c r="W283" t="s" s="0">
        <v>7015</v>
      </c>
      <c r="X283" t="s" s="0">
        <v>82</v>
      </c>
      <c r="Y283" t="s" s="0">
        <v>82</v>
      </c>
      <c r="Z283" t="s" s="0">
        <v>94</v>
      </c>
      <c r="AA283" t="s" s="0">
        <v>95</v>
      </c>
      <c r="AB283" t="s" s="0">
        <v>82</v>
      </c>
      <c r="AC283" t="s" s="0">
        <v>82</v>
      </c>
      <c r="AD283" t="s" s="0">
        <v>82</v>
      </c>
      <c r="AE283" t="s" s="0">
        <v>82</v>
      </c>
      <c r="AF283" t="s" s="0">
        <v>82</v>
      </c>
      <c r="AG283" t="s" s="0">
        <v>7016</v>
      </c>
      <c r="AH283" t="s" s="0">
        <v>7017</v>
      </c>
      <c r="AI283" t="s" s="0">
        <v>7018</v>
      </c>
      <c r="AJ283" t="s" s="0">
        <v>7019</v>
      </c>
      <c r="AK283" t="s" s="0">
        <v>82</v>
      </c>
      <c r="AL283" t="s" s="0">
        <v>273</v>
      </c>
      <c r="AM283" t="s" s="0">
        <v>4685</v>
      </c>
      <c r="AN283" t="s" s="0">
        <v>4425</v>
      </c>
      <c r="AO283" t="s" s="0">
        <v>78</v>
      </c>
      <c r="AP283" t="s" s="0">
        <v>102</v>
      </c>
      <c r="AQ283" t="s" s="0">
        <v>202</v>
      </c>
      <c r="AR283" t="s" s="0">
        <v>203</v>
      </c>
      <c r="AS283" t="s" s="0">
        <v>7020</v>
      </c>
      <c r="AT283" t="s" s="0">
        <v>7021</v>
      </c>
      <c r="AU283" t="s" s="0">
        <v>7022</v>
      </c>
      <c r="AV283" t="s" s="0">
        <v>82</v>
      </c>
      <c r="AW283" t="s" s="0">
        <v>7023</v>
      </c>
      <c r="AX283" t="s" s="0">
        <v>7024</v>
      </c>
      <c r="AY283" t="s" s="0">
        <v>2190</v>
      </c>
      <c r="AZ283" t="s" s="0">
        <v>1035</v>
      </c>
      <c r="BA283" t="s" s="0">
        <v>173</v>
      </c>
      <c r="BB283" t="s" s="0">
        <v>77</v>
      </c>
      <c r="BC283" t="s" s="0">
        <v>82</v>
      </c>
      <c r="BD283" t="s" s="0">
        <v>82</v>
      </c>
      <c r="BE283" t="s" s="0">
        <v>82</v>
      </c>
      <c r="BF283" t="s" s="0">
        <v>82</v>
      </c>
      <c r="BG283" t="s" s="0">
        <v>323</v>
      </c>
      <c r="BH283" t="s" s="0">
        <v>831</v>
      </c>
      <c r="BI283" t="s" s="0">
        <v>82</v>
      </c>
      <c r="BJ283" t="s" s="0">
        <v>7025</v>
      </c>
      <c r="BK283" t="s" s="562">
        <f>HYPERLINK("http://dx.doi.org/10.1016/j.spinee.2019.09.003","http://dx.doi.org/10.1016/j.spinee.2019.09.003")</f>
        <v>7026</v>
      </c>
      <c r="BL283" t="s" s="0">
        <v>82</v>
      </c>
      <c r="BM283" t="s" s="0">
        <v>82</v>
      </c>
      <c r="BN283" t="s" s="0">
        <v>136</v>
      </c>
      <c r="BO283" t="s" s="0">
        <v>2062</v>
      </c>
      <c r="BP283" t="s" s="0">
        <v>2063</v>
      </c>
      <c r="BQ283" t="s" s="0">
        <v>7027</v>
      </c>
      <c r="BR283" t="s" s="0">
        <v>7028</v>
      </c>
      <c r="BS283" t="s" s="0">
        <v>7029</v>
      </c>
      <c r="BT283" t="s" s="563">
        <f>HYPERLINK("https://www.webofscience.com/wos/woscc/full-record/WOS:000502813600003","View Record in Web of Science")</f>
        <v>120</v>
      </c>
      <c r="BU283" t="s" s="0">
        <v>1265</v>
      </c>
      <c r="BV283" t="s" s="0">
        <v>82</v>
      </c>
      <c r="BW283" t="s" s="0">
        <v>82</v>
      </c>
      <c r="BX283" t="s" s="0">
        <v>122</v>
      </c>
    </row>
    <row r="284">
      <c r="A284" t="s" s="0">
        <v>78</v>
      </c>
      <c r="B284" t="s" s="0">
        <v>78</v>
      </c>
      <c r="C284" t="s" s="0">
        <v>78</v>
      </c>
      <c r="D284" t="s" s="0">
        <v>78</v>
      </c>
      <c r="E284" t="s" s="0">
        <v>7030</v>
      </c>
      <c r="F284" t="s" s="0">
        <v>7031</v>
      </c>
      <c r="G284" t="s" s="0">
        <v>7032</v>
      </c>
      <c r="H284" t="s" s="0">
        <v>82</v>
      </c>
      <c r="I284" t="s" s="0">
        <v>83</v>
      </c>
      <c r="J284" t="s" s="0">
        <v>7033</v>
      </c>
      <c r="K284" t="s" s="0">
        <v>7034</v>
      </c>
      <c r="L284" t="s" s="0">
        <v>82</v>
      </c>
      <c r="M284" t="s" s="0">
        <v>82</v>
      </c>
      <c r="N284" t="s" s="0">
        <v>82</v>
      </c>
      <c r="O284" t="s" s="0">
        <v>7035</v>
      </c>
      <c r="P284" t="s" s="0">
        <v>7036</v>
      </c>
      <c r="Q284" t="s" s="0">
        <v>91</v>
      </c>
      <c r="R284" t="s" s="0">
        <v>82</v>
      </c>
      <c r="S284" t="s" s="0">
        <v>82</v>
      </c>
      <c r="T284" t="s" s="0">
        <v>82</v>
      </c>
      <c r="U284" t="s" s="0">
        <v>82</v>
      </c>
      <c r="V284" t="s" s="0">
        <v>7037</v>
      </c>
      <c r="W284" t="s" s="0">
        <v>7038</v>
      </c>
      <c r="X284" t="s" s="0">
        <v>82</v>
      </c>
      <c r="Y284" t="s" s="0">
        <v>82</v>
      </c>
      <c r="Z284" t="s" s="0">
        <v>94</v>
      </c>
      <c r="AA284" t="s" s="0">
        <v>95</v>
      </c>
      <c r="AB284" t="s" s="0">
        <v>82</v>
      </c>
      <c r="AC284" t="s" s="0">
        <v>82</v>
      </c>
      <c r="AD284" t="s" s="0">
        <v>82</v>
      </c>
      <c r="AE284" t="s" s="0">
        <v>82</v>
      </c>
      <c r="AF284" t="s" s="0">
        <v>82</v>
      </c>
      <c r="AG284" t="s" s="0">
        <v>7039</v>
      </c>
      <c r="AH284" t="s" s="0">
        <v>7040</v>
      </c>
      <c r="AI284" t="s" s="0">
        <v>7041</v>
      </c>
      <c r="AJ284" t="s" s="0">
        <v>7042</v>
      </c>
      <c r="AK284" t="s" s="0">
        <v>82</v>
      </c>
      <c r="AL284" t="s" s="0">
        <v>1526</v>
      </c>
      <c r="AM284" t="s" s="0">
        <v>447</v>
      </c>
      <c r="AN284" t="s" s="0">
        <v>447</v>
      </c>
      <c r="AO284" t="s" s="0">
        <v>102</v>
      </c>
      <c r="AP284" t="s" s="0">
        <v>102</v>
      </c>
      <c r="AQ284" t="s" s="0">
        <v>600</v>
      </c>
      <c r="AR284" t="s" s="0">
        <v>601</v>
      </c>
      <c r="AS284" t="s" s="0">
        <v>602</v>
      </c>
      <c r="AT284" t="s" s="0">
        <v>7043</v>
      </c>
      <c r="AU284" t="s" s="0">
        <v>82</v>
      </c>
      <c r="AV284" t="s" s="0">
        <v>82</v>
      </c>
      <c r="AW284" t="s" s="0">
        <v>7044</v>
      </c>
      <c r="AX284" t="s" s="0">
        <v>7045</v>
      </c>
      <c r="AY284" t="s" s="0">
        <v>184</v>
      </c>
      <c r="AZ284" t="s" s="0">
        <v>181</v>
      </c>
      <c r="BA284" t="s" s="0">
        <v>100</v>
      </c>
      <c r="BB284" t="s" s="0">
        <v>82</v>
      </c>
      <c r="BC284" t="s" s="0">
        <v>82</v>
      </c>
      <c r="BD284" t="s" s="0">
        <v>82</v>
      </c>
      <c r="BE284" t="s" s="0">
        <v>82</v>
      </c>
      <c r="BF284" t="s" s="0">
        <v>82</v>
      </c>
      <c r="BG284" t="s" s="0">
        <v>82</v>
      </c>
      <c r="BH284" t="s" s="0">
        <v>82</v>
      </c>
      <c r="BI284" t="s" s="0">
        <v>7046</v>
      </c>
      <c r="BJ284" t="s" s="0">
        <v>7047</v>
      </c>
      <c r="BK284" t="s" s="564">
        <f>HYPERLINK("http://dx.doi.org/10.1016/j.preghy.2026.101457","http://dx.doi.org/10.1016/j.preghy.2026.101457")</f>
        <v>7048</v>
      </c>
      <c r="BL284" t="s" s="0">
        <v>82</v>
      </c>
      <c r="BM284" t="s" s="0">
        <v>82</v>
      </c>
      <c r="BN284" t="s" s="0">
        <v>136</v>
      </c>
      <c r="BO284" t="s" s="0">
        <v>7049</v>
      </c>
      <c r="BP284" t="s" s="0">
        <v>7050</v>
      </c>
      <c r="BQ284" t="s" s="0">
        <v>7051</v>
      </c>
      <c r="BR284" t="s" s="0">
        <v>7052</v>
      </c>
      <c r="BS284" t="s" s="0">
        <v>7053</v>
      </c>
      <c r="BT284" t="s" s="565">
        <f>HYPERLINK("https://www.webofscience.com/wos/woscc/full-record/WOS:001730686200001","View Record in Web of Science")</f>
        <v>120</v>
      </c>
      <c r="BU284" t="s" s="0">
        <v>159</v>
      </c>
      <c r="BV284" t="s" s="0">
        <v>82</v>
      </c>
      <c r="BW284" t="s" s="0">
        <v>82</v>
      </c>
      <c r="BX284" t="s" s="0">
        <v>122</v>
      </c>
    </row>
    <row r="285">
      <c r="A285" t="s" s="0">
        <v>78</v>
      </c>
      <c r="B285" t="s" s="0">
        <v>78</v>
      </c>
      <c r="C285" t="s" s="0">
        <v>78</v>
      </c>
      <c r="D285" t="s" s="0">
        <v>78</v>
      </c>
      <c r="E285" t="s" s="0">
        <v>7054</v>
      </c>
      <c r="F285" t="s" s="0">
        <v>7055</v>
      </c>
      <c r="G285" t="s" s="0">
        <v>7056</v>
      </c>
      <c r="H285" t="s" s="0">
        <v>82</v>
      </c>
      <c r="I285" t="s" s="0">
        <v>83</v>
      </c>
      <c r="J285" t="s" s="0">
        <v>7057</v>
      </c>
      <c r="K285" t="s" s="0">
        <v>7058</v>
      </c>
      <c r="L285" t="s" s="0">
        <v>7059</v>
      </c>
      <c r="M285" t="s" s="0">
        <v>7060</v>
      </c>
      <c r="N285" t="s" s="0">
        <v>7061</v>
      </c>
      <c r="O285" t="s" s="0">
        <v>7062</v>
      </c>
      <c r="P285" t="s" s="0">
        <v>7063</v>
      </c>
      <c r="Q285" t="s" s="0">
        <v>91</v>
      </c>
      <c r="R285" t="s" s="0">
        <v>82</v>
      </c>
      <c r="S285" t="s" s="0">
        <v>82</v>
      </c>
      <c r="T285" t="s" s="0">
        <v>82</v>
      </c>
      <c r="U285" t="s" s="0">
        <v>82</v>
      </c>
      <c r="V285" t="s" s="0">
        <v>7064</v>
      </c>
      <c r="W285" t="s" s="0">
        <v>4319</v>
      </c>
      <c r="X285" t="s" s="0">
        <v>82</v>
      </c>
      <c r="Y285" t="s" s="0">
        <v>82</v>
      </c>
      <c r="Z285" t="s" s="0">
        <v>94</v>
      </c>
      <c r="AA285" t="s" s="0">
        <v>95</v>
      </c>
      <c r="AB285" t="s" s="0">
        <v>82</v>
      </c>
      <c r="AC285" t="s" s="0">
        <v>82</v>
      </c>
      <c r="AD285" t="s" s="0">
        <v>82</v>
      </c>
      <c r="AE285" t="s" s="0">
        <v>82</v>
      </c>
      <c r="AF285" t="s" s="0">
        <v>82</v>
      </c>
      <c r="AG285" t="s" s="0">
        <v>7065</v>
      </c>
      <c r="AH285" t="s" s="0">
        <v>7066</v>
      </c>
      <c r="AI285" t="s" s="0">
        <v>82</v>
      </c>
      <c r="AJ285" t="s" s="0">
        <v>82</v>
      </c>
      <c r="AK285" t="s" s="0">
        <v>82</v>
      </c>
      <c r="AL285" t="s" s="0">
        <v>2191</v>
      </c>
      <c r="AM285" t="s" s="0">
        <v>78</v>
      </c>
      <c r="AN285" t="s" s="0">
        <v>78</v>
      </c>
      <c r="AO285" t="s" s="0">
        <v>78</v>
      </c>
      <c r="AP285" t="s" s="0">
        <v>78</v>
      </c>
      <c r="AQ285" t="s" s="0">
        <v>1578</v>
      </c>
      <c r="AR285" t="s" s="0">
        <v>1579</v>
      </c>
      <c r="AS285" t="s" s="0">
        <v>1580</v>
      </c>
      <c r="AT285" t="s" s="0">
        <v>82</v>
      </c>
      <c r="AU285" t="s" s="0">
        <v>4323</v>
      </c>
      <c r="AV285" t="s" s="0">
        <v>82</v>
      </c>
      <c r="AW285" t="s" s="0">
        <v>4324</v>
      </c>
      <c r="AX285" t="s" s="0">
        <v>4325</v>
      </c>
      <c r="AY285" t="s" s="0">
        <v>181</v>
      </c>
      <c r="AZ285" t="s" s="0">
        <v>181</v>
      </c>
      <c r="BA285" t="s" s="0">
        <v>1320</v>
      </c>
      <c r="BB285" t="s" s="0">
        <v>82</v>
      </c>
      <c r="BC285" t="s" s="0">
        <v>82</v>
      </c>
      <c r="BD285" t="s" s="0">
        <v>82</v>
      </c>
      <c r="BE285" t="s" s="0">
        <v>82</v>
      </c>
      <c r="BF285" t="s" s="0">
        <v>82</v>
      </c>
      <c r="BG285" t="s" s="0">
        <v>82</v>
      </c>
      <c r="BH285" t="s" s="0">
        <v>82</v>
      </c>
      <c r="BI285" t="s" s="0">
        <v>7067</v>
      </c>
      <c r="BJ285" t="s" s="0">
        <v>7068</v>
      </c>
      <c r="BK285" t="s" s="566">
        <f>HYPERLINK("http://dx.doi.org/10.2147/JIR.S614073","http://dx.doi.org/10.2147/JIR.S614073")</f>
        <v>7069</v>
      </c>
      <c r="BL285" t="s" s="0">
        <v>82</v>
      </c>
      <c r="BM285" t="s" s="0">
        <v>82</v>
      </c>
      <c r="BN285" t="s" s="0">
        <v>239</v>
      </c>
      <c r="BO285" t="s" s="0">
        <v>2864</v>
      </c>
      <c r="BP285" t="s" s="0">
        <v>2864</v>
      </c>
      <c r="BQ285" t="s" s="0">
        <v>7070</v>
      </c>
      <c r="BR285" t="s" s="0">
        <v>82</v>
      </c>
      <c r="BS285" t="s" s="0">
        <v>7071</v>
      </c>
      <c r="BT285" t="s" s="567">
        <f>HYPERLINK("https://www.webofscience.com/wos/woscc/full-record/WOS:001843879200001","View Record in Web of Science")</f>
        <v>120</v>
      </c>
      <c r="BU285" t="s" s="0">
        <v>1008</v>
      </c>
      <c r="BV285" t="s" s="0">
        <v>82</v>
      </c>
      <c r="BW285" t="s" s="0">
        <v>82</v>
      </c>
      <c r="BX285" t="s" s="0">
        <v>122</v>
      </c>
    </row>
    <row r="286">
      <c r="A286" t="s" s="0">
        <v>78</v>
      </c>
      <c r="B286" t="s" s="0">
        <v>78</v>
      </c>
      <c r="C286" t="s" s="0">
        <v>78</v>
      </c>
      <c r="D286" t="s" s="0">
        <v>78</v>
      </c>
      <c r="E286" t="s" s="0">
        <v>7072</v>
      </c>
      <c r="F286" t="s" s="0">
        <v>7073</v>
      </c>
      <c r="G286" t="s" s="0">
        <v>7074</v>
      </c>
      <c r="H286" t="s" s="0">
        <v>82</v>
      </c>
      <c r="I286" t="s" s="0">
        <v>83</v>
      </c>
      <c r="J286" t="s" s="0">
        <v>7075</v>
      </c>
      <c r="K286" t="s" s="0">
        <v>7076</v>
      </c>
      <c r="L286" t="s" s="0">
        <v>82</v>
      </c>
      <c r="M286" t="s" s="0">
        <v>82</v>
      </c>
      <c r="N286" t="s" s="0">
        <v>82</v>
      </c>
      <c r="O286" t="s" s="0">
        <v>7077</v>
      </c>
      <c r="P286" t="s" s="0">
        <v>7078</v>
      </c>
      <c r="Q286" t="s" s="0">
        <v>91</v>
      </c>
      <c r="R286" t="s" s="0">
        <v>82</v>
      </c>
      <c r="S286" t="s" s="0">
        <v>82</v>
      </c>
      <c r="T286" t="s" s="0">
        <v>82</v>
      </c>
      <c r="U286" t="s" s="0">
        <v>82</v>
      </c>
      <c r="V286" t="s" s="0">
        <v>7079</v>
      </c>
      <c r="W286" t="s" s="0">
        <v>7080</v>
      </c>
      <c r="X286" t="s" s="0">
        <v>82</v>
      </c>
      <c r="Y286" t="s" s="0">
        <v>82</v>
      </c>
      <c r="Z286" t="s" s="0">
        <v>94</v>
      </c>
      <c r="AA286" t="s" s="0">
        <v>95</v>
      </c>
      <c r="AB286" t="s" s="0">
        <v>82</v>
      </c>
      <c r="AC286" t="s" s="0">
        <v>82</v>
      </c>
      <c r="AD286" t="s" s="0">
        <v>82</v>
      </c>
      <c r="AE286" t="s" s="0">
        <v>82</v>
      </c>
      <c r="AF286" t="s" s="0">
        <v>82</v>
      </c>
      <c r="AG286" t="s" s="0">
        <v>7081</v>
      </c>
      <c r="AH286" t="s" s="0">
        <v>7082</v>
      </c>
      <c r="AI286" t="s" s="0">
        <v>7083</v>
      </c>
      <c r="AJ286" t="s" s="0">
        <v>82</v>
      </c>
      <c r="AK286" t="s" s="0">
        <v>82</v>
      </c>
      <c r="AL286" t="s" s="0">
        <v>1502</v>
      </c>
      <c r="AM286" t="s" s="0">
        <v>245</v>
      </c>
      <c r="AN286" t="s" s="0">
        <v>137</v>
      </c>
      <c r="AO286" t="s" s="0">
        <v>78</v>
      </c>
      <c r="AP286" t="s" s="0">
        <v>245</v>
      </c>
      <c r="AQ286" t="s" s="0">
        <v>2346</v>
      </c>
      <c r="AR286" t="s" s="0">
        <v>7084</v>
      </c>
      <c r="AS286" t="s" s="0">
        <v>7085</v>
      </c>
      <c r="AT286" t="s" s="0">
        <v>7086</v>
      </c>
      <c r="AU286" t="s" s="0">
        <v>7087</v>
      </c>
      <c r="AV286" t="s" s="0">
        <v>82</v>
      </c>
      <c r="AW286" t="s" s="0">
        <v>7088</v>
      </c>
      <c r="AX286" t="s" s="0">
        <v>7089</v>
      </c>
      <c r="AY286" t="s" s="0">
        <v>2939</v>
      </c>
      <c r="AZ286" t="s" s="0">
        <v>210</v>
      </c>
      <c r="BA286" t="s" s="0">
        <v>1161</v>
      </c>
      <c r="BB286" t="s" s="0">
        <v>136</v>
      </c>
      <c r="BC286" t="s" s="0">
        <v>82</v>
      </c>
      <c r="BD286" t="s" s="0">
        <v>82</v>
      </c>
      <c r="BE286" t="s" s="0">
        <v>82</v>
      </c>
      <c r="BF286" t="s" s="0">
        <v>82</v>
      </c>
      <c r="BG286" t="s" s="0">
        <v>82</v>
      </c>
      <c r="BH286" t="s" s="0">
        <v>82</v>
      </c>
      <c r="BI286" t="s" s="0">
        <v>7090</v>
      </c>
      <c r="BJ286" t="s" s="0">
        <v>7091</v>
      </c>
      <c r="BK286" t="s" s="568">
        <f>HYPERLINK("http://dx.doi.org/10.31083/j.rcm2408229","http://dx.doi.org/10.31083/j.rcm2408229")</f>
        <v>7092</v>
      </c>
      <c r="BL286" t="s" s="0">
        <v>82</v>
      </c>
      <c r="BM286" t="s" s="0">
        <v>82</v>
      </c>
      <c r="BN286" t="s" s="0">
        <v>137</v>
      </c>
      <c r="BO286" t="s" s="0">
        <v>503</v>
      </c>
      <c r="BP286" t="s" s="0">
        <v>504</v>
      </c>
      <c r="BQ286" t="s" s="0">
        <v>7093</v>
      </c>
      <c r="BR286" t="s" s="0">
        <v>7094</v>
      </c>
      <c r="BS286" t="s" s="0">
        <v>7095</v>
      </c>
      <c r="BT286" t="s" s="569">
        <f>HYPERLINK("https://www.webofscience.com/wos/woscc/full-record/WOS:001067770500024","View Record in Web of Science")</f>
        <v>120</v>
      </c>
      <c r="BU286" t="s" s="0">
        <v>121</v>
      </c>
      <c r="BV286" t="s" s="0">
        <v>82</v>
      </c>
      <c r="BW286" t="s" s="0">
        <v>82</v>
      </c>
      <c r="BX286" t="s" s="0">
        <v>122</v>
      </c>
    </row>
    <row r="287">
      <c r="A287" t="s" s="0">
        <v>78</v>
      </c>
      <c r="B287" t="s" s="0">
        <v>78</v>
      </c>
      <c r="C287" t="s" s="0">
        <v>78</v>
      </c>
      <c r="D287" t="s" s="0">
        <v>78</v>
      </c>
      <c r="E287" t="s" s="0">
        <v>7096</v>
      </c>
      <c r="F287" t="s" s="0">
        <v>7097</v>
      </c>
      <c r="G287" t="s" s="0">
        <v>7098</v>
      </c>
      <c r="H287" t="s" s="0">
        <v>82</v>
      </c>
      <c r="I287" t="s" s="0">
        <v>297</v>
      </c>
      <c r="J287" t="s" s="0">
        <v>7099</v>
      </c>
      <c r="K287" t="s" s="0">
        <v>7100</v>
      </c>
      <c r="L287" t="s" s="0">
        <v>7101</v>
      </c>
      <c r="M287" t="s" s="0">
        <v>7101</v>
      </c>
      <c r="N287" t="s" s="0">
        <v>7102</v>
      </c>
      <c r="O287" t="s" s="0">
        <v>7103</v>
      </c>
      <c r="P287" t="s" s="0">
        <v>7104</v>
      </c>
      <c r="Q287" t="s" s="0">
        <v>91</v>
      </c>
      <c r="R287" t="s" s="0">
        <v>82</v>
      </c>
      <c r="S287" t="s" s="0">
        <v>82</v>
      </c>
      <c r="T287" t="s" s="0">
        <v>82</v>
      </c>
      <c r="U287" t="s" s="0">
        <v>82</v>
      </c>
      <c r="V287" t="s" s="0">
        <v>7105</v>
      </c>
      <c r="W287" t="s" s="0">
        <v>7106</v>
      </c>
      <c r="X287" t="s" s="0">
        <v>82</v>
      </c>
      <c r="Y287" t="s" s="0">
        <v>82</v>
      </c>
      <c r="Z287" t="s" s="0">
        <v>94</v>
      </c>
      <c r="AA287" t="s" s="0">
        <v>95</v>
      </c>
      <c r="AB287" t="s" s="0">
        <v>82</v>
      </c>
      <c r="AC287" t="s" s="0">
        <v>82</v>
      </c>
      <c r="AD287" t="s" s="0">
        <v>82</v>
      </c>
      <c r="AE287" t="s" s="0">
        <v>82</v>
      </c>
      <c r="AF287" t="s" s="0">
        <v>82</v>
      </c>
      <c r="AG287" t="s" s="0">
        <v>7107</v>
      </c>
      <c r="AH287" t="s" s="0">
        <v>7108</v>
      </c>
      <c r="AI287" t="s" s="0">
        <v>7109</v>
      </c>
      <c r="AJ287" t="s" s="0">
        <v>7110</v>
      </c>
      <c r="AK287" t="s" s="0">
        <v>82</v>
      </c>
      <c r="AL287" t="s" s="0">
        <v>344</v>
      </c>
      <c r="AM287" t="s" s="0">
        <v>319</v>
      </c>
      <c r="AN287" t="s" s="0">
        <v>137</v>
      </c>
      <c r="AO287" t="s" s="0">
        <v>78</v>
      </c>
      <c r="AP287" t="s" s="0">
        <v>447</v>
      </c>
      <c r="AQ287" t="s" s="0">
        <v>575</v>
      </c>
      <c r="AR287" t="s" s="0">
        <v>104</v>
      </c>
      <c r="AS287" t="s" s="0">
        <v>576</v>
      </c>
      <c r="AT287" t="s" s="0">
        <v>7111</v>
      </c>
      <c r="AU287" t="s" s="0">
        <v>82</v>
      </c>
      <c r="AV287" t="s" s="0">
        <v>82</v>
      </c>
      <c r="AW287" t="s" s="0">
        <v>7112</v>
      </c>
      <c r="AX287" t="s" s="0">
        <v>7113</v>
      </c>
      <c r="AY287" t="s" s="0">
        <v>5018</v>
      </c>
      <c r="AZ287" t="s" s="0">
        <v>210</v>
      </c>
      <c r="BA287" t="s" s="0">
        <v>136</v>
      </c>
      <c r="BB287" t="s" s="0">
        <v>77</v>
      </c>
      <c r="BC287" t="s" s="0">
        <v>82</v>
      </c>
      <c r="BD287" t="s" s="0">
        <v>82</v>
      </c>
      <c r="BE287" t="s" s="0">
        <v>82</v>
      </c>
      <c r="BF287" t="s" s="0">
        <v>82</v>
      </c>
      <c r="BG287" t="s" s="0">
        <v>82</v>
      </c>
      <c r="BH287" t="s" s="0">
        <v>82</v>
      </c>
      <c r="BI287" t="s" s="0">
        <v>7114</v>
      </c>
      <c r="BJ287" t="s" s="0">
        <v>7115</v>
      </c>
      <c r="BK287" t="s" s="570">
        <f>HYPERLINK("http://dx.doi.org/10.1136/bmjophth-2023-001491","http://dx.doi.org/10.1136/bmjophth-2023-001491")</f>
        <v>7116</v>
      </c>
      <c r="BL287" t="s" s="0">
        <v>82</v>
      </c>
      <c r="BM287" t="s" s="0">
        <v>82</v>
      </c>
      <c r="BN287" t="s" s="0">
        <v>375</v>
      </c>
      <c r="BO287" t="s" s="0">
        <v>2278</v>
      </c>
      <c r="BP287" t="s" s="0">
        <v>2278</v>
      </c>
      <c r="BQ287" t="s" s="0">
        <v>7117</v>
      </c>
      <c r="BR287" t="s" s="0">
        <v>7118</v>
      </c>
      <c r="BS287" t="s" s="0">
        <v>7119</v>
      </c>
      <c r="BT287" t="s" s="571">
        <f>HYPERLINK("https://www.webofscience.com/wos/woscc/full-record/WOS:001134783300001","View Record in Web of Science")</f>
        <v>120</v>
      </c>
      <c r="BU287" t="s" s="0">
        <v>121</v>
      </c>
      <c r="BV287" t="s" s="0">
        <v>82</v>
      </c>
      <c r="BW287" t="s" s="0">
        <v>82</v>
      </c>
      <c r="BX287" t="s" s="0">
        <v>122</v>
      </c>
    </row>
    <row r="288">
      <c r="A288" t="s" s="0">
        <v>78</v>
      </c>
      <c r="B288" t="s" s="0">
        <v>78</v>
      </c>
      <c r="C288" t="s" s="0">
        <v>77</v>
      </c>
      <c r="D288" t="s" s="0">
        <v>78</v>
      </c>
      <c r="E288" t="s" s="0">
        <v>7120</v>
      </c>
      <c r="F288" t="s" s="0">
        <v>7121</v>
      </c>
      <c r="G288" t="s" s="0">
        <v>7122</v>
      </c>
      <c r="H288" t="s" s="0">
        <v>82</v>
      </c>
      <c r="I288" t="s" s="0">
        <v>83</v>
      </c>
      <c r="J288" t="s" s="0">
        <v>7123</v>
      </c>
      <c r="K288" t="s" s="0">
        <v>7124</v>
      </c>
      <c r="L288" t="s" s="0">
        <v>7125</v>
      </c>
      <c r="M288" t="s" s="0">
        <v>7126</v>
      </c>
      <c r="N288" t="s" s="0">
        <v>7127</v>
      </c>
      <c r="O288" t="s" s="0">
        <v>7128</v>
      </c>
      <c r="P288" t="s" s="0">
        <v>7129</v>
      </c>
      <c r="Q288" t="s" s="0">
        <v>91</v>
      </c>
      <c r="R288" t="s" s="0">
        <v>82</v>
      </c>
      <c r="S288" t="s" s="0">
        <v>82</v>
      </c>
      <c r="T288" t="s" s="0">
        <v>82</v>
      </c>
      <c r="U288" t="s" s="0">
        <v>82</v>
      </c>
      <c r="V288" t="s" s="0">
        <v>7130</v>
      </c>
      <c r="W288" t="s" s="0">
        <v>7131</v>
      </c>
      <c r="X288" t="s" s="0">
        <v>82</v>
      </c>
      <c r="Y288" t="s" s="0">
        <v>82</v>
      </c>
      <c r="Z288" t="s" s="0">
        <v>94</v>
      </c>
      <c r="AA288" t="s" s="0">
        <v>95</v>
      </c>
      <c r="AB288" t="s" s="0">
        <v>82</v>
      </c>
      <c r="AC288" t="s" s="0">
        <v>82</v>
      </c>
      <c r="AD288" t="s" s="0">
        <v>82</v>
      </c>
      <c r="AE288" t="s" s="0">
        <v>82</v>
      </c>
      <c r="AF288" t="s" s="0">
        <v>82</v>
      </c>
      <c r="AG288" t="s" s="0">
        <v>82</v>
      </c>
      <c r="AH288" t="s" s="0">
        <v>82</v>
      </c>
      <c r="AI288" t="s" s="0">
        <v>7132</v>
      </c>
      <c r="AJ288" t="s" s="0">
        <v>7133</v>
      </c>
      <c r="AK288" t="s" s="0">
        <v>82</v>
      </c>
      <c r="AL288" t="s" s="0">
        <v>1780</v>
      </c>
      <c r="AM288" t="s" s="0">
        <v>77</v>
      </c>
      <c r="AN288" t="s" s="0">
        <v>77</v>
      </c>
      <c r="AO288" t="s" s="0">
        <v>78</v>
      </c>
      <c r="AP288" t="s" s="0">
        <v>101</v>
      </c>
      <c r="AQ288" t="s" s="0">
        <v>7134</v>
      </c>
      <c r="AR288" t="s" s="0">
        <v>7135</v>
      </c>
      <c r="AS288" t="s" s="0">
        <v>7136</v>
      </c>
      <c r="AT288" t="s" s="0">
        <v>7137</v>
      </c>
      <c r="AU288" t="s" s="0">
        <v>7138</v>
      </c>
      <c r="AV288" t="s" s="0">
        <v>82</v>
      </c>
      <c r="AW288" t="s" s="0">
        <v>7139</v>
      </c>
      <c r="AX288" t="s" s="0">
        <v>7140</v>
      </c>
      <c r="AY288" t="s" s="0">
        <v>7141</v>
      </c>
      <c r="AZ288" t="s" s="0">
        <v>110</v>
      </c>
      <c r="BA288" t="s" s="0">
        <v>111</v>
      </c>
      <c r="BB288" t="s" s="0">
        <v>77</v>
      </c>
      <c r="BC288" t="s" s="0">
        <v>82</v>
      </c>
      <c r="BD288" t="s" s="0">
        <v>82</v>
      </c>
      <c r="BE288" t="s" s="0">
        <v>82</v>
      </c>
      <c r="BF288" t="s" s="0">
        <v>82</v>
      </c>
      <c r="BG288" t="s" s="0">
        <v>82</v>
      </c>
      <c r="BH288" t="s" s="0">
        <v>82</v>
      </c>
      <c r="BI288" t="s" s="0">
        <v>82</v>
      </c>
      <c r="BJ288" t="s" s="0">
        <v>7142</v>
      </c>
      <c r="BK288" t="s" s="572">
        <f>HYPERLINK("http://dx.doi.org/10.5811/westjem.60243","http://dx.doi.org/10.5811/westjem.60243")</f>
        <v>7143</v>
      </c>
      <c r="BL288" t="s" s="0">
        <v>82</v>
      </c>
      <c r="BM288" t="s" s="0">
        <v>82</v>
      </c>
      <c r="BN288" t="s" s="0">
        <v>115</v>
      </c>
      <c r="BO288" t="s" s="0">
        <v>5951</v>
      </c>
      <c r="BP288" t="s" s="0">
        <v>5951</v>
      </c>
      <c r="BQ288" t="s" s="0">
        <v>7144</v>
      </c>
      <c r="BR288" t="s" s="0">
        <v>7145</v>
      </c>
      <c r="BS288" t="s" s="0">
        <v>7146</v>
      </c>
      <c r="BT288" t="s" s="573">
        <f>HYPERLINK("https://www.webofscience.com/wos/woscc/full-record/WOS:001144356600018","View Record in Web of Science")</f>
        <v>120</v>
      </c>
      <c r="BU288" t="s" s="0">
        <v>121</v>
      </c>
      <c r="BV288" t="s" s="0">
        <v>82</v>
      </c>
      <c r="BW288" t="s" s="0">
        <v>82</v>
      </c>
      <c r="BX288" t="s" s="0">
        <v>122</v>
      </c>
    </row>
    <row r="289">
      <c r="A289" t="s" s="0">
        <v>78</v>
      </c>
      <c r="B289" t="s" s="0">
        <v>78</v>
      </c>
      <c r="C289" t="s" s="0">
        <v>77</v>
      </c>
      <c r="D289" t="s" s="0">
        <v>78</v>
      </c>
      <c r="E289" t="s" s="0">
        <v>7147</v>
      </c>
      <c r="F289" t="s" s="0">
        <v>7148</v>
      </c>
      <c r="G289" t="s" s="0">
        <v>7149</v>
      </c>
      <c r="H289" t="s" s="0">
        <v>82</v>
      </c>
      <c r="I289" t="s" s="0">
        <v>297</v>
      </c>
      <c r="J289" t="s" s="0">
        <v>7150</v>
      </c>
      <c r="K289" t="s" s="0">
        <v>7151</v>
      </c>
      <c r="L289" t="s" s="0">
        <v>7152</v>
      </c>
      <c r="M289" t="s" s="0">
        <v>7153</v>
      </c>
      <c r="N289" t="s" s="0">
        <v>7154</v>
      </c>
      <c r="O289" t="s" s="0">
        <v>7155</v>
      </c>
      <c r="P289" t="s" s="0">
        <v>7156</v>
      </c>
      <c r="Q289" t="s" s="0">
        <v>91</v>
      </c>
      <c r="R289" t="s" s="0">
        <v>82</v>
      </c>
      <c r="S289" t="s" s="0">
        <v>7157</v>
      </c>
      <c r="T289" t="s" s="0">
        <v>82</v>
      </c>
      <c r="U289" t="s" s="0">
        <v>82</v>
      </c>
      <c r="V289" t="s" s="0">
        <v>7158</v>
      </c>
      <c r="W289" t="s" s="0">
        <v>7159</v>
      </c>
      <c r="X289" t="s" s="0">
        <v>82</v>
      </c>
      <c r="Y289" t="s" s="0">
        <v>82</v>
      </c>
      <c r="Z289" t="s" s="0">
        <v>94</v>
      </c>
      <c r="AA289" t="s" s="0">
        <v>95</v>
      </c>
      <c r="AB289" t="s" s="0">
        <v>82</v>
      </c>
      <c r="AC289" t="s" s="0">
        <v>82</v>
      </c>
      <c r="AD289" t="s" s="0">
        <v>82</v>
      </c>
      <c r="AE289" t="s" s="0">
        <v>82</v>
      </c>
      <c r="AF289" t="s" s="0">
        <v>82</v>
      </c>
      <c r="AG289" t="s" s="0">
        <v>7160</v>
      </c>
      <c r="AH289" t="s" s="0">
        <v>82</v>
      </c>
      <c r="AI289" t="s" s="0">
        <v>7161</v>
      </c>
      <c r="AJ289" t="s" s="0">
        <v>7162</v>
      </c>
      <c r="AK289" t="s" s="0">
        <v>82</v>
      </c>
      <c r="AL289" t="s" s="0">
        <v>1502</v>
      </c>
      <c r="AM289" t="s" s="0">
        <v>102</v>
      </c>
      <c r="AN289" t="s" s="0">
        <v>102</v>
      </c>
      <c r="AO289" t="s" s="0">
        <v>101</v>
      </c>
      <c r="AP289" t="s" s="0">
        <v>102</v>
      </c>
      <c r="AQ289" t="s" s="0">
        <v>277</v>
      </c>
      <c r="AR289" t="s" s="0">
        <v>278</v>
      </c>
      <c r="AS289" t="s" s="0">
        <v>279</v>
      </c>
      <c r="AT289" t="s" s="0">
        <v>7163</v>
      </c>
      <c r="AU289" t="s" s="0">
        <v>82</v>
      </c>
      <c r="AV289" t="s" s="0">
        <v>82</v>
      </c>
      <c r="AW289" t="s" s="0">
        <v>7164</v>
      </c>
      <c r="AX289" t="s" s="0">
        <v>7165</v>
      </c>
      <c r="AY289" t="s" s="0">
        <v>147</v>
      </c>
      <c r="AZ289" t="s" s="0">
        <v>147</v>
      </c>
      <c r="BA289" t="s" s="0">
        <v>319</v>
      </c>
      <c r="BB289" t="s" s="0">
        <v>82</v>
      </c>
      <c r="BC289" t="s" s="0">
        <v>82</v>
      </c>
      <c r="BD289" t="s" s="0">
        <v>82</v>
      </c>
      <c r="BE289" t="s" s="0">
        <v>82</v>
      </c>
      <c r="BF289" t="s" s="0">
        <v>82</v>
      </c>
      <c r="BG289" t="s" s="0">
        <v>82</v>
      </c>
      <c r="BH289" t="s" s="0">
        <v>82</v>
      </c>
      <c r="BI289" t="s" s="0">
        <v>7166</v>
      </c>
      <c r="BJ289" t="s" s="0">
        <v>7167</v>
      </c>
      <c r="BK289" t="s" s="574">
        <f>HYPERLINK("http://dx.doi.org/10.1016/j.cccb.2025.100393","http://dx.doi.org/10.1016/j.cccb.2025.100393")</f>
        <v>7168</v>
      </c>
      <c r="BL289" t="s" s="0">
        <v>82</v>
      </c>
      <c r="BM289" t="s" s="0">
        <v>497</v>
      </c>
      <c r="BN289" t="s" s="0">
        <v>245</v>
      </c>
      <c r="BO289" t="s" s="0">
        <v>7169</v>
      </c>
      <c r="BP289" t="s" s="0">
        <v>7170</v>
      </c>
      <c r="BQ289" t="s" s="0">
        <v>7171</v>
      </c>
      <c r="BR289" t="s" s="0">
        <v>7172</v>
      </c>
      <c r="BS289" t="s" s="0">
        <v>7173</v>
      </c>
      <c r="BT289" t="s" s="575">
        <f>HYPERLINK("https://www.webofscience.com/wos/woscc/full-record/WOS:001567688100001","View Record in Web of Science")</f>
        <v>120</v>
      </c>
      <c r="BU289" t="s" s="0">
        <v>121</v>
      </c>
      <c r="BV289" t="s" s="0">
        <v>82</v>
      </c>
      <c r="BW289" t="s" s="0">
        <v>82</v>
      </c>
      <c r="BX289" t="s" s="0">
        <v>122</v>
      </c>
    </row>
    <row r="290">
      <c r="A290" t="s" s="0">
        <v>221</v>
      </c>
      <c r="B290" t="s" s="0">
        <v>78</v>
      </c>
      <c r="C290" t="s" s="0">
        <v>102</v>
      </c>
      <c r="D290" t="s" s="0">
        <v>78</v>
      </c>
      <c r="E290" t="s" s="0">
        <v>7174</v>
      </c>
      <c r="F290" t="s" s="0">
        <v>7175</v>
      </c>
      <c r="G290" t="s" s="0">
        <v>7176</v>
      </c>
      <c r="H290" t="s" s="0">
        <v>82</v>
      </c>
      <c r="I290" t="s" s="0">
        <v>83</v>
      </c>
      <c r="J290" t="s" s="0">
        <v>7177</v>
      </c>
      <c r="K290" t="s" s="0">
        <v>7178</v>
      </c>
      <c r="L290" t="s" s="0">
        <v>7179</v>
      </c>
      <c r="M290" t="s" s="0">
        <v>7180</v>
      </c>
      <c r="N290" t="s" s="0">
        <v>7181</v>
      </c>
      <c r="O290" t="s" s="0">
        <v>7182</v>
      </c>
      <c r="P290" t="s" s="0">
        <v>7183</v>
      </c>
      <c r="Q290" t="s" s="0">
        <v>91</v>
      </c>
      <c r="R290" t="s" s="0">
        <v>82</v>
      </c>
      <c r="S290" t="s" s="0">
        <v>82</v>
      </c>
      <c r="T290" t="s" s="0">
        <v>82</v>
      </c>
      <c r="U290" t="s" s="0">
        <v>82</v>
      </c>
      <c r="V290" t="s" s="0">
        <v>7184</v>
      </c>
      <c r="W290" t="s" s="0">
        <v>4291</v>
      </c>
      <c r="X290" t="s" s="0">
        <v>82</v>
      </c>
      <c r="Y290" t="s" s="0">
        <v>82</v>
      </c>
      <c r="Z290" t="s" s="0">
        <v>94</v>
      </c>
      <c r="AA290" t="s" s="0">
        <v>95</v>
      </c>
      <c r="AB290" t="s" s="0">
        <v>82</v>
      </c>
      <c r="AC290" t="s" s="0">
        <v>82</v>
      </c>
      <c r="AD290" t="s" s="0">
        <v>82</v>
      </c>
      <c r="AE290" t="s" s="0">
        <v>82</v>
      </c>
      <c r="AF290" t="s" s="0">
        <v>82</v>
      </c>
      <c r="AG290" t="s" s="0">
        <v>82</v>
      </c>
      <c r="AH290" t="s" s="0">
        <v>7185</v>
      </c>
      <c r="AI290" t="s" s="0">
        <v>7186</v>
      </c>
      <c r="AJ290" t="s" s="0">
        <v>7187</v>
      </c>
      <c r="AK290" t="s" s="0">
        <v>82</v>
      </c>
      <c r="AL290" t="s" s="0">
        <v>548</v>
      </c>
      <c r="AM290" t="s" s="0">
        <v>111</v>
      </c>
      <c r="AN290" t="s" s="0">
        <v>238</v>
      </c>
      <c r="AO290" t="s" s="0">
        <v>447</v>
      </c>
      <c r="AP290" t="s" s="0">
        <v>115</v>
      </c>
      <c r="AQ290" t="s" s="0">
        <v>4295</v>
      </c>
      <c r="AR290" t="s" s="0">
        <v>4296</v>
      </c>
      <c r="AS290" t="s" s="0">
        <v>4297</v>
      </c>
      <c r="AT290" t="s" s="0">
        <v>82</v>
      </c>
      <c r="AU290" t="s" s="0">
        <v>4298</v>
      </c>
      <c r="AV290" t="s" s="0">
        <v>82</v>
      </c>
      <c r="AW290" t="s" s="0">
        <v>4291</v>
      </c>
      <c r="AX290" t="s" s="0">
        <v>4299</v>
      </c>
      <c r="AY290" t="s" s="0">
        <v>7188</v>
      </c>
      <c r="AZ290" t="s" s="0">
        <v>408</v>
      </c>
      <c r="BA290" t="s" s="0">
        <v>239</v>
      </c>
      <c r="BB290" t="s" s="0">
        <v>447</v>
      </c>
      <c r="BC290" t="s" s="0">
        <v>82</v>
      </c>
      <c r="BD290" t="s" s="0">
        <v>82</v>
      </c>
      <c r="BE290" t="s" s="0">
        <v>82</v>
      </c>
      <c r="BF290" t="s" s="0">
        <v>82</v>
      </c>
      <c r="BG290" t="s" s="0">
        <v>82</v>
      </c>
      <c r="BH290" t="s" s="0">
        <v>82</v>
      </c>
      <c r="BI290" t="s" s="0">
        <v>7189</v>
      </c>
      <c r="BJ290" t="s" s="0">
        <v>7190</v>
      </c>
      <c r="BK290" t="s" s="576">
        <f>HYPERLINK("http://dx.doi.org/10.1371/journal.pone.0263125","http://dx.doi.org/10.1371/journal.pone.0263125")</f>
        <v>7191</v>
      </c>
      <c r="BL290" t="s" s="0">
        <v>82</v>
      </c>
      <c r="BM290" t="s" s="0">
        <v>82</v>
      </c>
      <c r="BN290" t="s" s="0">
        <v>1320</v>
      </c>
      <c r="BO290" t="s" s="0">
        <v>644</v>
      </c>
      <c r="BP290" t="s" s="0">
        <v>645</v>
      </c>
      <c r="BQ290" t="s" s="0">
        <v>7192</v>
      </c>
      <c r="BR290" t="s" s="0">
        <v>7193</v>
      </c>
      <c r="BS290" t="s" s="0">
        <v>7194</v>
      </c>
      <c r="BT290" t="s" s="577">
        <f>HYPERLINK("https://www.webofscience.com/wos/woscc/full-record/WOS:000787811000015","View Record in Web of Science")</f>
        <v>120</v>
      </c>
      <c r="BU290" t="s" s="0">
        <v>121</v>
      </c>
      <c r="BV290" t="s" s="0">
        <v>82</v>
      </c>
      <c r="BW290" t="s" s="0">
        <v>82</v>
      </c>
      <c r="BX290" t="s" s="0">
        <v>122</v>
      </c>
    </row>
    <row r="291">
      <c r="A291" t="s" s="0">
        <v>78</v>
      </c>
      <c r="B291" t="s" s="0">
        <v>78</v>
      </c>
      <c r="C291" t="s" s="0">
        <v>77</v>
      </c>
      <c r="D291" t="s" s="0">
        <v>78</v>
      </c>
      <c r="E291" t="s" s="0">
        <v>7195</v>
      </c>
      <c r="F291" t="s" s="0">
        <v>7196</v>
      </c>
      <c r="G291" t="s" s="0">
        <v>7197</v>
      </c>
      <c r="H291" t="s" s="0">
        <v>82</v>
      </c>
      <c r="I291" t="s" s="0">
        <v>83</v>
      </c>
      <c r="J291" t="s" s="0">
        <v>7198</v>
      </c>
      <c r="K291" t="s" s="0">
        <v>7199</v>
      </c>
      <c r="L291" t="s" s="0">
        <v>7200</v>
      </c>
      <c r="M291" t="s" s="0">
        <v>7201</v>
      </c>
      <c r="N291" t="s" s="0">
        <v>7202</v>
      </c>
      <c r="O291" t="s" s="0">
        <v>7203</v>
      </c>
      <c r="P291" t="s" s="0">
        <v>7204</v>
      </c>
      <c r="Q291" t="s" s="0">
        <v>91</v>
      </c>
      <c r="R291" t="s" s="0">
        <v>82</v>
      </c>
      <c r="S291" t="s" s="0">
        <v>82</v>
      </c>
      <c r="T291" t="s" s="0">
        <v>82</v>
      </c>
      <c r="U291" t="s" s="0">
        <v>82</v>
      </c>
      <c r="V291" t="s" s="0">
        <v>7205</v>
      </c>
      <c r="W291" t="s" s="0">
        <v>4291</v>
      </c>
      <c r="X291" t="s" s="0">
        <v>82</v>
      </c>
      <c r="Y291" t="s" s="0">
        <v>82</v>
      </c>
      <c r="Z291" t="s" s="0">
        <v>94</v>
      </c>
      <c r="AA291" t="s" s="0">
        <v>95</v>
      </c>
      <c r="AB291" t="s" s="0">
        <v>82</v>
      </c>
      <c r="AC291" t="s" s="0">
        <v>82</v>
      </c>
      <c r="AD291" t="s" s="0">
        <v>82</v>
      </c>
      <c r="AE291" t="s" s="0">
        <v>82</v>
      </c>
      <c r="AF291" t="s" s="0">
        <v>82</v>
      </c>
      <c r="AG291" t="s" s="0">
        <v>82</v>
      </c>
      <c r="AH291" t="s" s="0">
        <v>82</v>
      </c>
      <c r="AI291" t="s" s="0">
        <v>7206</v>
      </c>
      <c r="AJ291" t="s" s="0">
        <v>7207</v>
      </c>
      <c r="AK291" t="s" s="0">
        <v>82</v>
      </c>
      <c r="AL291" t="s" s="0">
        <v>111</v>
      </c>
      <c r="AM291" t="s" s="0">
        <v>221</v>
      </c>
      <c r="AN291" t="s" s="0">
        <v>221</v>
      </c>
      <c r="AO291" t="s" s="0">
        <v>78</v>
      </c>
      <c r="AP291" t="s" s="0">
        <v>102</v>
      </c>
      <c r="AQ291" t="s" s="0">
        <v>4295</v>
      </c>
      <c r="AR291" t="s" s="0">
        <v>4296</v>
      </c>
      <c r="AS291" t="s" s="0">
        <v>4297</v>
      </c>
      <c r="AT291" t="s" s="0">
        <v>4298</v>
      </c>
      <c r="AU291" t="s" s="0">
        <v>82</v>
      </c>
      <c r="AV291" t="s" s="0">
        <v>82</v>
      </c>
      <c r="AW291" t="s" s="0">
        <v>4291</v>
      </c>
      <c r="AX291" t="s" s="0">
        <v>4299</v>
      </c>
      <c r="AY291" t="s" s="0">
        <v>7208</v>
      </c>
      <c r="AZ291" t="s" s="0">
        <v>210</v>
      </c>
      <c r="BA291" t="s" s="0">
        <v>154</v>
      </c>
      <c r="BB291" t="s" s="0">
        <v>101</v>
      </c>
      <c r="BC291" t="s" s="0">
        <v>82</v>
      </c>
      <c r="BD291" t="s" s="0">
        <v>82</v>
      </c>
      <c r="BE291" t="s" s="0">
        <v>82</v>
      </c>
      <c r="BF291" t="s" s="0">
        <v>82</v>
      </c>
      <c r="BG291" t="s" s="0">
        <v>82</v>
      </c>
      <c r="BH291" t="s" s="0">
        <v>82</v>
      </c>
      <c r="BI291" t="s" s="0">
        <v>7209</v>
      </c>
      <c r="BJ291" t="s" s="0">
        <v>7210</v>
      </c>
      <c r="BK291" t="s" s="578">
        <f>HYPERLINK("http://dx.doi.org/10.1371/journal.pone.0281074","http://dx.doi.org/10.1371/journal.pone.0281074")</f>
        <v>7211</v>
      </c>
      <c r="BL291" t="s" s="0">
        <v>82</v>
      </c>
      <c r="BM291" t="s" s="0">
        <v>82</v>
      </c>
      <c r="BN291" t="s" s="0">
        <v>640</v>
      </c>
      <c r="BO291" t="s" s="0">
        <v>644</v>
      </c>
      <c r="BP291" t="s" s="0">
        <v>645</v>
      </c>
      <c r="BQ291" t="s" s="0">
        <v>7212</v>
      </c>
      <c r="BR291" t="s" s="0">
        <v>82</v>
      </c>
      <c r="BS291" t="s" s="0">
        <v>7213</v>
      </c>
      <c r="BT291" t="s" s="579">
        <f>HYPERLINK("https://www.webofscience.com/wos/woscc/full-record/WOS:000945977800023","View Record in Web of Science")</f>
        <v>120</v>
      </c>
      <c r="BU291" t="s" s="0">
        <v>121</v>
      </c>
      <c r="BV291" t="s" s="0">
        <v>82</v>
      </c>
      <c r="BW291" t="s" s="0">
        <v>82</v>
      </c>
      <c r="BX291" t="s" s="0">
        <v>122</v>
      </c>
    </row>
    <row r="292">
      <c r="A292" t="s" s="0">
        <v>78</v>
      </c>
      <c r="B292" t="s" s="0">
        <v>78</v>
      </c>
      <c r="C292" t="s" s="0">
        <v>78</v>
      </c>
      <c r="D292" t="s" s="0">
        <v>78</v>
      </c>
      <c r="E292" t="s" s="0">
        <v>7214</v>
      </c>
      <c r="F292" t="s" s="0">
        <v>7215</v>
      </c>
      <c r="G292" t="s" s="0">
        <v>7216</v>
      </c>
      <c r="H292" t="s" s="0">
        <v>82</v>
      </c>
      <c r="I292" t="s" s="0">
        <v>83</v>
      </c>
      <c r="J292" t="s" s="0">
        <v>7217</v>
      </c>
      <c r="K292" t="s" s="0">
        <v>7218</v>
      </c>
      <c r="L292" t="s" s="0">
        <v>82</v>
      </c>
      <c r="M292" t="s" s="0">
        <v>82</v>
      </c>
      <c r="N292" t="s" s="0">
        <v>82</v>
      </c>
      <c r="O292" t="s" s="0">
        <v>7219</v>
      </c>
      <c r="P292" t="s" s="0">
        <v>7220</v>
      </c>
      <c r="Q292" t="s" s="0">
        <v>91</v>
      </c>
      <c r="R292" t="s" s="0">
        <v>82</v>
      </c>
      <c r="S292" t="s" s="0">
        <v>82</v>
      </c>
      <c r="T292" t="s" s="0">
        <v>82</v>
      </c>
      <c r="U292" t="s" s="0">
        <v>82</v>
      </c>
      <c r="V292" t="s" s="0">
        <v>7221</v>
      </c>
      <c r="W292" t="s" s="0">
        <v>7222</v>
      </c>
      <c r="X292" t="s" s="0">
        <v>82</v>
      </c>
      <c r="Y292" t="s" s="0">
        <v>82</v>
      </c>
      <c r="Z292" t="s" s="0">
        <v>94</v>
      </c>
      <c r="AA292" t="s" s="0">
        <v>169</v>
      </c>
      <c r="AB292" t="s" s="0">
        <v>82</v>
      </c>
      <c r="AC292" t="s" s="0">
        <v>82</v>
      </c>
      <c r="AD292" t="s" s="0">
        <v>82</v>
      </c>
      <c r="AE292" t="s" s="0">
        <v>82</v>
      </c>
      <c r="AF292" t="s" s="0">
        <v>82</v>
      </c>
      <c r="AG292" t="s" s="0">
        <v>7223</v>
      </c>
      <c r="AH292" t="s" s="0">
        <v>7224</v>
      </c>
      <c r="AI292" t="s" s="0">
        <v>7225</v>
      </c>
      <c r="AJ292" t="s" s="0">
        <v>7226</v>
      </c>
      <c r="AK292" t="s" s="0">
        <v>82</v>
      </c>
      <c r="AL292" t="s" s="0">
        <v>100</v>
      </c>
      <c r="AM292" t="s" s="0">
        <v>78</v>
      </c>
      <c r="AN292" t="s" s="0">
        <v>78</v>
      </c>
      <c r="AO292" t="s" s="0">
        <v>77</v>
      </c>
      <c r="AP292" t="s" s="0">
        <v>77</v>
      </c>
      <c r="AQ292" t="s" s="0">
        <v>174</v>
      </c>
      <c r="AR292" t="s" s="0">
        <v>175</v>
      </c>
      <c r="AS292" t="s" s="0">
        <v>176</v>
      </c>
      <c r="AT292" t="s" s="0">
        <v>7227</v>
      </c>
      <c r="AU292" t="s" s="0">
        <v>7228</v>
      </c>
      <c r="AV292" t="s" s="0">
        <v>82</v>
      </c>
      <c r="AW292" t="s" s="0">
        <v>7229</v>
      </c>
      <c r="AX292" t="s" s="0">
        <v>7230</v>
      </c>
      <c r="AY292" t="s" s="0">
        <v>82</v>
      </c>
      <c r="AZ292" t="s" s="0">
        <v>181</v>
      </c>
      <c r="BA292" t="s" s="0">
        <v>82</v>
      </c>
      <c r="BB292" t="s" s="0">
        <v>82</v>
      </c>
      <c r="BC292" t="s" s="0">
        <v>82</v>
      </c>
      <c r="BD292" t="s" s="0">
        <v>82</v>
      </c>
      <c r="BE292" t="s" s="0">
        <v>82</v>
      </c>
      <c r="BF292" t="s" s="0">
        <v>82</v>
      </c>
      <c r="BG292" t="s" s="0">
        <v>82</v>
      </c>
      <c r="BH292" t="s" s="0">
        <v>82</v>
      </c>
      <c r="BI292" t="s" s="0">
        <v>82</v>
      </c>
      <c r="BJ292" t="s" s="0">
        <v>7231</v>
      </c>
      <c r="BK292" t="s" s="580">
        <f>HYPERLINK("http://dx.doi.org/10.1111/andr.70297","http://dx.doi.org/10.1111/andr.70297")</f>
        <v>7232</v>
      </c>
      <c r="BL292" t="s" s="0">
        <v>82</v>
      </c>
      <c r="BM292" t="s" s="0">
        <v>3226</v>
      </c>
      <c r="BN292" t="s" s="0">
        <v>115</v>
      </c>
      <c r="BO292" t="s" s="0">
        <v>7230</v>
      </c>
      <c r="BP292" t="s" s="0">
        <v>697</v>
      </c>
      <c r="BQ292" t="s" s="0">
        <v>7233</v>
      </c>
      <c r="BR292" t="s" s="0">
        <v>7234</v>
      </c>
      <c r="BS292" t="s" s="0">
        <v>7235</v>
      </c>
      <c r="BT292" t="s" s="581">
        <f>HYPERLINK("https://www.webofscience.com/wos/woscc/full-record/WOS:001809026300001","View Record in Web of Science")</f>
        <v>120</v>
      </c>
      <c r="BU292" t="s" s="0">
        <v>159</v>
      </c>
      <c r="BV292" t="s" s="0">
        <v>82</v>
      </c>
      <c r="BW292" t="s" s="0">
        <v>82</v>
      </c>
      <c r="BX292" t="s" s="0">
        <v>122</v>
      </c>
    </row>
    <row r="293">
      <c r="A293" t="s" s="0">
        <v>78</v>
      </c>
      <c r="B293" t="s" s="0">
        <v>78</v>
      </c>
      <c r="C293" t="s" s="0">
        <v>77</v>
      </c>
      <c r="D293" t="s" s="0">
        <v>78</v>
      </c>
      <c r="E293" t="s" s="0">
        <v>7236</v>
      </c>
      <c r="F293" t="s" s="0">
        <v>7237</v>
      </c>
      <c r="G293" t="s" s="0">
        <v>7238</v>
      </c>
      <c r="H293" t="s" s="0">
        <v>82</v>
      </c>
      <c r="I293" t="s" s="0">
        <v>83</v>
      </c>
      <c r="J293" t="s" s="0">
        <v>7239</v>
      </c>
      <c r="K293" t="s" s="0">
        <v>7240</v>
      </c>
      <c r="L293" t="s" s="0">
        <v>7241</v>
      </c>
      <c r="M293" t="s" s="0">
        <v>7241</v>
      </c>
      <c r="N293" t="s" s="0">
        <v>7242</v>
      </c>
      <c r="O293" t="s" s="0">
        <v>7243</v>
      </c>
      <c r="P293" t="s" s="0">
        <v>7244</v>
      </c>
      <c r="Q293" t="s" s="0">
        <v>91</v>
      </c>
      <c r="R293" t="s" s="0">
        <v>82</v>
      </c>
      <c r="S293" t="s" s="0">
        <v>82</v>
      </c>
      <c r="T293" t="s" s="0">
        <v>82</v>
      </c>
      <c r="U293" t="s" s="0">
        <v>82</v>
      </c>
      <c r="V293" t="s" s="0">
        <v>7245</v>
      </c>
      <c r="W293" t="s" s="0">
        <v>7246</v>
      </c>
      <c r="X293" t="s" s="0">
        <v>82</v>
      </c>
      <c r="Y293" t="s" s="0">
        <v>82</v>
      </c>
      <c r="Z293" t="s" s="0">
        <v>94</v>
      </c>
      <c r="AA293" t="s" s="0">
        <v>95</v>
      </c>
      <c r="AB293" t="s" s="0">
        <v>82</v>
      </c>
      <c r="AC293" t="s" s="0">
        <v>82</v>
      </c>
      <c r="AD293" t="s" s="0">
        <v>82</v>
      </c>
      <c r="AE293" t="s" s="0">
        <v>82</v>
      </c>
      <c r="AF293" t="s" s="0">
        <v>82</v>
      </c>
      <c r="AG293" t="s" s="0">
        <v>7247</v>
      </c>
      <c r="AH293" t="s" s="0">
        <v>7248</v>
      </c>
      <c r="AI293" t="s" s="0">
        <v>7249</v>
      </c>
      <c r="AJ293" t="s" s="0">
        <v>7250</v>
      </c>
      <c r="AK293" t="s" s="0">
        <v>82</v>
      </c>
      <c r="AL293" t="s" s="0">
        <v>374</v>
      </c>
      <c r="AM293" t="s" s="0">
        <v>102</v>
      </c>
      <c r="AN293" t="s" s="0">
        <v>102</v>
      </c>
      <c r="AO293" t="s" s="0">
        <v>78</v>
      </c>
      <c r="AP293" t="s" s="0">
        <v>77</v>
      </c>
      <c r="AQ293" t="s" s="0">
        <v>491</v>
      </c>
      <c r="AR293" t="s" s="0">
        <v>492</v>
      </c>
      <c r="AS293" t="s" s="0">
        <v>493</v>
      </c>
      <c r="AT293" t="s" s="0">
        <v>7251</v>
      </c>
      <c r="AU293" t="s" s="0">
        <v>7252</v>
      </c>
      <c r="AV293" t="s" s="0">
        <v>82</v>
      </c>
      <c r="AW293" t="s" s="0">
        <v>7253</v>
      </c>
      <c r="AX293" t="s" s="0">
        <v>7254</v>
      </c>
      <c r="AY293" t="s" s="0">
        <v>5228</v>
      </c>
      <c r="AZ293" t="s" s="0">
        <v>147</v>
      </c>
      <c r="BA293" t="s" s="0">
        <v>1320</v>
      </c>
      <c r="BB293" t="s" s="0">
        <v>447</v>
      </c>
      <c r="BC293" t="s" s="0">
        <v>82</v>
      </c>
      <c r="BD293" t="s" s="0">
        <v>82</v>
      </c>
      <c r="BE293" t="s" s="0">
        <v>82</v>
      </c>
      <c r="BF293" t="s" s="0">
        <v>82</v>
      </c>
      <c r="BG293" t="s" s="0">
        <v>82</v>
      </c>
      <c r="BH293" t="s" s="0">
        <v>82</v>
      </c>
      <c r="BI293" t="s" s="0">
        <v>7255</v>
      </c>
      <c r="BJ293" t="s" s="0">
        <v>7256</v>
      </c>
      <c r="BK293" t="s" s="582">
        <f>HYPERLINK("http://dx.doi.org/10.1093/ecco-jcc/jjaf017","http://dx.doi.org/10.1093/ecco-jcc/jjaf017")</f>
        <v>7257</v>
      </c>
      <c r="BL293" t="s" s="0">
        <v>82</v>
      </c>
      <c r="BM293" t="s" s="0">
        <v>82</v>
      </c>
      <c r="BN293" t="s" s="0">
        <v>137</v>
      </c>
      <c r="BO293" t="s" s="0">
        <v>924</v>
      </c>
      <c r="BP293" t="s" s="0">
        <v>924</v>
      </c>
      <c r="BQ293" t="s" s="0">
        <v>7258</v>
      </c>
      <c r="BR293" t="s" s="0">
        <v>7259</v>
      </c>
      <c r="BS293" t="s" s="0">
        <v>7260</v>
      </c>
      <c r="BT293" t="s" s="583">
        <f>HYPERLINK("https://www.webofscience.com/wos/woscc/full-record/WOS:001436273100001","View Record in Web of Science")</f>
        <v>120</v>
      </c>
      <c r="BU293" t="s" s="0">
        <v>256</v>
      </c>
      <c r="BV293" t="s" s="0">
        <v>82</v>
      </c>
      <c r="BW293" t="s" s="0">
        <v>82</v>
      </c>
      <c r="BX293" t="s" s="0">
        <v>122</v>
      </c>
    </row>
    <row r="294">
      <c r="A294" t="s" s="0">
        <v>78</v>
      </c>
      <c r="B294" t="s" s="0">
        <v>78</v>
      </c>
      <c r="C294" t="s" s="0">
        <v>102</v>
      </c>
      <c r="D294" t="s" s="0">
        <v>78</v>
      </c>
      <c r="E294" t="s" s="0">
        <v>7261</v>
      </c>
      <c r="F294" t="s" s="0">
        <v>7262</v>
      </c>
      <c r="G294" t="s" s="0">
        <v>7263</v>
      </c>
      <c r="H294" t="s" s="0">
        <v>82</v>
      </c>
      <c r="I294" t="s" s="0">
        <v>83</v>
      </c>
      <c r="J294" t="s" s="0">
        <v>7264</v>
      </c>
      <c r="K294" t="s" s="0">
        <v>7265</v>
      </c>
      <c r="L294" t="s" s="0">
        <v>7266</v>
      </c>
      <c r="M294" t="s" s="0">
        <v>7267</v>
      </c>
      <c r="N294" t="s" s="0">
        <v>366</v>
      </c>
      <c r="O294" t="s" s="0">
        <v>7268</v>
      </c>
      <c r="P294" t="s" s="0">
        <v>7269</v>
      </c>
      <c r="Q294" t="s" s="0">
        <v>91</v>
      </c>
      <c r="R294" t="s" s="0">
        <v>82</v>
      </c>
      <c r="S294" t="s" s="0">
        <v>82</v>
      </c>
      <c r="T294" t="s" s="0">
        <v>82</v>
      </c>
      <c r="U294" t="s" s="0">
        <v>82</v>
      </c>
      <c r="V294" t="s" s="0">
        <v>7270</v>
      </c>
      <c r="W294" t="s" s="0">
        <v>3637</v>
      </c>
      <c r="X294" t="s" s="0">
        <v>82</v>
      </c>
      <c r="Y294" t="s" s="0">
        <v>82</v>
      </c>
      <c r="Z294" t="s" s="0">
        <v>94</v>
      </c>
      <c r="AA294" t="s" s="0">
        <v>95</v>
      </c>
      <c r="AB294" t="s" s="0">
        <v>82</v>
      </c>
      <c r="AC294" t="s" s="0">
        <v>82</v>
      </c>
      <c r="AD294" t="s" s="0">
        <v>82</v>
      </c>
      <c r="AE294" t="s" s="0">
        <v>82</v>
      </c>
      <c r="AF294" t="s" s="0">
        <v>82</v>
      </c>
      <c r="AG294" t="s" s="0">
        <v>82</v>
      </c>
      <c r="AH294" t="s" s="0">
        <v>7271</v>
      </c>
      <c r="AI294" t="s" s="0">
        <v>7272</v>
      </c>
      <c r="AJ294" t="s" s="0">
        <v>82</v>
      </c>
      <c r="AK294" t="s" s="0">
        <v>82</v>
      </c>
      <c r="AL294" t="s" s="0">
        <v>311</v>
      </c>
      <c r="AM294" t="s" s="0">
        <v>138</v>
      </c>
      <c r="AN294" t="s" s="0">
        <v>138</v>
      </c>
      <c r="AO294" t="s" s="0">
        <v>78</v>
      </c>
      <c r="AP294" t="s" s="0">
        <v>149</v>
      </c>
      <c r="AQ294" t="s" s="0">
        <v>633</v>
      </c>
      <c r="AR294" t="s" s="0">
        <v>634</v>
      </c>
      <c r="AS294" t="s" s="0">
        <v>635</v>
      </c>
      <c r="AT294" t="s" s="0">
        <v>3642</v>
      </c>
      <c r="AU294" t="s" s="0">
        <v>82</v>
      </c>
      <c r="AV294" t="s" s="0">
        <v>82</v>
      </c>
      <c r="AW294" t="s" s="0">
        <v>3643</v>
      </c>
      <c r="AX294" t="s" s="0">
        <v>3644</v>
      </c>
      <c r="AY294" t="s" s="0">
        <v>7273</v>
      </c>
      <c r="AZ294" t="s" s="0">
        <v>110</v>
      </c>
      <c r="BA294" t="s" s="0">
        <v>323</v>
      </c>
      <c r="BB294" t="s" s="0">
        <v>77</v>
      </c>
      <c r="BC294" t="s" s="0">
        <v>82</v>
      </c>
      <c r="BD294" t="s" s="0">
        <v>82</v>
      </c>
      <c r="BE294" t="s" s="0">
        <v>82</v>
      </c>
      <c r="BF294" t="s" s="0">
        <v>82</v>
      </c>
      <c r="BG294" t="s" s="0">
        <v>82</v>
      </c>
      <c r="BH294" t="s" s="0">
        <v>82</v>
      </c>
      <c r="BI294" t="s" s="0">
        <v>7274</v>
      </c>
      <c r="BJ294" t="s" s="0">
        <v>7275</v>
      </c>
      <c r="BK294" t="s" s="584">
        <f>HYPERLINK("http://dx.doi.org/10.1038/s41598-024-54364-7","http://dx.doi.org/10.1038/s41598-024-54364-7")</f>
        <v>7276</v>
      </c>
      <c r="BL294" t="s" s="0">
        <v>82</v>
      </c>
      <c r="BM294" t="s" s="0">
        <v>82</v>
      </c>
      <c r="BN294" t="s" s="0">
        <v>319</v>
      </c>
      <c r="BO294" t="s" s="0">
        <v>644</v>
      </c>
      <c r="BP294" t="s" s="0">
        <v>645</v>
      </c>
      <c r="BQ294" t="s" s="0">
        <v>7277</v>
      </c>
      <c r="BR294" t="s" s="0">
        <v>7278</v>
      </c>
      <c r="BS294" t="s" s="0">
        <v>7279</v>
      </c>
      <c r="BT294" t="s" s="585">
        <f>HYPERLINK("https://www.webofscience.com/wos/woscc/full-record/WOS:001192455600051","View Record in Web of Science")</f>
        <v>120</v>
      </c>
      <c r="BU294" t="s" s="0">
        <v>121</v>
      </c>
      <c r="BV294" t="s" s="0">
        <v>82</v>
      </c>
      <c r="BW294" t="s" s="0">
        <v>82</v>
      </c>
      <c r="BX294" t="s" s="0">
        <v>122</v>
      </c>
    </row>
    <row r="295">
      <c r="A295" t="s" s="0">
        <v>137</v>
      </c>
      <c r="B295" t="s" s="0">
        <v>78</v>
      </c>
      <c r="C295" t="s" s="0">
        <v>201</v>
      </c>
      <c r="D295" t="s" s="0">
        <v>447</v>
      </c>
      <c r="E295" t="s" s="0">
        <v>7280</v>
      </c>
      <c r="F295" t="s" s="0">
        <v>7281</v>
      </c>
      <c r="G295" t="s" s="0">
        <v>7282</v>
      </c>
      <c r="H295" t="s" s="0">
        <v>82</v>
      </c>
      <c r="I295" t="s" s="0">
        <v>83</v>
      </c>
      <c r="J295" t="s" s="0">
        <v>7283</v>
      </c>
      <c r="K295" t="s" s="0">
        <v>7284</v>
      </c>
      <c r="L295" t="s" s="0">
        <v>82</v>
      </c>
      <c r="M295" t="s" s="0">
        <v>82</v>
      </c>
      <c r="N295" t="s" s="0">
        <v>82</v>
      </c>
      <c r="O295" t="s" s="0">
        <v>7285</v>
      </c>
      <c r="P295" t="s" s="0">
        <v>7286</v>
      </c>
      <c r="Q295" t="s" s="0">
        <v>91</v>
      </c>
      <c r="R295" t="s" s="0">
        <v>82</v>
      </c>
      <c r="S295" t="s" s="0">
        <v>82</v>
      </c>
      <c r="T295" t="s" s="0">
        <v>82</v>
      </c>
      <c r="U295" t="s" s="0">
        <v>82</v>
      </c>
      <c r="V295" t="s" s="0">
        <v>7287</v>
      </c>
      <c r="W295" t="s" s="0">
        <v>394</v>
      </c>
      <c r="X295" t="s" s="0">
        <v>82</v>
      </c>
      <c r="Y295" t="s" s="0">
        <v>82</v>
      </c>
      <c r="Z295" t="s" s="0">
        <v>94</v>
      </c>
      <c r="AA295" t="s" s="0">
        <v>95</v>
      </c>
      <c r="AB295" t="s" s="0">
        <v>82</v>
      </c>
      <c r="AC295" t="s" s="0">
        <v>82</v>
      </c>
      <c r="AD295" t="s" s="0">
        <v>82</v>
      </c>
      <c r="AE295" t="s" s="0">
        <v>82</v>
      </c>
      <c r="AF295" t="s" s="0">
        <v>82</v>
      </c>
      <c r="AG295" t="s" s="0">
        <v>7288</v>
      </c>
      <c r="AH295" t="s" s="0">
        <v>7289</v>
      </c>
      <c r="AI295" t="s" s="0">
        <v>7290</v>
      </c>
      <c r="AJ295" t="s" s="0">
        <v>7291</v>
      </c>
      <c r="AK295" t="s" s="0">
        <v>82</v>
      </c>
      <c r="AL295" t="s" s="0">
        <v>238</v>
      </c>
      <c r="AM295" t="s" s="0">
        <v>1976</v>
      </c>
      <c r="AN295" t="s" s="0">
        <v>838</v>
      </c>
      <c r="AO295" t="s" s="0">
        <v>78</v>
      </c>
      <c r="AP295" t="s" s="0">
        <v>154</v>
      </c>
      <c r="AQ295" t="s" s="0">
        <v>400</v>
      </c>
      <c r="AR295" t="s" s="0">
        <v>401</v>
      </c>
      <c r="AS295" t="s" s="0">
        <v>402</v>
      </c>
      <c r="AT295" t="s" s="0">
        <v>403</v>
      </c>
      <c r="AU295" t="s" s="0">
        <v>404</v>
      </c>
      <c r="AV295" t="s" s="0">
        <v>82</v>
      </c>
      <c r="AW295" t="s" s="0">
        <v>405</v>
      </c>
      <c r="AX295" t="s" s="0">
        <v>406</v>
      </c>
      <c r="AY295" t="s" s="0">
        <v>7292</v>
      </c>
      <c r="AZ295" t="s" s="0">
        <v>4301</v>
      </c>
      <c r="BA295" t="s" s="0">
        <v>944</v>
      </c>
      <c r="BB295" t="s" s="0">
        <v>82</v>
      </c>
      <c r="BC295" t="s" s="0">
        <v>82</v>
      </c>
      <c r="BD295" t="s" s="0">
        <v>82</v>
      </c>
      <c r="BE295" t="s" s="0">
        <v>82</v>
      </c>
      <c r="BF295" t="s" s="0">
        <v>82</v>
      </c>
      <c r="BG295" t="s" s="0">
        <v>7293</v>
      </c>
      <c r="BH295" t="s" s="0">
        <v>1786</v>
      </c>
      <c r="BI295" t="s" s="0">
        <v>82</v>
      </c>
      <c r="BJ295" t="s" s="0">
        <v>7294</v>
      </c>
      <c r="BK295" t="s" s="586">
        <f>HYPERLINK("http://dx.doi.org/10.1016/j.ejrad.2018.08.014","http://dx.doi.org/10.1016/j.ejrad.2018.08.014")</f>
        <v>7295</v>
      </c>
      <c r="BL295" t="s" s="0">
        <v>82</v>
      </c>
      <c r="BM295" t="s" s="0">
        <v>82</v>
      </c>
      <c r="BN295" t="s" s="0">
        <v>319</v>
      </c>
      <c r="BO295" t="s" s="0">
        <v>414</v>
      </c>
      <c r="BP295" t="s" s="0">
        <v>414</v>
      </c>
      <c r="BQ295" t="s" s="0">
        <v>7296</v>
      </c>
      <c r="BR295" t="s" s="0">
        <v>7297</v>
      </c>
      <c r="BS295" t="s" s="0">
        <v>7298</v>
      </c>
      <c r="BT295" t="s" s="587">
        <f>HYPERLINK("https://www.webofscience.com/wos/woscc/full-record/WOS:000446211900022","View Record in Web of Science")</f>
        <v>120</v>
      </c>
      <c r="BU295" t="s" s="0">
        <v>82</v>
      </c>
      <c r="BV295" t="s" s="0">
        <v>82</v>
      </c>
      <c r="BW295" t="s" s="0">
        <v>82</v>
      </c>
      <c r="BX295" t="s" s="0">
        <v>122</v>
      </c>
    </row>
    <row r="296">
      <c r="A296" t="s" s="0">
        <v>78</v>
      </c>
      <c r="B296" t="s" s="0">
        <v>78</v>
      </c>
      <c r="C296" t="s" s="0">
        <v>78</v>
      </c>
      <c r="D296" t="s" s="0">
        <v>78</v>
      </c>
      <c r="E296" t="s" s="0">
        <v>7299</v>
      </c>
      <c r="F296" t="s" s="0">
        <v>7300</v>
      </c>
      <c r="G296" t="s" s="0">
        <v>7301</v>
      </c>
      <c r="H296" t="s" s="0">
        <v>82</v>
      </c>
      <c r="I296" t="s" s="0">
        <v>83</v>
      </c>
      <c r="J296" t="s" s="0">
        <v>7302</v>
      </c>
      <c r="K296" t="s" s="0">
        <v>7303</v>
      </c>
      <c r="L296" t="s" s="0">
        <v>82</v>
      </c>
      <c r="M296" t="s" s="0">
        <v>82</v>
      </c>
      <c r="N296" t="s" s="0">
        <v>82</v>
      </c>
      <c r="O296" t="s" s="0">
        <v>7304</v>
      </c>
      <c r="P296" t="s" s="0">
        <v>7305</v>
      </c>
      <c r="Q296" t="s" s="0">
        <v>91</v>
      </c>
      <c r="R296" t="s" s="0">
        <v>82</v>
      </c>
      <c r="S296" t="s" s="0">
        <v>82</v>
      </c>
      <c r="T296" t="s" s="0">
        <v>82</v>
      </c>
      <c r="U296" t="s" s="0">
        <v>82</v>
      </c>
      <c r="V296" t="s" s="0">
        <v>7306</v>
      </c>
      <c r="W296" t="s" s="0">
        <v>7307</v>
      </c>
      <c r="X296" t="s" s="0">
        <v>82</v>
      </c>
      <c r="Y296" t="s" s="0">
        <v>82</v>
      </c>
      <c r="Z296" t="s" s="0">
        <v>94</v>
      </c>
      <c r="AA296" t="s" s="0">
        <v>95</v>
      </c>
      <c r="AB296" t="s" s="0">
        <v>82</v>
      </c>
      <c r="AC296" t="s" s="0">
        <v>82</v>
      </c>
      <c r="AD296" t="s" s="0">
        <v>82</v>
      </c>
      <c r="AE296" t="s" s="0">
        <v>82</v>
      </c>
      <c r="AF296" t="s" s="0">
        <v>82</v>
      </c>
      <c r="AG296" t="s" s="0">
        <v>7308</v>
      </c>
      <c r="AH296" t="s" s="0">
        <v>82</v>
      </c>
      <c r="AI296" t="s" s="0">
        <v>82</v>
      </c>
      <c r="AJ296" t="s" s="0">
        <v>82</v>
      </c>
      <c r="AK296" t="s" s="0">
        <v>82</v>
      </c>
      <c r="AL296" t="s" s="0">
        <v>201</v>
      </c>
      <c r="AM296" t="s" s="0">
        <v>78</v>
      </c>
      <c r="AN296" t="s" s="0">
        <v>78</v>
      </c>
      <c r="AO296" t="s" s="0">
        <v>78</v>
      </c>
      <c r="AP296" t="s" s="0">
        <v>78</v>
      </c>
      <c r="AQ296" t="s" s="0">
        <v>1280</v>
      </c>
      <c r="AR296" t="s" s="0">
        <v>104</v>
      </c>
      <c r="AS296" t="s" s="0">
        <v>1281</v>
      </c>
      <c r="AT296" t="s" s="0">
        <v>7309</v>
      </c>
      <c r="AU296" t="s" s="0">
        <v>7310</v>
      </c>
      <c r="AV296" t="s" s="0">
        <v>82</v>
      </c>
      <c r="AW296" t="s" s="0">
        <v>7311</v>
      </c>
      <c r="AX296" t="s" s="0">
        <v>7312</v>
      </c>
      <c r="AY296" t="s" s="0">
        <v>1342</v>
      </c>
      <c r="AZ296" t="s" s="0">
        <v>181</v>
      </c>
      <c r="BA296" t="s" s="0">
        <v>276</v>
      </c>
      <c r="BB296" t="s" s="0">
        <v>136</v>
      </c>
      <c r="BC296" t="s" s="0">
        <v>82</v>
      </c>
      <c r="BD296" t="s" s="0">
        <v>82</v>
      </c>
      <c r="BE296" t="s" s="0">
        <v>82</v>
      </c>
      <c r="BF296" t="s" s="0">
        <v>82</v>
      </c>
      <c r="BG296" t="s" s="0">
        <v>82</v>
      </c>
      <c r="BH296" t="s" s="0">
        <v>82</v>
      </c>
      <c r="BI296" t="s" s="0">
        <v>7313</v>
      </c>
      <c r="BJ296" t="s" s="0">
        <v>7314</v>
      </c>
      <c r="BK296" t="s" s="588">
        <f>HYPERLINK("http://dx.doi.org/10.1177/03000605261472037","http://dx.doi.org/10.1177/03000605261472037")</f>
        <v>7315</v>
      </c>
      <c r="BL296" t="s" s="0">
        <v>82</v>
      </c>
      <c r="BM296" t="s" s="0">
        <v>82</v>
      </c>
      <c r="BN296" t="s" s="0">
        <v>154</v>
      </c>
      <c r="BO296" t="s" s="0">
        <v>7316</v>
      </c>
      <c r="BP296" t="s" s="0">
        <v>7317</v>
      </c>
      <c r="BQ296" t="s" s="0">
        <v>7318</v>
      </c>
      <c r="BR296" t="s" s="0">
        <v>7319</v>
      </c>
      <c r="BS296" t="s" s="0">
        <v>7320</v>
      </c>
      <c r="BT296" t="s" s="589">
        <f>HYPERLINK("https://www.webofscience.com/wos/woscc/full-record/WOS:001843182500001","View Record in Web of Science")</f>
        <v>120</v>
      </c>
      <c r="BU296" t="s" s="0">
        <v>1008</v>
      </c>
      <c r="BV296" t="s" s="0">
        <v>82</v>
      </c>
      <c r="BW296" t="s" s="0">
        <v>82</v>
      </c>
      <c r="BX296" t="s" s="0">
        <v>122</v>
      </c>
    </row>
    <row r="297">
      <c r="A297" t="s" s="0">
        <v>78</v>
      </c>
      <c r="B297" t="s" s="0">
        <v>78</v>
      </c>
      <c r="C297" t="s" s="0">
        <v>78</v>
      </c>
      <c r="D297" t="s" s="0">
        <v>78</v>
      </c>
      <c r="E297" t="s" s="0">
        <v>7321</v>
      </c>
      <c r="F297" t="s" s="0">
        <v>7322</v>
      </c>
      <c r="G297" t="s" s="0">
        <v>7323</v>
      </c>
      <c r="H297" t="s" s="0">
        <v>82</v>
      </c>
      <c r="I297" t="s" s="0">
        <v>83</v>
      </c>
      <c r="J297" t="s" s="0">
        <v>7324</v>
      </c>
      <c r="K297" t="s" s="0">
        <v>7325</v>
      </c>
      <c r="L297" t="s" s="0">
        <v>7326</v>
      </c>
      <c r="M297" t="s" s="0">
        <v>7327</v>
      </c>
      <c r="N297" t="s" s="0">
        <v>7328</v>
      </c>
      <c r="O297" t="s" s="0">
        <v>7329</v>
      </c>
      <c r="P297" t="s" s="0">
        <v>7330</v>
      </c>
      <c r="Q297" t="s" s="0">
        <v>91</v>
      </c>
      <c r="R297" t="s" s="0">
        <v>82</v>
      </c>
      <c r="S297" t="s" s="0">
        <v>82</v>
      </c>
      <c r="T297" t="s" s="0">
        <v>82</v>
      </c>
      <c r="U297" t="s" s="0">
        <v>82</v>
      </c>
      <c r="V297" t="s" s="0">
        <v>7331</v>
      </c>
      <c r="W297" t="s" s="0">
        <v>4637</v>
      </c>
      <c r="X297" t="s" s="0">
        <v>82</v>
      </c>
      <c r="Y297" t="s" s="0">
        <v>82</v>
      </c>
      <c r="Z297" t="s" s="0">
        <v>94</v>
      </c>
      <c r="AA297" t="s" s="0">
        <v>95</v>
      </c>
      <c r="AB297" t="s" s="0">
        <v>82</v>
      </c>
      <c r="AC297" t="s" s="0">
        <v>82</v>
      </c>
      <c r="AD297" t="s" s="0">
        <v>82</v>
      </c>
      <c r="AE297" t="s" s="0">
        <v>82</v>
      </c>
      <c r="AF297" t="s" s="0">
        <v>82</v>
      </c>
      <c r="AG297" t="s" s="0">
        <v>7332</v>
      </c>
      <c r="AH297" t="s" s="0">
        <v>7333</v>
      </c>
      <c r="AI297" t="s" s="0">
        <v>7334</v>
      </c>
      <c r="AJ297" t="s" s="0">
        <v>7335</v>
      </c>
      <c r="AK297" t="s" s="0">
        <v>82</v>
      </c>
      <c r="AL297" t="s" s="0">
        <v>632</v>
      </c>
      <c r="AM297" t="s" s="0">
        <v>77</v>
      </c>
      <c r="AN297" t="s" s="0">
        <v>447</v>
      </c>
      <c r="AO297" t="s" s="0">
        <v>447</v>
      </c>
      <c r="AP297" t="s" s="0">
        <v>101</v>
      </c>
      <c r="AQ297" t="s" s="0">
        <v>1578</v>
      </c>
      <c r="AR297" t="s" s="0">
        <v>1579</v>
      </c>
      <c r="AS297" t="s" s="0">
        <v>1580</v>
      </c>
      <c r="AT297" t="s" s="0">
        <v>4640</v>
      </c>
      <c r="AU297" t="s" s="0">
        <v>82</v>
      </c>
      <c r="AV297" t="s" s="0">
        <v>82</v>
      </c>
      <c r="AW297" t="s" s="0">
        <v>4641</v>
      </c>
      <c r="AX297" t="s" s="0">
        <v>4642</v>
      </c>
      <c r="AY297" t="s" s="0">
        <v>147</v>
      </c>
      <c r="AZ297" t="s" s="0">
        <v>147</v>
      </c>
      <c r="BA297" t="s" s="0">
        <v>154</v>
      </c>
      <c r="BB297" t="s" s="0">
        <v>82</v>
      </c>
      <c r="BC297" t="s" s="0">
        <v>82</v>
      </c>
      <c r="BD297" t="s" s="0">
        <v>82</v>
      </c>
      <c r="BE297" t="s" s="0">
        <v>82</v>
      </c>
      <c r="BF297" t="s" s="0">
        <v>82</v>
      </c>
      <c r="BG297" t="s" s="0">
        <v>7336</v>
      </c>
      <c r="BH297" t="s" s="0">
        <v>7337</v>
      </c>
      <c r="BI297" t="s" s="0">
        <v>82</v>
      </c>
      <c r="BJ297" t="s" s="0">
        <v>7338</v>
      </c>
      <c r="BK297" t="s" s="590">
        <f>HYPERLINK("http://dx.doi.org/10.2147/DMSO.S558687","http://dx.doi.org/10.2147/DMSO.S558687")</f>
        <v>7339</v>
      </c>
      <c r="BL297" t="s" s="0">
        <v>82</v>
      </c>
      <c r="BM297" t="s" s="0">
        <v>82</v>
      </c>
      <c r="BN297" t="s" s="0">
        <v>349</v>
      </c>
      <c r="BO297" t="s" s="0">
        <v>697</v>
      </c>
      <c r="BP297" t="s" s="0">
        <v>697</v>
      </c>
      <c r="BQ297" t="s" s="0">
        <v>7340</v>
      </c>
      <c r="BR297" t="s" s="0">
        <v>7341</v>
      </c>
      <c r="BS297" t="s" s="0">
        <v>7342</v>
      </c>
      <c r="BT297" t="s" s="591">
        <f>HYPERLINK("https://www.webofscience.com/wos/woscc/full-record/WOS:001615306100001","View Record in Web of Science")</f>
        <v>120</v>
      </c>
      <c r="BU297" t="s" s="0">
        <v>7343</v>
      </c>
      <c r="BV297" t="s" s="0">
        <v>82</v>
      </c>
      <c r="BW297" t="s" s="0">
        <v>82</v>
      </c>
      <c r="BX297" t="s" s="0">
        <v>122</v>
      </c>
    </row>
    <row r="298">
      <c r="A298" t="s" s="0">
        <v>78</v>
      </c>
      <c r="B298" t="s" s="0">
        <v>78</v>
      </c>
      <c r="C298" t="s" s="0">
        <v>78</v>
      </c>
      <c r="D298" t="s" s="0">
        <v>78</v>
      </c>
      <c r="E298" t="s" s="0">
        <v>7344</v>
      </c>
      <c r="F298" t="s" s="0">
        <v>7345</v>
      </c>
      <c r="G298" t="s" s="0">
        <v>7346</v>
      </c>
      <c r="H298" t="s" s="0">
        <v>82</v>
      </c>
      <c r="I298" t="s" s="0">
        <v>83</v>
      </c>
      <c r="J298" t="s" s="0">
        <v>7347</v>
      </c>
      <c r="K298" t="s" s="0">
        <v>7348</v>
      </c>
      <c r="L298" t="s" s="0">
        <v>82</v>
      </c>
      <c r="M298" t="s" s="0">
        <v>82</v>
      </c>
      <c r="N298" t="s" s="0">
        <v>82</v>
      </c>
      <c r="O298" t="s" s="0">
        <v>7349</v>
      </c>
      <c r="P298" t="s" s="0">
        <v>7350</v>
      </c>
      <c r="Q298" t="s" s="0">
        <v>91</v>
      </c>
      <c r="R298" t="s" s="0">
        <v>82</v>
      </c>
      <c r="S298" t="s" s="0">
        <v>82</v>
      </c>
      <c r="T298" t="s" s="0">
        <v>82</v>
      </c>
      <c r="U298" t="s" s="0">
        <v>82</v>
      </c>
      <c r="V298" t="s" s="0">
        <v>7351</v>
      </c>
      <c r="W298" t="s" s="0">
        <v>7352</v>
      </c>
      <c r="X298" t="s" s="0">
        <v>82</v>
      </c>
      <c r="Y298" t="s" s="0">
        <v>82</v>
      </c>
      <c r="Z298" t="s" s="0">
        <v>94</v>
      </c>
      <c r="AA298" t="s" s="0">
        <v>95</v>
      </c>
      <c r="AB298" t="s" s="0">
        <v>82</v>
      </c>
      <c r="AC298" t="s" s="0">
        <v>82</v>
      </c>
      <c r="AD298" t="s" s="0">
        <v>82</v>
      </c>
      <c r="AE298" t="s" s="0">
        <v>82</v>
      </c>
      <c r="AF298" t="s" s="0">
        <v>82</v>
      </c>
      <c r="AG298" t="s" s="0">
        <v>7353</v>
      </c>
      <c r="AH298" t="s" s="0">
        <v>7354</v>
      </c>
      <c r="AI298" t="s" s="0">
        <v>82</v>
      </c>
      <c r="AJ298" t="s" s="0">
        <v>82</v>
      </c>
      <c r="AK298" t="s" s="0">
        <v>82</v>
      </c>
      <c r="AL298" t="s" s="0">
        <v>548</v>
      </c>
      <c r="AM298" t="s" s="0">
        <v>78</v>
      </c>
      <c r="AN298" t="s" s="0">
        <v>78</v>
      </c>
      <c r="AO298" t="s" s="0">
        <v>78</v>
      </c>
      <c r="AP298" t="s" s="0">
        <v>78</v>
      </c>
      <c r="AQ298" t="s" s="0">
        <v>400</v>
      </c>
      <c r="AR298" t="s" s="0">
        <v>401</v>
      </c>
      <c r="AS298" t="s" s="0">
        <v>402</v>
      </c>
      <c r="AT298" t="s" s="0">
        <v>7355</v>
      </c>
      <c r="AU298" t="s" s="0">
        <v>7356</v>
      </c>
      <c r="AV298" t="s" s="0">
        <v>82</v>
      </c>
      <c r="AW298" t="s" s="0">
        <v>7357</v>
      </c>
      <c r="AX298" t="s" s="0">
        <v>7358</v>
      </c>
      <c r="AY298" t="s" s="0">
        <v>6107</v>
      </c>
      <c r="AZ298" t="s" s="0">
        <v>181</v>
      </c>
      <c r="BA298" t="s" s="0">
        <v>7359</v>
      </c>
      <c r="BB298" t="s" s="0">
        <v>82</v>
      </c>
      <c r="BC298" t="s" s="0">
        <v>82</v>
      </c>
      <c r="BD298" t="s" s="0">
        <v>82</v>
      </c>
      <c r="BE298" t="s" s="0">
        <v>82</v>
      </c>
      <c r="BF298" t="s" s="0">
        <v>82</v>
      </c>
      <c r="BG298" t="s" s="0">
        <v>82</v>
      </c>
      <c r="BH298" t="s" s="0">
        <v>82</v>
      </c>
      <c r="BI298" t="s" s="0">
        <v>7360</v>
      </c>
      <c r="BJ298" t="s" s="0">
        <v>7361</v>
      </c>
      <c r="BK298" t="s" s="592">
        <f>HYPERLINK("http://dx.doi.org/10.1016/j.diabres.2026.113485","http://dx.doi.org/10.1016/j.diabres.2026.113485")</f>
        <v>7362</v>
      </c>
      <c r="BL298" t="s" s="0">
        <v>82</v>
      </c>
      <c r="BM298" t="s" s="0">
        <v>82</v>
      </c>
      <c r="BN298" t="s" s="0">
        <v>640</v>
      </c>
      <c r="BO298" t="s" s="0">
        <v>697</v>
      </c>
      <c r="BP298" t="s" s="0">
        <v>697</v>
      </c>
      <c r="BQ298" t="s" s="0">
        <v>7363</v>
      </c>
      <c r="BR298" t="s" s="0">
        <v>7364</v>
      </c>
      <c r="BS298" t="s" s="0">
        <v>7365</v>
      </c>
      <c r="BT298" t="s" s="593">
        <f>HYPERLINK("https://www.webofscience.com/wos/woscc/full-record/WOS:001846311700001","View Record in Web of Science")</f>
        <v>120</v>
      </c>
      <c r="BU298" t="s" s="0">
        <v>159</v>
      </c>
      <c r="BV298" t="s" s="0">
        <v>82</v>
      </c>
      <c r="BW298" t="s" s="0">
        <v>82</v>
      </c>
      <c r="BX298" t="s" s="0">
        <v>122</v>
      </c>
    </row>
    <row r="299">
      <c r="A299" t="s" s="0">
        <v>78</v>
      </c>
      <c r="B299" t="s" s="0">
        <v>78</v>
      </c>
      <c r="C299" t="s" s="0">
        <v>138</v>
      </c>
      <c r="D299" t="s" s="0">
        <v>78</v>
      </c>
      <c r="E299" t="s" s="0">
        <v>7366</v>
      </c>
      <c r="F299" t="s" s="0">
        <v>7367</v>
      </c>
      <c r="G299" t="s" s="0">
        <v>7368</v>
      </c>
      <c r="H299" t="s" s="0">
        <v>82</v>
      </c>
      <c r="I299" t="s" s="0">
        <v>83</v>
      </c>
      <c r="J299" t="s" s="0">
        <v>7369</v>
      </c>
      <c r="K299" t="s" s="0">
        <v>7370</v>
      </c>
      <c r="L299" t="s" s="0">
        <v>7371</v>
      </c>
      <c r="M299" t="s" s="0">
        <v>6610</v>
      </c>
      <c r="N299" t="s" s="0">
        <v>7372</v>
      </c>
      <c r="O299" t="s" s="0">
        <v>7373</v>
      </c>
      <c r="P299" t="s" s="0">
        <v>7374</v>
      </c>
      <c r="Q299" t="s" s="0">
        <v>91</v>
      </c>
      <c r="R299" t="s" s="0">
        <v>82</v>
      </c>
      <c r="S299" t="s" s="0">
        <v>82</v>
      </c>
      <c r="T299" t="s" s="0">
        <v>82</v>
      </c>
      <c r="U299" t="s" s="0">
        <v>82</v>
      </c>
      <c r="V299" t="s" s="0">
        <v>7375</v>
      </c>
      <c r="W299" t="s" s="0">
        <v>7376</v>
      </c>
      <c r="X299" t="s" s="0">
        <v>82</v>
      </c>
      <c r="Y299" t="s" s="0">
        <v>82</v>
      </c>
      <c r="Z299" t="s" s="0">
        <v>94</v>
      </c>
      <c r="AA299" t="s" s="0">
        <v>95</v>
      </c>
      <c r="AB299" t="s" s="0">
        <v>82</v>
      </c>
      <c r="AC299" t="s" s="0">
        <v>82</v>
      </c>
      <c r="AD299" t="s" s="0">
        <v>82</v>
      </c>
      <c r="AE299" t="s" s="0">
        <v>82</v>
      </c>
      <c r="AF299" t="s" s="0">
        <v>82</v>
      </c>
      <c r="AG299" t="s" s="0">
        <v>7377</v>
      </c>
      <c r="AH299" t="s" s="0">
        <v>7378</v>
      </c>
      <c r="AI299" t="s" s="0">
        <v>7379</v>
      </c>
      <c r="AJ299" t="s" s="0">
        <v>82</v>
      </c>
      <c r="AK299" t="s" s="0">
        <v>82</v>
      </c>
      <c r="AL299" t="s" s="0">
        <v>632</v>
      </c>
      <c r="AM299" t="s" s="0">
        <v>115</v>
      </c>
      <c r="AN299" t="s" s="0">
        <v>323</v>
      </c>
      <c r="AO299" t="s" s="0">
        <v>447</v>
      </c>
      <c r="AP299" t="s" s="0">
        <v>136</v>
      </c>
      <c r="AQ299" t="s" s="0">
        <v>103</v>
      </c>
      <c r="AR299" t="s" s="0">
        <v>104</v>
      </c>
      <c r="AS299" t="s" s="0">
        <v>105</v>
      </c>
      <c r="AT299" t="s" s="0">
        <v>82</v>
      </c>
      <c r="AU299" t="s" s="0">
        <v>7380</v>
      </c>
      <c r="AV299" t="s" s="0">
        <v>82</v>
      </c>
      <c r="AW299" t="s" s="0">
        <v>7376</v>
      </c>
      <c r="AX299" t="s" s="0">
        <v>7381</v>
      </c>
      <c r="AY299" t="s" s="0">
        <v>7382</v>
      </c>
      <c r="AZ299" t="s" s="0">
        <v>147</v>
      </c>
      <c r="BA299" t="s" s="0">
        <v>111</v>
      </c>
      <c r="BB299" t="s" s="0">
        <v>77</v>
      </c>
      <c r="BC299" t="s" s="0">
        <v>82</v>
      </c>
      <c r="BD299" t="s" s="0">
        <v>82</v>
      </c>
      <c r="BE299" t="s" s="0">
        <v>82</v>
      </c>
      <c r="BF299" t="s" s="0">
        <v>82</v>
      </c>
      <c r="BG299" t="s" s="0">
        <v>82</v>
      </c>
      <c r="BH299" t="s" s="0">
        <v>82</v>
      </c>
      <c r="BI299" t="s" s="0">
        <v>7383</v>
      </c>
      <c r="BJ299" t="s" s="0">
        <v>7384</v>
      </c>
      <c r="BK299" t="s" s="594">
        <f>HYPERLINK("http://dx.doi.org/10.1186/s12885-025-13529-x","http://dx.doi.org/10.1186/s12885-025-13529-x")</f>
        <v>7385</v>
      </c>
      <c r="BL299" t="s" s="0">
        <v>82</v>
      </c>
      <c r="BM299" t="s" s="0">
        <v>82</v>
      </c>
      <c r="BN299" t="s" s="0">
        <v>115</v>
      </c>
      <c r="BO299" t="s" s="0">
        <v>4833</v>
      </c>
      <c r="BP299" t="s" s="0">
        <v>4833</v>
      </c>
      <c r="BQ299" t="s" s="0">
        <v>7386</v>
      </c>
      <c r="BR299" t="s" s="0">
        <v>7387</v>
      </c>
      <c r="BS299" t="s" s="0">
        <v>7388</v>
      </c>
      <c r="BT299" t="s" s="595">
        <f>HYPERLINK("https://www.webofscience.com/wos/woscc/full-record/WOS:001408603000001","View Record in Web of Science")</f>
        <v>120</v>
      </c>
      <c r="BU299" t="s" s="0">
        <v>121</v>
      </c>
      <c r="BV299" t="s" s="0">
        <v>82</v>
      </c>
      <c r="BW299" t="s" s="0">
        <v>82</v>
      </c>
      <c r="BX299" t="s" s="0">
        <v>122</v>
      </c>
    </row>
    <row r="300">
      <c r="A300" t="s" s="0">
        <v>78</v>
      </c>
      <c r="B300" t="s" s="0">
        <v>78</v>
      </c>
      <c r="C300" t="s" s="0">
        <v>78</v>
      </c>
      <c r="D300" t="s" s="0">
        <v>78</v>
      </c>
      <c r="E300" t="s" s="0">
        <v>7389</v>
      </c>
      <c r="F300" t="s" s="0">
        <v>7390</v>
      </c>
      <c r="G300" t="s" s="0">
        <v>7391</v>
      </c>
      <c r="H300" t="s" s="0">
        <v>82</v>
      </c>
      <c r="I300" t="s" s="0">
        <v>83</v>
      </c>
      <c r="J300" t="s" s="0">
        <v>7392</v>
      </c>
      <c r="K300" t="s" s="0">
        <v>7393</v>
      </c>
      <c r="L300" t="s" s="0">
        <v>82</v>
      </c>
      <c r="M300" t="s" s="0">
        <v>82</v>
      </c>
      <c r="N300" t="s" s="0">
        <v>82</v>
      </c>
      <c r="O300" t="s" s="0">
        <v>7394</v>
      </c>
      <c r="P300" t="s" s="0">
        <v>7395</v>
      </c>
      <c r="Q300" t="s" s="0">
        <v>91</v>
      </c>
      <c r="R300" t="s" s="0">
        <v>82</v>
      </c>
      <c r="S300" t="s" s="0">
        <v>82</v>
      </c>
      <c r="T300" t="s" s="0">
        <v>82</v>
      </c>
      <c r="U300" t="s" s="0">
        <v>82</v>
      </c>
      <c r="V300" t="s" s="0">
        <v>7396</v>
      </c>
      <c r="W300" t="s" s="0">
        <v>7397</v>
      </c>
      <c r="X300" t="s" s="0">
        <v>82</v>
      </c>
      <c r="Y300" t="s" s="0">
        <v>82</v>
      </c>
      <c r="Z300" t="s" s="0">
        <v>94</v>
      </c>
      <c r="AA300" t="s" s="0">
        <v>95</v>
      </c>
      <c r="AB300" t="s" s="0">
        <v>82</v>
      </c>
      <c r="AC300" t="s" s="0">
        <v>82</v>
      </c>
      <c r="AD300" t="s" s="0">
        <v>82</v>
      </c>
      <c r="AE300" t="s" s="0">
        <v>82</v>
      </c>
      <c r="AF300" t="s" s="0">
        <v>82</v>
      </c>
      <c r="AG300" t="s" s="0">
        <v>7398</v>
      </c>
      <c r="AH300" t="s" s="0">
        <v>7399</v>
      </c>
      <c r="AI300" t="s" s="0">
        <v>82</v>
      </c>
      <c r="AJ300" t="s" s="0">
        <v>82</v>
      </c>
      <c r="AK300" t="s" s="0">
        <v>82</v>
      </c>
      <c r="AL300" t="s" s="0">
        <v>829</v>
      </c>
      <c r="AM300" t="s" s="0">
        <v>78</v>
      </c>
      <c r="AN300" t="s" s="0">
        <v>78</v>
      </c>
      <c r="AO300" t="s" s="0">
        <v>101</v>
      </c>
      <c r="AP300" t="s" s="0">
        <v>101</v>
      </c>
      <c r="AQ300" t="s" s="0">
        <v>2484</v>
      </c>
      <c r="AR300" t="s" s="0">
        <v>2485</v>
      </c>
      <c r="AS300" t="s" s="0">
        <v>2486</v>
      </c>
      <c r="AT300" t="s" s="0">
        <v>7400</v>
      </c>
      <c r="AU300" t="s" s="0">
        <v>82</v>
      </c>
      <c r="AV300" t="s" s="0">
        <v>82</v>
      </c>
      <c r="AW300" t="s" s="0">
        <v>7401</v>
      </c>
      <c r="AX300" t="s" s="0">
        <v>7402</v>
      </c>
      <c r="AY300" t="s" s="0">
        <v>7403</v>
      </c>
      <c r="AZ300" t="s" s="0">
        <v>181</v>
      </c>
      <c r="BA300" t="s" s="0">
        <v>149</v>
      </c>
      <c r="BB300" t="s" s="0">
        <v>82</v>
      </c>
      <c r="BC300" t="s" s="0">
        <v>82</v>
      </c>
      <c r="BD300" t="s" s="0">
        <v>82</v>
      </c>
      <c r="BE300" t="s" s="0">
        <v>82</v>
      </c>
      <c r="BF300" t="s" s="0">
        <v>82</v>
      </c>
      <c r="BG300" t="s" s="0">
        <v>82</v>
      </c>
      <c r="BH300" t="s" s="0">
        <v>82</v>
      </c>
      <c r="BI300" t="s" s="0">
        <v>7404</v>
      </c>
      <c r="BJ300" t="s" s="0">
        <v>7405</v>
      </c>
      <c r="BK300" t="s" s="596">
        <f>HYPERLINK("http://dx.doi.org/10.3389/fnut.2025.1692020","http://dx.doi.org/10.3389/fnut.2025.1692020")</f>
        <v>7406</v>
      </c>
      <c r="BL300" t="s" s="0">
        <v>82</v>
      </c>
      <c r="BM300" t="s" s="0">
        <v>82</v>
      </c>
      <c r="BN300" t="s" s="0">
        <v>115</v>
      </c>
      <c r="BO300" t="s" s="0">
        <v>7407</v>
      </c>
      <c r="BP300" t="s" s="0">
        <v>7407</v>
      </c>
      <c r="BQ300" t="s" s="0">
        <v>7408</v>
      </c>
      <c r="BR300" t="s" s="0">
        <v>7409</v>
      </c>
      <c r="BS300" t="s" s="0">
        <v>7410</v>
      </c>
      <c r="BT300" t="s" s="597">
        <f>HYPERLINK("https://www.webofscience.com/wos/woscc/full-record/WOS:001662967300001","View Record in Web of Science")</f>
        <v>120</v>
      </c>
      <c r="BU300" t="s" s="0">
        <v>121</v>
      </c>
      <c r="BV300" t="s" s="0">
        <v>82</v>
      </c>
      <c r="BW300" t="s" s="0">
        <v>82</v>
      </c>
      <c r="BX300" t="s" s="0">
        <v>122</v>
      </c>
    </row>
    <row r="301">
      <c r="A301" t="s" s="0">
        <v>78</v>
      </c>
      <c r="B301" t="s" s="0">
        <v>78</v>
      </c>
      <c r="C301" t="s" s="0">
        <v>78</v>
      </c>
      <c r="D301" t="s" s="0">
        <v>78</v>
      </c>
      <c r="E301" t="s" s="0">
        <v>7411</v>
      </c>
      <c r="F301" t="s" s="0">
        <v>7412</v>
      </c>
      <c r="G301" t="s" s="0">
        <v>7413</v>
      </c>
      <c r="H301" t="s" s="0">
        <v>82</v>
      </c>
      <c r="I301" t="s" s="0">
        <v>589</v>
      </c>
      <c r="J301" t="s" s="0">
        <v>7414</v>
      </c>
      <c r="K301" t="s" s="0">
        <v>7415</v>
      </c>
      <c r="L301" t="s" s="0">
        <v>7416</v>
      </c>
      <c r="M301" t="s" s="0">
        <v>7417</v>
      </c>
      <c r="N301" t="s" s="0">
        <v>7418</v>
      </c>
      <c r="O301" t="s" s="0">
        <v>7419</v>
      </c>
      <c r="P301" t="s" s="0">
        <v>7420</v>
      </c>
      <c r="Q301" t="s" s="0">
        <v>91</v>
      </c>
      <c r="R301" t="s" s="0">
        <v>82</v>
      </c>
      <c r="S301" t="s" s="0">
        <v>82</v>
      </c>
      <c r="T301" t="s" s="0">
        <v>82</v>
      </c>
      <c r="U301" t="s" s="0">
        <v>82</v>
      </c>
      <c r="V301" t="s" s="0">
        <v>7421</v>
      </c>
      <c r="W301" t="s" s="0">
        <v>7422</v>
      </c>
      <c r="X301" t="s" s="0">
        <v>82</v>
      </c>
      <c r="Y301" t="s" s="0">
        <v>82</v>
      </c>
      <c r="Z301" t="s" s="0">
        <v>94</v>
      </c>
      <c r="AA301" t="s" s="0">
        <v>95</v>
      </c>
      <c r="AB301" t="s" s="0">
        <v>82</v>
      </c>
      <c r="AC301" t="s" s="0">
        <v>82</v>
      </c>
      <c r="AD301" t="s" s="0">
        <v>82</v>
      </c>
      <c r="AE301" t="s" s="0">
        <v>82</v>
      </c>
      <c r="AF301" t="s" s="0">
        <v>82</v>
      </c>
      <c r="AG301" t="s" s="0">
        <v>7423</v>
      </c>
      <c r="AH301" t="s" s="0">
        <v>7424</v>
      </c>
      <c r="AI301" t="s" s="0">
        <v>7425</v>
      </c>
      <c r="AJ301" t="s" s="0">
        <v>7426</v>
      </c>
      <c r="AK301" t="s" s="0">
        <v>82</v>
      </c>
      <c r="AL301" t="s" s="0">
        <v>1526</v>
      </c>
      <c r="AM301" t="s" s="0">
        <v>78</v>
      </c>
      <c r="AN301" t="s" s="0">
        <v>78</v>
      </c>
      <c r="AO301" t="s" s="0">
        <v>77</v>
      </c>
      <c r="AP301" t="s" s="0">
        <v>77</v>
      </c>
      <c r="AQ301" t="s" s="0">
        <v>2484</v>
      </c>
      <c r="AR301" t="s" s="0">
        <v>2485</v>
      </c>
      <c r="AS301" t="s" s="0">
        <v>2486</v>
      </c>
      <c r="AT301" t="s" s="0">
        <v>7427</v>
      </c>
      <c r="AU301" t="s" s="0">
        <v>7428</v>
      </c>
      <c r="AV301" t="s" s="0">
        <v>82</v>
      </c>
      <c r="AW301" t="s" s="0">
        <v>7429</v>
      </c>
      <c r="AX301" t="s" s="0">
        <v>7430</v>
      </c>
      <c r="AY301" t="s" s="0">
        <v>7431</v>
      </c>
      <c r="AZ301" t="s" s="0">
        <v>181</v>
      </c>
      <c r="BA301" t="s" s="0">
        <v>5138</v>
      </c>
      <c r="BB301" t="s" s="0">
        <v>82</v>
      </c>
      <c r="BC301" t="s" s="0">
        <v>82</v>
      </c>
      <c r="BD301" t="s" s="0">
        <v>82</v>
      </c>
      <c r="BE301" t="s" s="0">
        <v>82</v>
      </c>
      <c r="BF301" t="s" s="0">
        <v>82</v>
      </c>
      <c r="BG301" t="s" s="0">
        <v>82</v>
      </c>
      <c r="BH301" t="s" s="0">
        <v>82</v>
      </c>
      <c r="BI301" t="s" s="0">
        <v>7432</v>
      </c>
      <c r="BJ301" t="s" s="0">
        <v>7433</v>
      </c>
      <c r="BK301" t="s" s="598">
        <f>HYPERLINK("http://dx.doi.org/10.3389/ijph.2026.1609153","http://dx.doi.org/10.3389/ijph.2026.1609153")</f>
        <v>7434</v>
      </c>
      <c r="BL301" t="s" s="0">
        <v>82</v>
      </c>
      <c r="BM301" t="s" s="0">
        <v>82</v>
      </c>
      <c r="BN301" t="s" s="0">
        <v>137</v>
      </c>
      <c r="BO301" t="s" s="0">
        <v>7435</v>
      </c>
      <c r="BP301" t="s" s="0">
        <v>7435</v>
      </c>
      <c r="BQ301" t="s" s="0">
        <v>7436</v>
      </c>
      <c r="BR301" t="s" s="0">
        <v>7437</v>
      </c>
      <c r="BS301" t="s" s="0">
        <v>7438</v>
      </c>
      <c r="BT301" t="s" s="599">
        <f>HYPERLINK("https://www.webofscience.com/wos/woscc/full-record/WOS:001790641400001","View Record in Web of Science")</f>
        <v>120</v>
      </c>
      <c r="BU301" t="s" s="0">
        <v>121</v>
      </c>
      <c r="BV301" t="s" s="0">
        <v>82</v>
      </c>
      <c r="BW301" t="s" s="0">
        <v>82</v>
      </c>
      <c r="BX301" t="s" s="0">
        <v>122</v>
      </c>
    </row>
    <row r="302">
      <c r="A302" t="s" s="0">
        <v>78</v>
      </c>
      <c r="B302" t="s" s="0">
        <v>78</v>
      </c>
      <c r="C302" t="s" s="0">
        <v>78</v>
      </c>
      <c r="D302" t="s" s="0">
        <v>78</v>
      </c>
      <c r="E302" t="s" s="0">
        <v>7439</v>
      </c>
      <c r="F302" t="s" s="0">
        <v>7440</v>
      </c>
      <c r="G302" t="s" s="0">
        <v>7441</v>
      </c>
      <c r="H302" t="s" s="0">
        <v>82</v>
      </c>
      <c r="I302" t="s" s="0">
        <v>297</v>
      </c>
      <c r="J302" t="s" s="0">
        <v>7442</v>
      </c>
      <c r="K302" t="s" s="0">
        <v>7443</v>
      </c>
      <c r="L302" t="s" s="0">
        <v>7444</v>
      </c>
      <c r="M302" t="s" s="0">
        <v>7445</v>
      </c>
      <c r="N302" t="s" s="0">
        <v>7446</v>
      </c>
      <c r="O302" t="s" s="0">
        <v>7447</v>
      </c>
      <c r="P302" t="s" s="0">
        <v>7448</v>
      </c>
      <c r="Q302" t="s" s="0">
        <v>91</v>
      </c>
      <c r="R302" t="s" s="0">
        <v>82</v>
      </c>
      <c r="S302" t="s" s="0">
        <v>7449</v>
      </c>
      <c r="T302" t="s" s="0">
        <v>82</v>
      </c>
      <c r="U302" t="s" s="0">
        <v>82</v>
      </c>
      <c r="V302" t="s" s="0">
        <v>7450</v>
      </c>
      <c r="W302" t="s" s="0">
        <v>7451</v>
      </c>
      <c r="X302" t="s" s="0">
        <v>82</v>
      </c>
      <c r="Y302" t="s" s="0">
        <v>82</v>
      </c>
      <c r="Z302" t="s" s="0">
        <v>94</v>
      </c>
      <c r="AA302" t="s" s="0">
        <v>95</v>
      </c>
      <c r="AB302" t="s" s="0">
        <v>82</v>
      </c>
      <c r="AC302" t="s" s="0">
        <v>82</v>
      </c>
      <c r="AD302" t="s" s="0">
        <v>82</v>
      </c>
      <c r="AE302" t="s" s="0">
        <v>82</v>
      </c>
      <c r="AF302" t="s" s="0">
        <v>82</v>
      </c>
      <c r="AG302" t="s" s="0">
        <v>7452</v>
      </c>
      <c r="AH302" t="s" s="0">
        <v>7453</v>
      </c>
      <c r="AI302" t="s" s="0">
        <v>7454</v>
      </c>
      <c r="AJ302" t="s" s="0">
        <v>82</v>
      </c>
      <c r="AK302" t="s" s="0">
        <v>82</v>
      </c>
      <c r="AL302" t="s" s="0">
        <v>1502</v>
      </c>
      <c r="AM302" t="s" s="0">
        <v>78</v>
      </c>
      <c r="AN302" t="s" s="0">
        <v>78</v>
      </c>
      <c r="AO302" t="s" s="0">
        <v>77</v>
      </c>
      <c r="AP302" t="s" s="0">
        <v>77</v>
      </c>
      <c r="AQ302" t="s" s="0">
        <v>7455</v>
      </c>
      <c r="AR302" t="s" s="0">
        <v>7456</v>
      </c>
      <c r="AS302" t="s" s="0">
        <v>7457</v>
      </c>
      <c r="AT302" t="s" s="0">
        <v>7458</v>
      </c>
      <c r="AU302" t="s" s="0">
        <v>7459</v>
      </c>
      <c r="AV302" t="s" s="0">
        <v>82</v>
      </c>
      <c r="AW302" t="s" s="0">
        <v>7460</v>
      </c>
      <c r="AX302" t="s" s="0">
        <v>7461</v>
      </c>
      <c r="AY302" t="s" s="0">
        <v>1191</v>
      </c>
      <c r="AZ302" t="s" s="0">
        <v>147</v>
      </c>
      <c r="BA302" t="s" s="0">
        <v>136</v>
      </c>
      <c r="BB302" t="s" s="0">
        <v>77</v>
      </c>
      <c r="BC302" t="s" s="0">
        <v>82</v>
      </c>
      <c r="BD302" t="s" s="0">
        <v>82</v>
      </c>
      <c r="BE302" t="s" s="0">
        <v>82</v>
      </c>
      <c r="BF302" t="s" s="0">
        <v>82</v>
      </c>
      <c r="BG302" t="s" s="0">
        <v>82</v>
      </c>
      <c r="BH302" t="s" s="0">
        <v>82</v>
      </c>
      <c r="BI302" t="s" s="0">
        <v>7462</v>
      </c>
      <c r="BJ302" t="s" s="0">
        <v>7463</v>
      </c>
      <c r="BK302" t="s" s="600">
        <f>HYPERLINK("http://dx.doi.org/10.1123/jmpb.2025-0030","http://dx.doi.org/10.1123/jmpb.2025-0030")</f>
        <v>7464</v>
      </c>
      <c r="BL302" t="s" s="0">
        <v>82</v>
      </c>
      <c r="BM302" t="s" s="0">
        <v>82</v>
      </c>
      <c r="BN302" t="s" s="0">
        <v>319</v>
      </c>
      <c r="BO302" t="s" s="0">
        <v>7465</v>
      </c>
      <c r="BP302" t="s" s="0">
        <v>7465</v>
      </c>
      <c r="BQ302" t="s" s="0">
        <v>7466</v>
      </c>
      <c r="BR302" t="s" s="0">
        <v>82</v>
      </c>
      <c r="BS302" t="s" s="0">
        <v>7467</v>
      </c>
      <c r="BT302" t="s" s="601">
        <f>HYPERLINK("https://www.webofscience.com/wos/woscc/full-record/WOS:001678562800007","View Record in Web of Science")</f>
        <v>120</v>
      </c>
      <c r="BU302" t="s" s="0">
        <v>82</v>
      </c>
      <c r="BV302" t="s" s="0">
        <v>82</v>
      </c>
      <c r="BW302" t="s" s="0">
        <v>82</v>
      </c>
      <c r="BX302" t="s" s="0">
        <v>122</v>
      </c>
    </row>
    <row r="303">
      <c r="A303" t="s" s="0">
        <v>78</v>
      </c>
      <c r="B303" t="s" s="0">
        <v>78</v>
      </c>
      <c r="C303" t="s" s="0">
        <v>78</v>
      </c>
      <c r="D303" t="s" s="0">
        <v>78</v>
      </c>
      <c r="E303" t="s" s="0">
        <v>7468</v>
      </c>
      <c r="F303" t="s" s="0">
        <v>7469</v>
      </c>
      <c r="G303" t="s" s="0">
        <v>7470</v>
      </c>
      <c r="H303" t="s" s="0">
        <v>82</v>
      </c>
      <c r="I303" t="s" s="0">
        <v>83</v>
      </c>
      <c r="J303" t="s" s="0">
        <v>7471</v>
      </c>
      <c r="K303" t="s" s="0">
        <v>7472</v>
      </c>
      <c r="L303" t="s" s="0">
        <v>82</v>
      </c>
      <c r="M303" t="s" s="0">
        <v>82</v>
      </c>
      <c r="N303" t="s" s="0">
        <v>82</v>
      </c>
      <c r="O303" t="s" s="0">
        <v>7473</v>
      </c>
      <c r="P303" t="s" s="0">
        <v>7474</v>
      </c>
      <c r="Q303" t="s" s="0">
        <v>91</v>
      </c>
      <c r="R303" t="s" s="0">
        <v>82</v>
      </c>
      <c r="S303" t="s" s="0">
        <v>82</v>
      </c>
      <c r="T303" t="s" s="0">
        <v>82</v>
      </c>
      <c r="U303" t="s" s="0">
        <v>82</v>
      </c>
      <c r="V303" t="s" s="0">
        <v>7475</v>
      </c>
      <c r="W303" t="s" s="0">
        <v>3637</v>
      </c>
      <c r="X303" t="s" s="0">
        <v>82</v>
      </c>
      <c r="Y303" t="s" s="0">
        <v>82</v>
      </c>
      <c r="Z303" t="s" s="0">
        <v>94</v>
      </c>
      <c r="AA303" t="s" s="0">
        <v>95</v>
      </c>
      <c r="AB303" t="s" s="0">
        <v>82</v>
      </c>
      <c r="AC303" t="s" s="0">
        <v>82</v>
      </c>
      <c r="AD303" t="s" s="0">
        <v>82</v>
      </c>
      <c r="AE303" t="s" s="0">
        <v>82</v>
      </c>
      <c r="AF303" t="s" s="0">
        <v>82</v>
      </c>
      <c r="AG303" t="s" s="0">
        <v>82</v>
      </c>
      <c r="AH303" t="s" s="0">
        <v>7476</v>
      </c>
      <c r="AI303" t="s" s="0">
        <v>7477</v>
      </c>
      <c r="AJ303" t="s" s="0">
        <v>82</v>
      </c>
      <c r="AK303" t="s" s="0">
        <v>82</v>
      </c>
      <c r="AL303" t="s" s="0">
        <v>1026</v>
      </c>
      <c r="AM303" t="s" s="0">
        <v>78</v>
      </c>
      <c r="AN303" t="s" s="0">
        <v>78</v>
      </c>
      <c r="AO303" t="s" s="0">
        <v>78</v>
      </c>
      <c r="AP303" t="s" s="0">
        <v>78</v>
      </c>
      <c r="AQ303" t="s" s="0">
        <v>633</v>
      </c>
      <c r="AR303" t="s" s="0">
        <v>634</v>
      </c>
      <c r="AS303" t="s" s="0">
        <v>635</v>
      </c>
      <c r="AT303" t="s" s="0">
        <v>3642</v>
      </c>
      <c r="AU303" t="s" s="0">
        <v>82</v>
      </c>
      <c r="AV303" t="s" s="0">
        <v>82</v>
      </c>
      <c r="AW303" t="s" s="0">
        <v>3643</v>
      </c>
      <c r="AX303" t="s" s="0">
        <v>3644</v>
      </c>
      <c r="AY303" t="s" s="0">
        <v>7478</v>
      </c>
      <c r="AZ303" t="s" s="0">
        <v>147</v>
      </c>
      <c r="BA303" t="s" s="0">
        <v>349</v>
      </c>
      <c r="BB303" t="s" s="0">
        <v>77</v>
      </c>
      <c r="BC303" t="s" s="0">
        <v>82</v>
      </c>
      <c r="BD303" t="s" s="0">
        <v>82</v>
      </c>
      <c r="BE303" t="s" s="0">
        <v>82</v>
      </c>
      <c r="BF303" t="s" s="0">
        <v>82</v>
      </c>
      <c r="BG303" t="s" s="0">
        <v>82</v>
      </c>
      <c r="BH303" t="s" s="0">
        <v>82</v>
      </c>
      <c r="BI303" t="s" s="0">
        <v>7479</v>
      </c>
      <c r="BJ303" t="s" s="0">
        <v>7480</v>
      </c>
      <c r="BK303" t="s" s="602">
        <f>HYPERLINK("http://dx.doi.org/10.1038/s41598-025-16824-6","http://dx.doi.org/10.1038/s41598-025-16824-6")</f>
        <v>7481</v>
      </c>
      <c r="BL303" t="s" s="0">
        <v>82</v>
      </c>
      <c r="BM303" t="s" s="0">
        <v>82</v>
      </c>
      <c r="BN303" t="s" s="0">
        <v>149</v>
      </c>
      <c r="BO303" t="s" s="0">
        <v>644</v>
      </c>
      <c r="BP303" t="s" s="0">
        <v>645</v>
      </c>
      <c r="BQ303" t="s" s="0">
        <v>7482</v>
      </c>
      <c r="BR303" t="s" s="0">
        <v>7483</v>
      </c>
      <c r="BS303" t="s" s="0">
        <v>7484</v>
      </c>
      <c r="BT303" t="s" s="603">
        <f>HYPERLINK("https://www.webofscience.com/wos/woscc/full-record/WOS:001587010000016","View Record in Web of Science")</f>
        <v>120</v>
      </c>
      <c r="BU303" t="s" s="0">
        <v>121</v>
      </c>
      <c r="BV303" t="s" s="0">
        <v>82</v>
      </c>
      <c r="BW303" t="s" s="0">
        <v>82</v>
      </c>
      <c r="BX303" t="s" s="0">
        <v>122</v>
      </c>
    </row>
    <row r="304">
      <c r="A304" t="s" s="0">
        <v>102</v>
      </c>
      <c r="B304" t="s" s="0">
        <v>78</v>
      </c>
      <c r="C304" t="s" s="0">
        <v>447</v>
      </c>
      <c r="D304" t="s" s="0">
        <v>78</v>
      </c>
      <c r="E304" t="s" s="0">
        <v>7485</v>
      </c>
      <c r="F304" t="s" s="0">
        <v>7486</v>
      </c>
      <c r="G304" t="s" s="0">
        <v>7487</v>
      </c>
      <c r="H304" t="s" s="0">
        <v>82</v>
      </c>
      <c r="I304" t="s" s="0">
        <v>83</v>
      </c>
      <c r="J304" t="s" s="0">
        <v>7488</v>
      </c>
      <c r="K304" t="s" s="0">
        <v>3333</v>
      </c>
      <c r="L304" t="s" s="0">
        <v>7489</v>
      </c>
      <c r="M304" t="s" s="0">
        <v>7490</v>
      </c>
      <c r="N304" t="s" s="0">
        <v>7491</v>
      </c>
      <c r="O304" t="s" s="0">
        <v>7492</v>
      </c>
      <c r="P304" t="s" s="0">
        <v>7493</v>
      </c>
      <c r="Q304" t="s" s="0">
        <v>91</v>
      </c>
      <c r="R304" t="s" s="0">
        <v>82</v>
      </c>
      <c r="S304" t="s" s="0">
        <v>82</v>
      </c>
      <c r="T304" t="s" s="0">
        <v>82</v>
      </c>
      <c r="U304" t="s" s="0">
        <v>82</v>
      </c>
      <c r="V304" t="s" s="0">
        <v>7494</v>
      </c>
      <c r="W304" t="s" s="0">
        <v>3340</v>
      </c>
      <c r="X304" t="s" s="0">
        <v>82</v>
      </c>
      <c r="Y304" t="s" s="0">
        <v>82</v>
      </c>
      <c r="Z304" t="s" s="0">
        <v>94</v>
      </c>
      <c r="AA304" t="s" s="0">
        <v>95</v>
      </c>
      <c r="AB304" t="s" s="0">
        <v>82</v>
      </c>
      <c r="AC304" t="s" s="0">
        <v>82</v>
      </c>
      <c r="AD304" t="s" s="0">
        <v>82</v>
      </c>
      <c r="AE304" t="s" s="0">
        <v>82</v>
      </c>
      <c r="AF304" t="s" s="0">
        <v>82</v>
      </c>
      <c r="AG304" t="s" s="0">
        <v>7495</v>
      </c>
      <c r="AH304" t="s" s="0">
        <v>7496</v>
      </c>
      <c r="AI304" t="s" s="0">
        <v>7497</v>
      </c>
      <c r="AJ304" t="s" s="0">
        <v>7498</v>
      </c>
      <c r="AK304" t="s" s="0">
        <v>82</v>
      </c>
      <c r="AL304" t="s" s="0">
        <v>828</v>
      </c>
      <c r="AM304" t="s" s="0">
        <v>154</v>
      </c>
      <c r="AN304" t="s" s="0">
        <v>1161</v>
      </c>
      <c r="AO304" t="s" s="0">
        <v>77</v>
      </c>
      <c r="AP304" t="s" s="0">
        <v>111</v>
      </c>
      <c r="AQ304" t="s" s="0">
        <v>277</v>
      </c>
      <c r="AR304" t="s" s="0">
        <v>278</v>
      </c>
      <c r="AS304" t="s" s="0">
        <v>279</v>
      </c>
      <c r="AT304" t="s" s="0">
        <v>82</v>
      </c>
      <c r="AU304" t="s" s="0">
        <v>3345</v>
      </c>
      <c r="AV304" t="s" s="0">
        <v>82</v>
      </c>
      <c r="AW304" t="s" s="0">
        <v>3340</v>
      </c>
      <c r="AX304" t="s" s="0">
        <v>3346</v>
      </c>
      <c r="AY304" t="s" s="0">
        <v>810</v>
      </c>
      <c r="AZ304" t="s" s="0">
        <v>210</v>
      </c>
      <c r="BA304" t="s" s="0">
        <v>3031</v>
      </c>
      <c r="BB304" t="s" s="0">
        <v>82</v>
      </c>
      <c r="BC304" t="s" s="0">
        <v>82</v>
      </c>
      <c r="BD304" t="s" s="0">
        <v>82</v>
      </c>
      <c r="BE304" t="s" s="0">
        <v>82</v>
      </c>
      <c r="BF304" t="s" s="0">
        <v>82</v>
      </c>
      <c r="BG304" t="s" s="0">
        <v>82</v>
      </c>
      <c r="BH304" t="s" s="0">
        <v>82</v>
      </c>
      <c r="BI304" t="s" s="0">
        <v>7499</v>
      </c>
      <c r="BJ304" t="s" s="0">
        <v>7500</v>
      </c>
      <c r="BK304" t="s" s="604">
        <f>HYPERLINK("http://dx.doi.org/10.1016/j.eclinm.2023.102050","http://dx.doi.org/10.1016/j.eclinm.2023.102050")</f>
        <v>7501</v>
      </c>
      <c r="BL304" t="s" s="0">
        <v>82</v>
      </c>
      <c r="BM304" t="s" s="0">
        <v>5023</v>
      </c>
      <c r="BN304" t="s" s="0">
        <v>323</v>
      </c>
      <c r="BO304" t="s" s="0">
        <v>354</v>
      </c>
      <c r="BP304" t="s" s="0">
        <v>355</v>
      </c>
      <c r="BQ304" t="s" s="0">
        <v>7502</v>
      </c>
      <c r="BR304" t="s" s="0">
        <v>7503</v>
      </c>
      <c r="BS304" t="s" s="0">
        <v>7504</v>
      </c>
      <c r="BT304" t="s" s="605">
        <f>HYPERLINK("https://www.webofscience.com/wos/woscc/full-record/WOS:001057909000001","View Record in Web of Science")</f>
        <v>120</v>
      </c>
      <c r="BU304" t="s" s="0">
        <v>121</v>
      </c>
      <c r="BV304" t="s" s="0">
        <v>82</v>
      </c>
      <c r="BW304" t="s" s="0">
        <v>82</v>
      </c>
      <c r="BX304" t="s" s="0">
        <v>122</v>
      </c>
    </row>
    <row r="305">
      <c r="A305" t="s" s="0">
        <v>77</v>
      </c>
      <c r="B305" t="s" s="0">
        <v>78</v>
      </c>
      <c r="C305" t="s" s="0">
        <v>78</v>
      </c>
      <c r="D305" t="s" s="0">
        <v>78</v>
      </c>
      <c r="E305" t="s" s="0">
        <v>7505</v>
      </c>
      <c r="F305" t="s" s="0">
        <v>7506</v>
      </c>
      <c r="G305" t="s" s="0">
        <v>7507</v>
      </c>
      <c r="H305" t="s" s="0">
        <v>82</v>
      </c>
      <c r="I305" t="s" s="0">
        <v>83</v>
      </c>
      <c r="J305" t="s" s="0">
        <v>7508</v>
      </c>
      <c r="K305" t="s" s="0">
        <v>7509</v>
      </c>
      <c r="L305" t="s" s="0">
        <v>7510</v>
      </c>
      <c r="M305" t="s" s="0">
        <v>7511</v>
      </c>
      <c r="N305" t="s" s="0">
        <v>7512</v>
      </c>
      <c r="O305" t="s" s="0">
        <v>7513</v>
      </c>
      <c r="P305" t="s" s="0">
        <v>4317</v>
      </c>
      <c r="Q305" t="s" s="0">
        <v>91</v>
      </c>
      <c r="R305" t="s" s="0">
        <v>82</v>
      </c>
      <c r="S305" t="s" s="0">
        <v>82</v>
      </c>
      <c r="T305" t="s" s="0">
        <v>82</v>
      </c>
      <c r="U305" t="s" s="0">
        <v>82</v>
      </c>
      <c r="V305" t="s" s="0">
        <v>7514</v>
      </c>
      <c r="W305" t="s" s="0">
        <v>5244</v>
      </c>
      <c r="X305" t="s" s="0">
        <v>82</v>
      </c>
      <c r="Y305" t="s" s="0">
        <v>82</v>
      </c>
      <c r="Z305" t="s" s="0">
        <v>94</v>
      </c>
      <c r="AA305" t="s" s="0">
        <v>95</v>
      </c>
      <c r="AB305" t="s" s="0">
        <v>82</v>
      </c>
      <c r="AC305" t="s" s="0">
        <v>82</v>
      </c>
      <c r="AD305" t="s" s="0">
        <v>82</v>
      </c>
      <c r="AE305" t="s" s="0">
        <v>82</v>
      </c>
      <c r="AF305" t="s" s="0">
        <v>82</v>
      </c>
      <c r="AG305" t="s" s="0">
        <v>7515</v>
      </c>
      <c r="AH305" t="s" s="0">
        <v>7516</v>
      </c>
      <c r="AI305" t="s" s="0">
        <v>7517</v>
      </c>
      <c r="AJ305" t="s" s="0">
        <v>7518</v>
      </c>
      <c r="AK305" t="s" s="0">
        <v>82</v>
      </c>
      <c r="AL305" t="s" s="0">
        <v>173</v>
      </c>
      <c r="AM305" t="s" s="0">
        <v>101</v>
      </c>
      <c r="AN305" t="s" s="0">
        <v>102</v>
      </c>
      <c r="AO305" t="s" s="0">
        <v>78</v>
      </c>
      <c r="AP305" t="s" s="0">
        <v>447</v>
      </c>
      <c r="AQ305" t="s" s="0">
        <v>1280</v>
      </c>
      <c r="AR305" t="s" s="0">
        <v>104</v>
      </c>
      <c r="AS305" t="s" s="0">
        <v>1281</v>
      </c>
      <c r="AT305" t="s" s="0">
        <v>5248</v>
      </c>
      <c r="AU305" t="s" s="0">
        <v>5249</v>
      </c>
      <c r="AV305" t="s" s="0">
        <v>82</v>
      </c>
      <c r="AW305" t="s" s="0">
        <v>5250</v>
      </c>
      <c r="AX305" t="s" s="0">
        <v>5251</v>
      </c>
      <c r="AY305" t="s" s="0">
        <v>209</v>
      </c>
      <c r="AZ305" t="s" s="0">
        <v>210</v>
      </c>
      <c r="BA305" t="s" s="0">
        <v>4685</v>
      </c>
      <c r="BB305" t="s" s="0">
        <v>221</v>
      </c>
      <c r="BC305" t="s" s="0">
        <v>82</v>
      </c>
      <c r="BD305" t="s" s="0">
        <v>82</v>
      </c>
      <c r="BE305" t="s" s="0">
        <v>82</v>
      </c>
      <c r="BF305" t="s" s="0">
        <v>82</v>
      </c>
      <c r="BG305" t="s" s="0">
        <v>7519</v>
      </c>
      <c r="BH305" t="s" s="0">
        <v>7520</v>
      </c>
      <c r="BI305" t="s" s="0">
        <v>82</v>
      </c>
      <c r="BJ305" t="s" s="0">
        <v>7521</v>
      </c>
      <c r="BK305" t="s" s="606">
        <f>HYPERLINK("http://dx.doi.org/10.1177/02841851231152097","http://dx.doi.org/10.1177/02841851231152097")</f>
        <v>7522</v>
      </c>
      <c r="BL305" t="s" s="0">
        <v>82</v>
      </c>
      <c r="BM305" t="s" s="0">
        <v>728</v>
      </c>
      <c r="BN305" t="s" s="0">
        <v>136</v>
      </c>
      <c r="BO305" t="s" s="0">
        <v>414</v>
      </c>
      <c r="BP305" t="s" s="0">
        <v>414</v>
      </c>
      <c r="BQ305" t="s" s="0">
        <v>7523</v>
      </c>
      <c r="BR305" t="s" s="0">
        <v>7524</v>
      </c>
      <c r="BS305" t="s" s="0">
        <v>7525</v>
      </c>
      <c r="BT305" t="s" s="607">
        <f>HYPERLINK("https://www.webofscience.com/wos/woscc/full-record/WOS:000922964400001","View Record in Web of Science")</f>
        <v>120</v>
      </c>
      <c r="BU305" t="s" s="0">
        <v>82</v>
      </c>
      <c r="BV305" t="s" s="0">
        <v>82</v>
      </c>
      <c r="BW305" t="s" s="0">
        <v>82</v>
      </c>
      <c r="BX305" t="s" s="0">
        <v>122</v>
      </c>
    </row>
    <row r="306">
      <c r="A306" t="s" s="0">
        <v>78</v>
      </c>
      <c r="B306" t="s" s="0">
        <v>78</v>
      </c>
      <c r="C306" t="s" s="0">
        <v>78</v>
      </c>
      <c r="D306" t="s" s="0">
        <v>78</v>
      </c>
      <c r="E306" t="s" s="0">
        <v>7526</v>
      </c>
      <c r="F306" t="s" s="0">
        <v>7527</v>
      </c>
      <c r="G306" t="s" s="0">
        <v>7528</v>
      </c>
      <c r="H306" t="s" s="0">
        <v>82</v>
      </c>
      <c r="I306" t="s" s="0">
        <v>83</v>
      </c>
      <c r="J306" t="s" s="0">
        <v>7529</v>
      </c>
      <c r="K306" t="s" s="0">
        <v>7530</v>
      </c>
      <c r="L306" t="s" s="0">
        <v>7531</v>
      </c>
      <c r="M306" t="s" s="0">
        <v>7532</v>
      </c>
      <c r="N306" t="s" s="0">
        <v>7533</v>
      </c>
      <c r="O306" t="s" s="0">
        <v>7534</v>
      </c>
      <c r="P306" t="s" s="0">
        <v>7535</v>
      </c>
      <c r="Q306" t="s" s="0">
        <v>91</v>
      </c>
      <c r="R306" t="s" s="0">
        <v>82</v>
      </c>
      <c r="S306" t="s" s="0">
        <v>82</v>
      </c>
      <c r="T306" t="s" s="0">
        <v>82</v>
      </c>
      <c r="U306" t="s" s="0">
        <v>82</v>
      </c>
      <c r="V306" t="s" s="0">
        <v>7536</v>
      </c>
      <c r="W306" t="s" s="0">
        <v>771</v>
      </c>
      <c r="X306" t="s" s="0">
        <v>82</v>
      </c>
      <c r="Y306" t="s" s="0">
        <v>82</v>
      </c>
      <c r="Z306" t="s" s="0">
        <v>94</v>
      </c>
      <c r="AA306" t="s" s="0">
        <v>95</v>
      </c>
      <c r="AB306" t="s" s="0">
        <v>82</v>
      </c>
      <c r="AC306" t="s" s="0">
        <v>82</v>
      </c>
      <c r="AD306" t="s" s="0">
        <v>82</v>
      </c>
      <c r="AE306" t="s" s="0">
        <v>82</v>
      </c>
      <c r="AF306" t="s" s="0">
        <v>82</v>
      </c>
      <c r="AG306" t="s" s="0">
        <v>82</v>
      </c>
      <c r="AH306" t="s" s="0">
        <v>7537</v>
      </c>
      <c r="AI306" t="s" s="0">
        <v>7538</v>
      </c>
      <c r="AJ306" t="s" s="0">
        <v>7539</v>
      </c>
      <c r="AK306" t="s" s="0">
        <v>82</v>
      </c>
      <c r="AL306" t="s" s="0">
        <v>632</v>
      </c>
      <c r="AM306" t="s" s="0">
        <v>78</v>
      </c>
      <c r="AN306" t="s" s="0">
        <v>78</v>
      </c>
      <c r="AO306" t="s" s="0">
        <v>77</v>
      </c>
      <c r="AP306" t="s" s="0">
        <v>77</v>
      </c>
      <c r="AQ306" t="s" s="0">
        <v>633</v>
      </c>
      <c r="AR306" t="s" s="0">
        <v>634</v>
      </c>
      <c r="AS306" t="s" s="0">
        <v>635</v>
      </c>
      <c r="AT306" t="s" s="0">
        <v>778</v>
      </c>
      <c r="AU306" t="s" s="0">
        <v>82</v>
      </c>
      <c r="AV306" t="s" s="0">
        <v>82</v>
      </c>
      <c r="AW306" t="s" s="0">
        <v>779</v>
      </c>
      <c r="AX306" t="s" s="0">
        <v>780</v>
      </c>
      <c r="AY306" t="s" s="0">
        <v>7540</v>
      </c>
      <c r="AZ306" t="s" s="0">
        <v>181</v>
      </c>
      <c r="BA306" t="s" s="0">
        <v>319</v>
      </c>
      <c r="BB306" t="s" s="0">
        <v>77</v>
      </c>
      <c r="BC306" t="s" s="0">
        <v>82</v>
      </c>
      <c r="BD306" t="s" s="0">
        <v>82</v>
      </c>
      <c r="BE306" t="s" s="0">
        <v>82</v>
      </c>
      <c r="BF306" t="s" s="0">
        <v>82</v>
      </c>
      <c r="BG306" t="s" s="0">
        <v>82</v>
      </c>
      <c r="BH306" t="s" s="0">
        <v>82</v>
      </c>
      <c r="BI306" t="s" s="0">
        <v>7541</v>
      </c>
      <c r="BJ306" t="s" s="0">
        <v>7542</v>
      </c>
      <c r="BK306" t="s" s="608">
        <f>HYPERLINK("http://dx.doi.org/10.1038/s41746-026-02696-1","http://dx.doi.org/10.1038/s41746-026-02696-1")</f>
        <v>7543</v>
      </c>
      <c r="BL306" t="s" s="0">
        <v>82</v>
      </c>
      <c r="BM306" t="s" s="0">
        <v>1003</v>
      </c>
      <c r="BN306" t="s" s="0">
        <v>349</v>
      </c>
      <c r="BO306" t="s" s="0">
        <v>785</v>
      </c>
      <c r="BP306" t="s" s="0">
        <v>785</v>
      </c>
      <c r="BQ306" t="s" s="0">
        <v>7544</v>
      </c>
      <c r="BR306" t="s" s="0">
        <v>7545</v>
      </c>
      <c r="BS306" t="s" s="0">
        <v>7546</v>
      </c>
      <c r="BT306" t="s" s="609">
        <f>HYPERLINK("https://www.webofscience.com/wos/woscc/full-record/WOS:001815582900002","View Record in Web of Science")</f>
        <v>120</v>
      </c>
      <c r="BU306" t="s" s="0">
        <v>121</v>
      </c>
      <c r="BV306" t="s" s="0">
        <v>82</v>
      </c>
      <c r="BW306" t="s" s="0">
        <v>82</v>
      </c>
      <c r="BX306" t="s" s="0">
        <v>122</v>
      </c>
    </row>
    <row r="307">
      <c r="A307" t="s" s="0">
        <v>101</v>
      </c>
      <c r="B307" t="s" s="0">
        <v>78</v>
      </c>
      <c r="C307" t="s" s="0">
        <v>115</v>
      </c>
      <c r="D307" t="s" s="0">
        <v>78</v>
      </c>
      <c r="E307" t="s" s="0">
        <v>7547</v>
      </c>
      <c r="F307" t="s" s="0">
        <v>7548</v>
      </c>
      <c r="G307" t="s" s="0">
        <v>7549</v>
      </c>
      <c r="H307" t="s" s="0">
        <v>82</v>
      </c>
      <c r="I307" t="s" s="0">
        <v>83</v>
      </c>
      <c r="J307" t="s" s="0">
        <v>7550</v>
      </c>
      <c r="K307" t="s" s="0">
        <v>7551</v>
      </c>
      <c r="L307" t="s" s="0">
        <v>7552</v>
      </c>
      <c r="M307" t="s" s="0">
        <v>7553</v>
      </c>
      <c r="N307" t="s" s="0">
        <v>7554</v>
      </c>
      <c r="O307" t="s" s="0">
        <v>7555</v>
      </c>
      <c r="P307" t="s" s="0">
        <v>7556</v>
      </c>
      <c r="Q307" t="s" s="0">
        <v>91</v>
      </c>
      <c r="R307" t="s" s="0">
        <v>82</v>
      </c>
      <c r="S307" t="s" s="0">
        <v>82</v>
      </c>
      <c r="T307" t="s" s="0">
        <v>82</v>
      </c>
      <c r="U307" t="s" s="0">
        <v>82</v>
      </c>
      <c r="V307" t="s" s="0">
        <v>7557</v>
      </c>
      <c r="W307" t="s" s="0">
        <v>7558</v>
      </c>
      <c r="X307" t="s" s="0">
        <v>82</v>
      </c>
      <c r="Y307" t="s" s="0">
        <v>82</v>
      </c>
      <c r="Z307" t="s" s="0">
        <v>94</v>
      </c>
      <c r="AA307" t="s" s="0">
        <v>95</v>
      </c>
      <c r="AB307" t="s" s="0">
        <v>82</v>
      </c>
      <c r="AC307" t="s" s="0">
        <v>82</v>
      </c>
      <c r="AD307" t="s" s="0">
        <v>82</v>
      </c>
      <c r="AE307" t="s" s="0">
        <v>82</v>
      </c>
      <c r="AF307" t="s" s="0">
        <v>82</v>
      </c>
      <c r="AG307" t="s" s="0">
        <v>7559</v>
      </c>
      <c r="AH307" t="s" s="0">
        <v>7560</v>
      </c>
      <c r="AI307" t="s" s="0">
        <v>7561</v>
      </c>
      <c r="AJ307" t="s" s="0">
        <v>7562</v>
      </c>
      <c r="AK307" t="s" s="0">
        <v>82</v>
      </c>
      <c r="AL307" t="s" s="0">
        <v>201</v>
      </c>
      <c r="AM307" t="s" s="0">
        <v>463</v>
      </c>
      <c r="AN307" t="s" s="0">
        <v>974</v>
      </c>
      <c r="AO307" t="s" s="0">
        <v>78</v>
      </c>
      <c r="AP307" t="s" s="0">
        <v>319</v>
      </c>
      <c r="AQ307" t="s" s="0">
        <v>103</v>
      </c>
      <c r="AR307" t="s" s="0">
        <v>104</v>
      </c>
      <c r="AS307" t="s" s="0">
        <v>105</v>
      </c>
      <c r="AT307" t="s" s="0">
        <v>82</v>
      </c>
      <c r="AU307" t="s" s="0">
        <v>7563</v>
      </c>
      <c r="AV307" t="s" s="0">
        <v>82</v>
      </c>
      <c r="AW307" t="s" s="0">
        <v>7564</v>
      </c>
      <c r="AX307" t="s" s="0">
        <v>7565</v>
      </c>
      <c r="AY307" t="s" s="0">
        <v>7566</v>
      </c>
      <c r="AZ307" t="s" s="0">
        <v>525</v>
      </c>
      <c r="BA307" t="s" s="0">
        <v>640</v>
      </c>
      <c r="BB307" t="s" s="0">
        <v>77</v>
      </c>
      <c r="BC307" t="s" s="0">
        <v>82</v>
      </c>
      <c r="BD307" t="s" s="0">
        <v>82</v>
      </c>
      <c r="BE307" t="s" s="0">
        <v>82</v>
      </c>
      <c r="BF307" t="s" s="0">
        <v>82</v>
      </c>
      <c r="BG307" t="s" s="0">
        <v>82</v>
      </c>
      <c r="BH307" t="s" s="0">
        <v>82</v>
      </c>
      <c r="BI307" t="s" s="0">
        <v>2575</v>
      </c>
      <c r="BJ307" t="s" s="0">
        <v>7567</v>
      </c>
      <c r="BK307" t="s" s="610">
        <f>HYPERLINK("http://dx.doi.org/10.1186/s13014-021-01794-6","http://dx.doi.org/10.1186/s13014-021-01794-6")</f>
        <v>7568</v>
      </c>
      <c r="BL307" t="s" s="0">
        <v>82</v>
      </c>
      <c r="BM307" t="s" s="0">
        <v>82</v>
      </c>
      <c r="BN307" t="s" s="0">
        <v>137</v>
      </c>
      <c r="BO307" t="s" s="0">
        <v>2164</v>
      </c>
      <c r="BP307" t="s" s="0">
        <v>2164</v>
      </c>
      <c r="BQ307" t="s" s="0">
        <v>7569</v>
      </c>
      <c r="BR307" t="s" s="0">
        <v>7570</v>
      </c>
      <c r="BS307" t="s" s="0">
        <v>7571</v>
      </c>
      <c r="BT307" t="s" s="611">
        <f>HYPERLINK("https://www.webofscience.com/wos/woscc/full-record/WOS:000638000700001","View Record in Web of Science")</f>
        <v>120</v>
      </c>
      <c r="BU307" t="s" s="0">
        <v>121</v>
      </c>
      <c r="BV307" t="s" s="0">
        <v>82</v>
      </c>
      <c r="BW307" t="s" s="0">
        <v>82</v>
      </c>
      <c r="BX307" t="s" s="0">
        <v>122</v>
      </c>
    </row>
    <row r="308">
      <c r="A308" t="s" s="0">
        <v>78</v>
      </c>
      <c r="B308" t="s" s="0">
        <v>78</v>
      </c>
      <c r="C308" t="s" s="0">
        <v>78</v>
      </c>
      <c r="D308" t="s" s="0">
        <v>78</v>
      </c>
      <c r="E308" t="s" s="0">
        <v>7572</v>
      </c>
      <c r="F308" t="s" s="0">
        <v>7573</v>
      </c>
      <c r="G308" t="s" s="0">
        <v>7574</v>
      </c>
      <c r="H308" t="s" s="0">
        <v>82</v>
      </c>
      <c r="I308" t="s" s="0">
        <v>297</v>
      </c>
      <c r="J308" t="s" s="0">
        <v>7575</v>
      </c>
      <c r="K308" t="s" s="0">
        <v>7576</v>
      </c>
      <c r="L308" t="s" s="0">
        <v>82</v>
      </c>
      <c r="M308" t="s" s="0">
        <v>82</v>
      </c>
      <c r="N308" t="s" s="0">
        <v>82</v>
      </c>
      <c r="O308" t="s" s="0">
        <v>7577</v>
      </c>
      <c r="P308" t="s" s="0">
        <v>7578</v>
      </c>
      <c r="Q308" t="s" s="0">
        <v>91</v>
      </c>
      <c r="R308" t="s" s="0">
        <v>82</v>
      </c>
      <c r="S308" t="s" s="0">
        <v>82</v>
      </c>
      <c r="T308" t="s" s="0">
        <v>82</v>
      </c>
      <c r="U308" t="s" s="0">
        <v>82</v>
      </c>
      <c r="V308" t="s" s="0">
        <v>7579</v>
      </c>
      <c r="W308" t="s" s="0">
        <v>7580</v>
      </c>
      <c r="X308" t="s" s="0">
        <v>82</v>
      </c>
      <c r="Y308" t="s" s="0">
        <v>82</v>
      </c>
      <c r="Z308" t="s" s="0">
        <v>94</v>
      </c>
      <c r="AA308" t="s" s="0">
        <v>95</v>
      </c>
      <c r="AB308" t="s" s="0">
        <v>82</v>
      </c>
      <c r="AC308" t="s" s="0">
        <v>82</v>
      </c>
      <c r="AD308" t="s" s="0">
        <v>82</v>
      </c>
      <c r="AE308" t="s" s="0">
        <v>82</v>
      </c>
      <c r="AF308" t="s" s="0">
        <v>82</v>
      </c>
      <c r="AG308" t="s" s="0">
        <v>7581</v>
      </c>
      <c r="AH308" t="s" s="0">
        <v>7582</v>
      </c>
      <c r="AI308" t="s" s="0">
        <v>7583</v>
      </c>
      <c r="AJ308" t="s" s="0">
        <v>7584</v>
      </c>
      <c r="AK308" t="s" s="0">
        <v>82</v>
      </c>
      <c r="AL308" t="s" s="0">
        <v>311</v>
      </c>
      <c r="AM308" t="s" s="0">
        <v>447</v>
      </c>
      <c r="AN308" t="s" s="0">
        <v>447</v>
      </c>
      <c r="AO308" t="s" s="0">
        <v>78</v>
      </c>
      <c r="AP308" t="s" s="0">
        <v>78</v>
      </c>
      <c r="AQ308" t="s" s="0">
        <v>7585</v>
      </c>
      <c r="AR308" t="s" s="0">
        <v>7586</v>
      </c>
      <c r="AS308" t="s" s="0">
        <v>7587</v>
      </c>
      <c r="AT308" t="s" s="0">
        <v>7588</v>
      </c>
      <c r="AU308" t="s" s="0">
        <v>82</v>
      </c>
      <c r="AV308" t="s" s="0">
        <v>82</v>
      </c>
      <c r="AW308" t="s" s="0">
        <v>7589</v>
      </c>
      <c r="AX308" t="s" s="0">
        <v>7590</v>
      </c>
      <c r="AY308" t="s" s="0">
        <v>7591</v>
      </c>
      <c r="AZ308" t="s" s="0">
        <v>181</v>
      </c>
      <c r="BA308" t="s" s="0">
        <v>154</v>
      </c>
      <c r="BB308" t="s" s="0">
        <v>447</v>
      </c>
      <c r="BC308" t="s" s="0">
        <v>82</v>
      </c>
      <c r="BD308" t="s" s="0">
        <v>82</v>
      </c>
      <c r="BE308" t="s" s="0">
        <v>82</v>
      </c>
      <c r="BF308" t="s" s="0">
        <v>82</v>
      </c>
      <c r="BG308" t="s" s="0">
        <v>82</v>
      </c>
      <c r="BH308" t="s" s="0">
        <v>82</v>
      </c>
      <c r="BI308" t="s" s="0">
        <v>7592</v>
      </c>
      <c r="BJ308" t="s" s="0">
        <v>7593</v>
      </c>
      <c r="BK308" t="s" s="612">
        <f>HYPERLINK("http://dx.doi.org/10.4254/wjh.v18.i2.111099","http://dx.doi.org/10.4254/wjh.v18.i2.111099")</f>
        <v>7594</v>
      </c>
      <c r="BL308" t="s" s="0">
        <v>82</v>
      </c>
      <c r="BM308" t="s" s="0">
        <v>82</v>
      </c>
      <c r="BN308" t="s" s="0">
        <v>323</v>
      </c>
      <c r="BO308" t="s" s="0">
        <v>924</v>
      </c>
      <c r="BP308" t="s" s="0">
        <v>924</v>
      </c>
      <c r="BQ308" t="s" s="0">
        <v>7595</v>
      </c>
      <c r="BR308" t="s" s="0">
        <v>7596</v>
      </c>
      <c r="BS308" t="s" s="0">
        <v>7597</v>
      </c>
      <c r="BT308" t="s" s="613">
        <f>HYPERLINK("https://www.webofscience.com/wos/woscc/full-record/WOS:001707809900017","View Record in Web of Science")</f>
        <v>120</v>
      </c>
      <c r="BU308" t="s" s="0">
        <v>121</v>
      </c>
      <c r="BV308" t="s" s="0">
        <v>82</v>
      </c>
      <c r="BW308" t="s" s="0">
        <v>82</v>
      </c>
      <c r="BX308" t="s" s="0">
        <v>122</v>
      </c>
    </row>
    <row r="309">
      <c r="A309" t="s" s="0">
        <v>78</v>
      </c>
      <c r="B309" t="s" s="0">
        <v>78</v>
      </c>
      <c r="C309" t="s" s="0">
        <v>447</v>
      </c>
      <c r="D309" t="s" s="0">
        <v>78</v>
      </c>
      <c r="E309" t="s" s="0">
        <v>7598</v>
      </c>
      <c r="F309" t="s" s="0">
        <v>7599</v>
      </c>
      <c r="G309" t="s" s="0">
        <v>7600</v>
      </c>
      <c r="H309" t="s" s="0">
        <v>82</v>
      </c>
      <c r="I309" t="s" s="0">
        <v>589</v>
      </c>
      <c r="J309" t="s" s="0">
        <v>7601</v>
      </c>
      <c r="K309" t="s" s="0">
        <v>7602</v>
      </c>
      <c r="L309" t="s" s="0">
        <v>7603</v>
      </c>
      <c r="M309" t="s" s="0">
        <v>7603</v>
      </c>
      <c r="N309" t="s" s="0">
        <v>7604</v>
      </c>
      <c r="O309" t="s" s="0">
        <v>7605</v>
      </c>
      <c r="P309" t="s" s="0">
        <v>7606</v>
      </c>
      <c r="Q309" t="s" s="0">
        <v>91</v>
      </c>
      <c r="R309" t="s" s="0">
        <v>82</v>
      </c>
      <c r="S309" t="s" s="0">
        <v>82</v>
      </c>
      <c r="T309" t="s" s="0">
        <v>82</v>
      </c>
      <c r="U309" t="s" s="0">
        <v>82</v>
      </c>
      <c r="V309" t="s" s="0">
        <v>7607</v>
      </c>
      <c r="W309" t="s" s="0">
        <v>7608</v>
      </c>
      <c r="X309" t="s" s="0">
        <v>82</v>
      </c>
      <c r="Y309" t="s" s="0">
        <v>82</v>
      </c>
      <c r="Z309" t="s" s="0">
        <v>94</v>
      </c>
      <c r="AA309" t="s" s="0">
        <v>95</v>
      </c>
      <c r="AB309" t="s" s="0">
        <v>82</v>
      </c>
      <c r="AC309" t="s" s="0">
        <v>82</v>
      </c>
      <c r="AD309" t="s" s="0">
        <v>82</v>
      </c>
      <c r="AE309" t="s" s="0">
        <v>82</v>
      </c>
      <c r="AF309" t="s" s="0">
        <v>82</v>
      </c>
      <c r="AG309" t="s" s="0">
        <v>7609</v>
      </c>
      <c r="AH309" t="s" s="0">
        <v>7610</v>
      </c>
      <c r="AI309" t="s" s="0">
        <v>7611</v>
      </c>
      <c r="AJ309" t="s" s="0">
        <v>7612</v>
      </c>
      <c r="AK309" t="s" s="0">
        <v>82</v>
      </c>
      <c r="AL309" t="s" s="0">
        <v>864</v>
      </c>
      <c r="AM309" t="s" s="0">
        <v>137</v>
      </c>
      <c r="AN309" t="s" s="0">
        <v>640</v>
      </c>
      <c r="AO309" t="s" s="0">
        <v>78</v>
      </c>
      <c r="AP309" t="s" s="0">
        <v>136</v>
      </c>
      <c r="AQ309" t="s" s="0">
        <v>968</v>
      </c>
      <c r="AR309" t="s" s="0">
        <v>969</v>
      </c>
      <c r="AS309" t="s" s="0">
        <v>1335</v>
      </c>
      <c r="AT309" t="s" s="0">
        <v>7613</v>
      </c>
      <c r="AU309" t="s" s="0">
        <v>82</v>
      </c>
      <c r="AV309" t="s" s="0">
        <v>82</v>
      </c>
      <c r="AW309" t="s" s="0">
        <v>7614</v>
      </c>
      <c r="AX309" t="s" s="0">
        <v>7615</v>
      </c>
      <c r="AY309" t="s" s="0">
        <v>7616</v>
      </c>
      <c r="AZ309" t="s" s="0">
        <v>284</v>
      </c>
      <c r="BA309" t="s" s="0">
        <v>245</v>
      </c>
      <c r="BB309" t="s" s="0">
        <v>447</v>
      </c>
      <c r="BC309" t="s" s="0">
        <v>82</v>
      </c>
      <c r="BD309" t="s" s="0">
        <v>82</v>
      </c>
      <c r="BE309" t="s" s="0">
        <v>82</v>
      </c>
      <c r="BF309" t="s" s="0">
        <v>82</v>
      </c>
      <c r="BG309" t="s" s="0">
        <v>2556</v>
      </c>
      <c r="BH309" t="s" s="0">
        <v>7617</v>
      </c>
      <c r="BI309" t="s" s="0">
        <v>82</v>
      </c>
      <c r="BJ309" t="s" s="0">
        <v>7618</v>
      </c>
      <c r="BK309" t="s" s="614">
        <f>HYPERLINK("http://dx.doi.org/10.1055/s-0039-1688553","http://dx.doi.org/10.1055/s-0039-1688553")</f>
        <v>7619</v>
      </c>
      <c r="BL309" t="s" s="0">
        <v>82</v>
      </c>
      <c r="BM309" t="s" s="0">
        <v>82</v>
      </c>
      <c r="BN309" t="s" s="0">
        <v>245</v>
      </c>
      <c r="BO309" t="s" s="0">
        <v>1815</v>
      </c>
      <c r="BP309" t="s" s="0">
        <v>1815</v>
      </c>
      <c r="BQ309" t="s" s="0">
        <v>7620</v>
      </c>
      <c r="BR309" t="s" s="0">
        <v>7621</v>
      </c>
      <c r="BS309" t="s" s="0">
        <v>7622</v>
      </c>
      <c r="BT309" t="s" s="615">
        <f>HYPERLINK("https://www.webofscience.com/wos/woscc/full-record/WOS:000468864600002","View Record in Web of Science")</f>
        <v>120</v>
      </c>
      <c r="BU309" t="s" s="0">
        <v>7623</v>
      </c>
      <c r="BV309" t="s" s="0">
        <v>82</v>
      </c>
      <c r="BW309" t="s" s="0">
        <v>82</v>
      </c>
      <c r="BX309" t="s" s="0">
        <v>122</v>
      </c>
    </row>
    <row r="310">
      <c r="A310" t="s" s="0">
        <v>78</v>
      </c>
      <c r="B310" t="s" s="0">
        <v>78</v>
      </c>
      <c r="C310" t="s" s="0">
        <v>447</v>
      </c>
      <c r="D310" t="s" s="0">
        <v>78</v>
      </c>
      <c r="E310" t="s" s="0">
        <v>7624</v>
      </c>
      <c r="F310" t="s" s="0">
        <v>7625</v>
      </c>
      <c r="G310" t="s" s="0">
        <v>7626</v>
      </c>
      <c r="H310" t="s" s="0">
        <v>82</v>
      </c>
      <c r="I310" t="s" s="0">
        <v>83</v>
      </c>
      <c r="J310" t="s" s="0">
        <v>7627</v>
      </c>
      <c r="K310" t="s" s="0">
        <v>7628</v>
      </c>
      <c r="L310" t="s" s="0">
        <v>7629</v>
      </c>
      <c r="M310" t="s" s="0">
        <v>7630</v>
      </c>
      <c r="N310" t="s" s="0">
        <v>7631</v>
      </c>
      <c r="O310" t="s" s="0">
        <v>7632</v>
      </c>
      <c r="P310" t="s" s="0">
        <v>7633</v>
      </c>
      <c r="Q310" t="s" s="0">
        <v>91</v>
      </c>
      <c r="R310" t="s" s="0">
        <v>82</v>
      </c>
      <c r="S310" t="s" s="0">
        <v>82</v>
      </c>
      <c r="T310" t="s" s="0">
        <v>82</v>
      </c>
      <c r="U310" t="s" s="0">
        <v>82</v>
      </c>
      <c r="V310" t="s" s="0">
        <v>7634</v>
      </c>
      <c r="W310" t="s" s="0">
        <v>2046</v>
      </c>
      <c r="X310" t="s" s="0">
        <v>82</v>
      </c>
      <c r="Y310" t="s" s="0">
        <v>82</v>
      </c>
      <c r="Z310" t="s" s="0">
        <v>94</v>
      </c>
      <c r="AA310" t="s" s="0">
        <v>95</v>
      </c>
      <c r="AB310" t="s" s="0">
        <v>82</v>
      </c>
      <c r="AC310" t="s" s="0">
        <v>82</v>
      </c>
      <c r="AD310" t="s" s="0">
        <v>82</v>
      </c>
      <c r="AE310" t="s" s="0">
        <v>82</v>
      </c>
      <c r="AF310" t="s" s="0">
        <v>82</v>
      </c>
      <c r="AG310" t="s" s="0">
        <v>7635</v>
      </c>
      <c r="AH310" t="s" s="0">
        <v>82</v>
      </c>
      <c r="AI310" t="s" s="0">
        <v>7636</v>
      </c>
      <c r="AJ310" t="s" s="0">
        <v>82</v>
      </c>
      <c r="AK310" t="s" s="0">
        <v>82</v>
      </c>
      <c r="AL310" t="s" s="0">
        <v>154</v>
      </c>
      <c r="AM310" t="s" s="0">
        <v>136</v>
      </c>
      <c r="AN310" t="s" s="0">
        <v>136</v>
      </c>
      <c r="AO310" t="s" s="0">
        <v>77</v>
      </c>
      <c r="AP310" t="s" s="0">
        <v>221</v>
      </c>
      <c r="AQ310" t="s" s="0">
        <v>2051</v>
      </c>
      <c r="AR310" t="s" s="0">
        <v>203</v>
      </c>
      <c r="AS310" t="s" s="0">
        <v>2052</v>
      </c>
      <c r="AT310" t="s" s="0">
        <v>2053</v>
      </c>
      <c r="AU310" t="s" s="0">
        <v>2054</v>
      </c>
      <c r="AV310" t="s" s="0">
        <v>82</v>
      </c>
      <c r="AW310" t="s" s="0">
        <v>2055</v>
      </c>
      <c r="AX310" t="s" s="0">
        <v>2056</v>
      </c>
      <c r="AY310" t="s" s="0">
        <v>552</v>
      </c>
      <c r="AZ310" t="s" s="0">
        <v>210</v>
      </c>
      <c r="BA310" t="s" s="0">
        <v>273</v>
      </c>
      <c r="BB310" t="s" s="0">
        <v>137</v>
      </c>
      <c r="BC310" t="s" s="0">
        <v>82</v>
      </c>
      <c r="BD310" t="s" s="0">
        <v>82</v>
      </c>
      <c r="BE310" t="s" s="0">
        <v>82</v>
      </c>
      <c r="BF310" t="s" s="0">
        <v>82</v>
      </c>
      <c r="BG310" t="s" s="0">
        <v>7637</v>
      </c>
      <c r="BH310" t="s" s="0">
        <v>7638</v>
      </c>
      <c r="BI310" t="s" s="0">
        <v>82</v>
      </c>
      <c r="BJ310" t="s" s="0">
        <v>7639</v>
      </c>
      <c r="BK310" t="s" s="616">
        <f>HYPERLINK("http://dx.doi.org/10.1007/s00586-023-07954-4","http://dx.doi.org/10.1007/s00586-023-07954-4")</f>
        <v>7640</v>
      </c>
      <c r="BL310" t="s" s="0">
        <v>82</v>
      </c>
      <c r="BM310" t="s" s="0">
        <v>804</v>
      </c>
      <c r="BN310" t="s" s="0">
        <v>138</v>
      </c>
      <c r="BO310" t="s" s="0">
        <v>2062</v>
      </c>
      <c r="BP310" t="s" s="0">
        <v>2063</v>
      </c>
      <c r="BQ310" t="s" s="0">
        <v>7641</v>
      </c>
      <c r="BR310" t="s" s="0">
        <v>7642</v>
      </c>
      <c r="BS310" t="s" s="0">
        <v>7643</v>
      </c>
      <c r="BT310" t="s" s="617">
        <f>HYPERLINK("https://www.webofscience.com/wos/woscc/full-record/WOS:001077506500002","View Record in Web of Science")</f>
        <v>120</v>
      </c>
      <c r="BU310" t="s" s="0">
        <v>1265</v>
      </c>
      <c r="BV310" t="s" s="0">
        <v>82</v>
      </c>
      <c r="BW310" t="s" s="0">
        <v>82</v>
      </c>
      <c r="BX310" t="s" s="0">
        <v>122</v>
      </c>
    </row>
    <row r="311">
      <c r="A311" t="s" s="0">
        <v>78</v>
      </c>
      <c r="B311" t="s" s="0">
        <v>78</v>
      </c>
      <c r="C311" t="s" s="0">
        <v>239</v>
      </c>
      <c r="D311" t="s" s="0">
        <v>77</v>
      </c>
      <c r="E311" t="s" s="0">
        <v>7644</v>
      </c>
      <c r="F311" t="s" s="0">
        <v>7645</v>
      </c>
      <c r="G311" t="s" s="0">
        <v>7646</v>
      </c>
      <c r="H311" t="s" s="0">
        <v>82</v>
      </c>
      <c r="I311" t="s" s="0">
        <v>83</v>
      </c>
      <c r="J311" t="s" s="0">
        <v>7647</v>
      </c>
      <c r="K311" t="s" s="0">
        <v>7648</v>
      </c>
      <c r="L311" t="s" s="0">
        <v>7649</v>
      </c>
      <c r="M311" t="s" s="0">
        <v>7650</v>
      </c>
      <c r="N311" t="s" s="0">
        <v>7651</v>
      </c>
      <c r="O311" t="s" s="0">
        <v>7652</v>
      </c>
      <c r="P311" t="s" s="0">
        <v>7653</v>
      </c>
      <c r="Q311" t="s" s="0">
        <v>91</v>
      </c>
      <c r="R311" t="s" s="0">
        <v>82</v>
      </c>
      <c r="S311" t="s" s="0">
        <v>82</v>
      </c>
      <c r="T311" t="s" s="0">
        <v>82</v>
      </c>
      <c r="U311" t="s" s="0">
        <v>82</v>
      </c>
      <c r="V311" t="s" s="0">
        <v>7654</v>
      </c>
      <c r="W311" t="s" s="0">
        <v>233</v>
      </c>
      <c r="X311" t="s" s="0">
        <v>82</v>
      </c>
      <c r="Y311" t="s" s="0">
        <v>82</v>
      </c>
      <c r="Z311" t="s" s="0">
        <v>94</v>
      </c>
      <c r="AA311" t="s" s="0">
        <v>95</v>
      </c>
      <c r="AB311" t="s" s="0">
        <v>82</v>
      </c>
      <c r="AC311" t="s" s="0">
        <v>82</v>
      </c>
      <c r="AD311" t="s" s="0">
        <v>82</v>
      </c>
      <c r="AE311" t="s" s="0">
        <v>82</v>
      </c>
      <c r="AF311" t="s" s="0">
        <v>82</v>
      </c>
      <c r="AG311" t="s" s="0">
        <v>7655</v>
      </c>
      <c r="AH311" t="s" s="0">
        <v>7656</v>
      </c>
      <c r="AI311" t="s" s="0">
        <v>7657</v>
      </c>
      <c r="AJ311" t="s" s="0">
        <v>7658</v>
      </c>
      <c r="AK311" t="s" s="0">
        <v>82</v>
      </c>
      <c r="AL311" t="s" s="0">
        <v>1279</v>
      </c>
      <c r="AM311" t="s" s="0">
        <v>1026</v>
      </c>
      <c r="AN311" t="s" s="0">
        <v>2191</v>
      </c>
      <c r="AO311" t="s" s="0">
        <v>78</v>
      </c>
      <c r="AP311" t="s" s="0">
        <v>138</v>
      </c>
      <c r="AQ311" t="s" s="0">
        <v>174</v>
      </c>
      <c r="AR311" t="s" s="0">
        <v>175</v>
      </c>
      <c r="AS311" t="s" s="0">
        <v>176</v>
      </c>
      <c r="AT311" t="s" s="0">
        <v>240</v>
      </c>
      <c r="AU311" t="s" s="0">
        <v>241</v>
      </c>
      <c r="AV311" t="s" s="0">
        <v>82</v>
      </c>
      <c r="AW311" t="s" s="0">
        <v>233</v>
      </c>
      <c r="AX311" t="s" s="0">
        <v>242</v>
      </c>
      <c r="AY311" t="s" s="0">
        <v>2190</v>
      </c>
      <c r="AZ311" t="s" s="0">
        <v>1035</v>
      </c>
      <c r="BA311" t="s" s="0">
        <v>3031</v>
      </c>
      <c r="BB311" t="s" s="0">
        <v>77</v>
      </c>
      <c r="BC311" t="s" s="0">
        <v>82</v>
      </c>
      <c r="BD311" t="s" s="0">
        <v>82</v>
      </c>
      <c r="BE311" t="s" s="0">
        <v>82</v>
      </c>
      <c r="BF311" t="s" s="0">
        <v>82</v>
      </c>
      <c r="BG311" t="s" s="0">
        <v>344</v>
      </c>
      <c r="BH311" t="s" s="0">
        <v>3171</v>
      </c>
      <c r="BI311" t="s" s="0">
        <v>82</v>
      </c>
      <c r="BJ311" t="s" s="0">
        <v>7659</v>
      </c>
      <c r="BK311" t="s" s="618">
        <f>HYPERLINK("http://dx.doi.org/10.1111/epi.16398","http://dx.doi.org/10.1111/epi.16398")</f>
        <v>7660</v>
      </c>
      <c r="BL311" t="s" s="0">
        <v>82</v>
      </c>
      <c r="BM311" t="s" s="0">
        <v>1257</v>
      </c>
      <c r="BN311" t="s" s="0">
        <v>245</v>
      </c>
      <c r="BO311" t="s" s="0">
        <v>251</v>
      </c>
      <c r="BP311" t="s" s="0">
        <v>252</v>
      </c>
      <c r="BQ311" t="s" s="0">
        <v>7661</v>
      </c>
      <c r="BR311" t="s" s="0">
        <v>7662</v>
      </c>
      <c r="BS311" t="s" s="0">
        <v>7663</v>
      </c>
      <c r="BT311" t="s" s="619">
        <f>HYPERLINK("https://www.webofscience.com/wos/woscc/full-record/WOS:000499372100001","View Record in Web of Science")</f>
        <v>120</v>
      </c>
      <c r="BU311" t="s" s="0">
        <v>1265</v>
      </c>
      <c r="BV311" t="s" s="0">
        <v>82</v>
      </c>
      <c r="BW311" t="s" s="0">
        <v>82</v>
      </c>
      <c r="BX311" t="s" s="0">
        <v>122</v>
      </c>
    </row>
    <row r="312">
      <c r="A312" t="s" s="0">
        <v>78</v>
      </c>
      <c r="B312" t="s" s="0">
        <v>78</v>
      </c>
      <c r="C312" t="s" s="0">
        <v>78</v>
      </c>
      <c r="D312" t="s" s="0">
        <v>78</v>
      </c>
      <c r="E312" t="s" s="0">
        <v>7664</v>
      </c>
      <c r="F312" t="s" s="0">
        <v>7665</v>
      </c>
      <c r="G312" t="s" s="0">
        <v>7666</v>
      </c>
      <c r="H312" t="s" s="0">
        <v>82</v>
      </c>
      <c r="I312" t="s" s="0">
        <v>83</v>
      </c>
      <c r="J312" t="s" s="0">
        <v>7667</v>
      </c>
      <c r="K312" t="s" s="0">
        <v>7668</v>
      </c>
      <c r="L312" t="s" s="0">
        <v>7669</v>
      </c>
      <c r="M312" t="s" s="0">
        <v>7670</v>
      </c>
      <c r="N312" t="s" s="0">
        <v>7671</v>
      </c>
      <c r="O312" t="s" s="0">
        <v>7672</v>
      </c>
      <c r="P312" t="s" s="0">
        <v>7673</v>
      </c>
      <c r="Q312" t="s" s="0">
        <v>91</v>
      </c>
      <c r="R312" t="s" s="0">
        <v>82</v>
      </c>
      <c r="S312" t="s" s="0">
        <v>82</v>
      </c>
      <c r="T312" t="s" s="0">
        <v>82</v>
      </c>
      <c r="U312" t="s" s="0">
        <v>82</v>
      </c>
      <c r="V312" t="s" s="0">
        <v>7674</v>
      </c>
      <c r="W312" t="s" s="0">
        <v>7675</v>
      </c>
      <c r="X312" t="s" s="0">
        <v>82</v>
      </c>
      <c r="Y312" t="s" s="0">
        <v>82</v>
      </c>
      <c r="Z312" t="s" s="0">
        <v>94</v>
      </c>
      <c r="AA312" t="s" s="0">
        <v>95</v>
      </c>
      <c r="AB312" t="s" s="0">
        <v>82</v>
      </c>
      <c r="AC312" t="s" s="0">
        <v>82</v>
      </c>
      <c r="AD312" t="s" s="0">
        <v>82</v>
      </c>
      <c r="AE312" t="s" s="0">
        <v>82</v>
      </c>
      <c r="AF312" t="s" s="0">
        <v>82</v>
      </c>
      <c r="AG312" t="s" s="0">
        <v>7676</v>
      </c>
      <c r="AH312" t="s" s="0">
        <v>7677</v>
      </c>
      <c r="AI312" t="s" s="0">
        <v>7678</v>
      </c>
      <c r="AJ312" t="s" s="0">
        <v>7679</v>
      </c>
      <c r="AK312" t="s" s="0">
        <v>82</v>
      </c>
      <c r="AL312" t="s" s="0">
        <v>828</v>
      </c>
      <c r="AM312" t="s" s="0">
        <v>78</v>
      </c>
      <c r="AN312" t="s" s="0">
        <v>78</v>
      </c>
      <c r="AO312" t="s" s="0">
        <v>447</v>
      </c>
      <c r="AP312" t="s" s="0">
        <v>102</v>
      </c>
      <c r="AQ312" t="s" s="0">
        <v>103</v>
      </c>
      <c r="AR312" t="s" s="0">
        <v>104</v>
      </c>
      <c r="AS312" t="s" s="0">
        <v>105</v>
      </c>
      <c r="AT312" t="s" s="0">
        <v>82</v>
      </c>
      <c r="AU312" t="s" s="0">
        <v>7680</v>
      </c>
      <c r="AV312" t="s" s="0">
        <v>82</v>
      </c>
      <c r="AW312" t="s" s="0">
        <v>7681</v>
      </c>
      <c r="AX312" t="s" s="0">
        <v>7682</v>
      </c>
      <c r="AY312" t="s" s="0">
        <v>7683</v>
      </c>
      <c r="AZ312" t="s" s="0">
        <v>147</v>
      </c>
      <c r="BA312" t="s" s="0">
        <v>111</v>
      </c>
      <c r="BB312" t="s" s="0">
        <v>77</v>
      </c>
      <c r="BC312" t="s" s="0">
        <v>82</v>
      </c>
      <c r="BD312" t="s" s="0">
        <v>82</v>
      </c>
      <c r="BE312" t="s" s="0">
        <v>82</v>
      </c>
      <c r="BF312" t="s" s="0">
        <v>82</v>
      </c>
      <c r="BG312" t="s" s="0">
        <v>82</v>
      </c>
      <c r="BH312" t="s" s="0">
        <v>82</v>
      </c>
      <c r="BI312" t="s" s="0">
        <v>7684</v>
      </c>
      <c r="BJ312" t="s" s="0">
        <v>7685</v>
      </c>
      <c r="BK312" t="s" s="620">
        <f>HYPERLINK("http://dx.doi.org/10.1186/s12879-025-12087-8","http://dx.doi.org/10.1186/s12879-025-12087-8")</f>
        <v>7686</v>
      </c>
      <c r="BL312" t="s" s="0">
        <v>82</v>
      </c>
      <c r="BM312" t="s" s="0">
        <v>82</v>
      </c>
      <c r="BN312" t="s" s="0">
        <v>149</v>
      </c>
      <c r="BO312" t="s" s="0">
        <v>7687</v>
      </c>
      <c r="BP312" t="s" s="0">
        <v>7687</v>
      </c>
      <c r="BQ312" t="s" s="0">
        <v>7688</v>
      </c>
      <c r="BR312" t="s" s="0">
        <v>7689</v>
      </c>
      <c r="BS312" t="s" s="0">
        <v>7690</v>
      </c>
      <c r="BT312" t="s" s="621">
        <f>HYPERLINK("https://www.webofscience.com/wos/woscc/full-record/WOS:001625377200005","View Record in Web of Science")</f>
        <v>120</v>
      </c>
      <c r="BU312" t="s" s="0">
        <v>121</v>
      </c>
      <c r="BV312" t="s" s="0">
        <v>82</v>
      </c>
      <c r="BW312" t="s" s="0">
        <v>82</v>
      </c>
      <c r="BX312" t="s" s="0">
        <v>122</v>
      </c>
    </row>
    <row r="313">
      <c r="A313" t="s" s="0">
        <v>77</v>
      </c>
      <c r="B313" t="s" s="0">
        <v>78</v>
      </c>
      <c r="C313" t="s" s="0">
        <v>137</v>
      </c>
      <c r="D313" t="s" s="0">
        <v>78</v>
      </c>
      <c r="E313" t="s" s="0">
        <v>7691</v>
      </c>
      <c r="F313" t="s" s="0">
        <v>7692</v>
      </c>
      <c r="G313" t="s" s="0">
        <v>7693</v>
      </c>
      <c r="H313" t="s" s="0">
        <v>82</v>
      </c>
      <c r="I313" t="s" s="0">
        <v>83</v>
      </c>
      <c r="J313" t="s" s="0">
        <v>7694</v>
      </c>
      <c r="K313" t="s" s="0">
        <v>7695</v>
      </c>
      <c r="L313" t="s" s="0">
        <v>7696</v>
      </c>
      <c r="M313" t="s" s="0">
        <v>7697</v>
      </c>
      <c r="N313" t="s" s="0">
        <v>7698</v>
      </c>
      <c r="O313" t="s" s="0">
        <v>7699</v>
      </c>
      <c r="P313" t="s" s="0">
        <v>7700</v>
      </c>
      <c r="Q313" t="s" s="0">
        <v>91</v>
      </c>
      <c r="R313" t="s" s="0">
        <v>82</v>
      </c>
      <c r="S313" t="s" s="0">
        <v>7701</v>
      </c>
      <c r="T313" t="s" s="0">
        <v>82</v>
      </c>
      <c r="U313" t="s" s="0">
        <v>82</v>
      </c>
      <c r="V313" t="s" s="0">
        <v>7702</v>
      </c>
      <c r="W313" t="s" s="0">
        <v>7703</v>
      </c>
      <c r="X313" t="s" s="0">
        <v>82</v>
      </c>
      <c r="Y313" t="s" s="0">
        <v>82</v>
      </c>
      <c r="Z313" t="s" s="0">
        <v>94</v>
      </c>
      <c r="AA313" t="s" s="0">
        <v>95</v>
      </c>
      <c r="AB313" t="s" s="0">
        <v>82</v>
      </c>
      <c r="AC313" t="s" s="0">
        <v>82</v>
      </c>
      <c r="AD313" t="s" s="0">
        <v>82</v>
      </c>
      <c r="AE313" t="s" s="0">
        <v>82</v>
      </c>
      <c r="AF313" t="s" s="0">
        <v>82</v>
      </c>
      <c r="AG313" t="s" s="0">
        <v>7704</v>
      </c>
      <c r="AH313" t="s" s="0">
        <v>7705</v>
      </c>
      <c r="AI313" t="s" s="0">
        <v>7706</v>
      </c>
      <c r="AJ313" t="s" s="0">
        <v>7707</v>
      </c>
      <c r="AK313" t="s" s="0">
        <v>82</v>
      </c>
      <c r="AL313" t="s" s="0">
        <v>201</v>
      </c>
      <c r="AM313" t="s" s="0">
        <v>1658</v>
      </c>
      <c r="AN313" t="s" s="0">
        <v>3171</v>
      </c>
      <c r="AO313" t="s" s="0">
        <v>78</v>
      </c>
      <c r="AP313" t="s" s="0">
        <v>149</v>
      </c>
      <c r="AQ313" t="s" s="0">
        <v>7708</v>
      </c>
      <c r="AR313" t="s" s="0">
        <v>7709</v>
      </c>
      <c r="AS313" t="s" s="0">
        <v>7710</v>
      </c>
      <c r="AT313" t="s" s="0">
        <v>7711</v>
      </c>
      <c r="AU313" t="s" s="0">
        <v>7712</v>
      </c>
      <c r="AV313" t="s" s="0">
        <v>82</v>
      </c>
      <c r="AW313" t="s" s="0">
        <v>7713</v>
      </c>
      <c r="AX313" t="s" s="0">
        <v>7714</v>
      </c>
      <c r="AY313" t="s" s="0">
        <v>7715</v>
      </c>
      <c r="AZ313" t="s" s="0">
        <v>1035</v>
      </c>
      <c r="BA313" t="s" s="0">
        <v>137</v>
      </c>
      <c r="BB313" t="s" s="0">
        <v>101</v>
      </c>
      <c r="BC313" t="s" s="0">
        <v>2057</v>
      </c>
      <c r="BD313" t="s" s="0">
        <v>82</v>
      </c>
      <c r="BE313" t="s" s="0">
        <v>82</v>
      </c>
      <c r="BF313" t="s" s="0">
        <v>82</v>
      </c>
      <c r="BG313" t="s" s="0">
        <v>2632</v>
      </c>
      <c r="BH313" t="s" s="0">
        <v>7716</v>
      </c>
      <c r="BI313" t="s" s="0">
        <v>82</v>
      </c>
      <c r="BJ313" t="s" s="0">
        <v>7717</v>
      </c>
      <c r="BK313" t="s" s="622">
        <f>HYPERLINK("http://dx.doi.org/10.1007/s13167-020-00216-z","http://dx.doi.org/10.1007/s13167-020-00216-z")</f>
        <v>7718</v>
      </c>
      <c r="BL313" t="s" s="0">
        <v>82</v>
      </c>
      <c r="BM313" t="s" s="0">
        <v>7719</v>
      </c>
      <c r="BN313" t="s" s="0">
        <v>245</v>
      </c>
      <c r="BO313" t="s" s="0">
        <v>6527</v>
      </c>
      <c r="BP313" t="s" s="0">
        <v>6528</v>
      </c>
      <c r="BQ313" t="s" s="0">
        <v>7720</v>
      </c>
      <c r="BR313" t="s" s="0">
        <v>7721</v>
      </c>
      <c r="BS313" t="s" s="0">
        <v>7722</v>
      </c>
      <c r="BT313" t="s" s="623">
        <f>HYPERLINK("https://www.webofscience.com/wos/woscc/full-record/WOS:000542081600001","View Record in Web of Science")</f>
        <v>120</v>
      </c>
      <c r="BU313" t="s" s="0">
        <v>2442</v>
      </c>
      <c r="BV313" t="s" s="0">
        <v>82</v>
      </c>
      <c r="BW313" t="s" s="0">
        <v>82</v>
      </c>
      <c r="BX313" t="s" s="0">
        <v>122</v>
      </c>
    </row>
    <row r="314">
      <c r="A314" t="s" s="0">
        <v>78</v>
      </c>
      <c r="B314" t="s" s="0">
        <v>78</v>
      </c>
      <c r="C314" t="s" s="0">
        <v>77</v>
      </c>
      <c r="D314" t="s" s="0">
        <v>78</v>
      </c>
      <c r="E314" t="s" s="0">
        <v>7723</v>
      </c>
      <c r="F314" t="s" s="0">
        <v>7724</v>
      </c>
      <c r="G314" t="s" s="0">
        <v>7725</v>
      </c>
      <c r="H314" t="s" s="0">
        <v>82</v>
      </c>
      <c r="I314" t="s" s="0">
        <v>83</v>
      </c>
      <c r="J314" t="s" s="0">
        <v>7726</v>
      </c>
      <c r="K314" t="s" s="0">
        <v>7727</v>
      </c>
      <c r="L314" t="s" s="0">
        <v>82</v>
      </c>
      <c r="M314" t="s" s="0">
        <v>82</v>
      </c>
      <c r="N314" t="s" s="0">
        <v>82</v>
      </c>
      <c r="O314" t="s" s="0">
        <v>7728</v>
      </c>
      <c r="P314" t="s" s="0">
        <v>7729</v>
      </c>
      <c r="Q314" t="s" s="0">
        <v>91</v>
      </c>
      <c r="R314" t="s" s="0">
        <v>82</v>
      </c>
      <c r="S314" t="s" s="0">
        <v>7730</v>
      </c>
      <c r="T314" t="s" s="0">
        <v>82</v>
      </c>
      <c r="U314" t="s" s="0">
        <v>82</v>
      </c>
      <c r="V314" t="s" s="0">
        <v>7731</v>
      </c>
      <c r="W314" t="s" s="0">
        <v>4291</v>
      </c>
      <c r="X314" t="s" s="0">
        <v>82</v>
      </c>
      <c r="Y314" t="s" s="0">
        <v>82</v>
      </c>
      <c r="Z314" t="s" s="0">
        <v>94</v>
      </c>
      <c r="AA314" t="s" s="0">
        <v>95</v>
      </c>
      <c r="AB314" t="s" s="0">
        <v>82</v>
      </c>
      <c r="AC314" t="s" s="0">
        <v>82</v>
      </c>
      <c r="AD314" t="s" s="0">
        <v>82</v>
      </c>
      <c r="AE314" t="s" s="0">
        <v>82</v>
      </c>
      <c r="AF314" t="s" s="0">
        <v>82</v>
      </c>
      <c r="AG314" t="s" s="0">
        <v>82</v>
      </c>
      <c r="AH314" t="s" s="0">
        <v>82</v>
      </c>
      <c r="AI314" t="s" s="0">
        <v>7732</v>
      </c>
      <c r="AJ314" t="s" s="0">
        <v>7733</v>
      </c>
      <c r="AK314" t="s" s="0">
        <v>82</v>
      </c>
      <c r="AL314" t="s" s="0">
        <v>311</v>
      </c>
      <c r="AM314" t="s" s="0">
        <v>221</v>
      </c>
      <c r="AN314" t="s" s="0">
        <v>138</v>
      </c>
      <c r="AO314" t="s" s="0">
        <v>78</v>
      </c>
      <c r="AP314" t="s" s="0">
        <v>102</v>
      </c>
      <c r="AQ314" t="s" s="0">
        <v>4295</v>
      </c>
      <c r="AR314" t="s" s="0">
        <v>4296</v>
      </c>
      <c r="AS314" t="s" s="0">
        <v>4297</v>
      </c>
      <c r="AT314" t="s" s="0">
        <v>82</v>
      </c>
      <c r="AU314" t="s" s="0">
        <v>4298</v>
      </c>
      <c r="AV314" t="s" s="0">
        <v>82</v>
      </c>
      <c r="AW314" t="s" s="0">
        <v>4291</v>
      </c>
      <c r="AX314" t="s" s="0">
        <v>4299</v>
      </c>
      <c r="AY314" t="s" s="0">
        <v>7734</v>
      </c>
      <c r="AZ314" t="s" s="0">
        <v>525</v>
      </c>
      <c r="BA314" t="s" s="0">
        <v>640</v>
      </c>
      <c r="BB314" t="s" s="0">
        <v>137</v>
      </c>
      <c r="BC314" t="s" s="0">
        <v>82</v>
      </c>
      <c r="BD314" t="s" s="0">
        <v>82</v>
      </c>
      <c r="BE314" t="s" s="0">
        <v>82</v>
      </c>
      <c r="BF314" t="s" s="0">
        <v>82</v>
      </c>
      <c r="BG314" t="s" s="0">
        <v>82</v>
      </c>
      <c r="BH314" t="s" s="0">
        <v>82</v>
      </c>
      <c r="BI314" t="s" s="0">
        <v>7735</v>
      </c>
      <c r="BJ314" t="s" s="0">
        <v>7736</v>
      </c>
      <c r="BK314" t="s" s="624">
        <f>HYPERLINK("http://dx.doi.org/10.1371/journal.pone.0258760","http://dx.doi.org/10.1371/journal.pone.0258760")</f>
        <v>7737</v>
      </c>
      <c r="BL314" t="s" s="0">
        <v>82</v>
      </c>
      <c r="BM314" t="s" s="0">
        <v>82</v>
      </c>
      <c r="BN314" t="s" s="0">
        <v>349</v>
      </c>
      <c r="BO314" t="s" s="0">
        <v>644</v>
      </c>
      <c r="BP314" t="s" s="0">
        <v>645</v>
      </c>
      <c r="BQ314" t="s" s="0">
        <v>7738</v>
      </c>
      <c r="BR314" t="s" s="0">
        <v>7739</v>
      </c>
      <c r="BS314" t="s" s="0">
        <v>7740</v>
      </c>
      <c r="BT314" t="s" s="625">
        <f>HYPERLINK("https://www.webofscience.com/wos/woscc/full-record/WOS:000755077100032","View Record in Web of Science")</f>
        <v>120</v>
      </c>
      <c r="BU314" t="s" s="0">
        <v>121</v>
      </c>
      <c r="BV314" t="s" s="0">
        <v>82</v>
      </c>
      <c r="BW314" t="s" s="0">
        <v>82</v>
      </c>
      <c r="BX314" t="s" s="0">
        <v>122</v>
      </c>
    </row>
    <row r="315">
      <c r="A315" t="s" s="0">
        <v>78</v>
      </c>
      <c r="B315" t="s" s="0">
        <v>78</v>
      </c>
      <c r="C315" t="s" s="0">
        <v>78</v>
      </c>
      <c r="D315" t="s" s="0">
        <v>78</v>
      </c>
      <c r="E315" t="s" s="0">
        <v>7741</v>
      </c>
      <c r="F315" t="s" s="0">
        <v>7742</v>
      </c>
      <c r="G315" t="s" s="0">
        <v>7743</v>
      </c>
      <c r="H315" t="s" s="0">
        <v>82</v>
      </c>
      <c r="I315" t="s" s="0">
        <v>83</v>
      </c>
      <c r="J315" t="s" s="0">
        <v>7744</v>
      </c>
      <c r="K315" t="s" s="0">
        <v>7745</v>
      </c>
      <c r="L315" t="s" s="0">
        <v>7746</v>
      </c>
      <c r="M315" t="s" s="0">
        <v>7746</v>
      </c>
      <c r="N315" t="s" s="0">
        <v>7747</v>
      </c>
      <c r="O315" t="s" s="0">
        <v>7748</v>
      </c>
      <c r="P315" t="s" s="0">
        <v>7749</v>
      </c>
      <c r="Q315" t="s" s="0">
        <v>91</v>
      </c>
      <c r="R315" t="s" s="0">
        <v>82</v>
      </c>
      <c r="S315" t="s" s="0">
        <v>82</v>
      </c>
      <c r="T315" t="s" s="0">
        <v>82</v>
      </c>
      <c r="U315" t="s" s="0">
        <v>82</v>
      </c>
      <c r="V315" t="s" s="0">
        <v>7750</v>
      </c>
      <c r="W315" t="s" s="0">
        <v>7751</v>
      </c>
      <c r="X315" t="s" s="0">
        <v>82</v>
      </c>
      <c r="Y315" t="s" s="0">
        <v>82</v>
      </c>
      <c r="Z315" t="s" s="0">
        <v>94</v>
      </c>
      <c r="AA315" t="s" s="0">
        <v>95</v>
      </c>
      <c r="AB315" t="s" s="0">
        <v>82</v>
      </c>
      <c r="AC315" t="s" s="0">
        <v>82</v>
      </c>
      <c r="AD315" t="s" s="0">
        <v>82</v>
      </c>
      <c r="AE315" t="s" s="0">
        <v>82</v>
      </c>
      <c r="AF315" t="s" s="0">
        <v>82</v>
      </c>
      <c r="AG315" t="s" s="0">
        <v>7752</v>
      </c>
      <c r="AH315" t="s" s="0">
        <v>7753</v>
      </c>
      <c r="AI315" t="s" s="0">
        <v>7754</v>
      </c>
      <c r="AJ315" t="s" s="0">
        <v>82</v>
      </c>
      <c r="AK315" t="s" s="0">
        <v>82</v>
      </c>
      <c r="AL315" t="s" s="0">
        <v>115</v>
      </c>
      <c r="AM315" t="s" s="0">
        <v>78</v>
      </c>
      <c r="AN315" t="s" s="0">
        <v>78</v>
      </c>
      <c r="AO315" t="s" s="0">
        <v>78</v>
      </c>
      <c r="AP315" t="s" s="0">
        <v>78</v>
      </c>
      <c r="AQ315" t="s" s="0">
        <v>202</v>
      </c>
      <c r="AR315" t="s" s="0">
        <v>203</v>
      </c>
      <c r="AS315" t="s" s="0">
        <v>7020</v>
      </c>
      <c r="AT315" t="s" s="0">
        <v>7755</v>
      </c>
      <c r="AU315" t="s" s="0">
        <v>7756</v>
      </c>
      <c r="AV315" t="s" s="0">
        <v>82</v>
      </c>
      <c r="AW315" t="s" s="0">
        <v>7751</v>
      </c>
      <c r="AX315" t="s" s="0">
        <v>7757</v>
      </c>
      <c r="AY315" t="s" s="0">
        <v>1365</v>
      </c>
      <c r="AZ315" t="s" s="0">
        <v>181</v>
      </c>
      <c r="BA315" t="s" s="0">
        <v>685</v>
      </c>
      <c r="BB315" t="s" s="0">
        <v>102</v>
      </c>
      <c r="BC315" t="s" s="0">
        <v>82</v>
      </c>
      <c r="BD315" t="s" s="0">
        <v>82</v>
      </c>
      <c r="BE315" t="s" s="0">
        <v>82</v>
      </c>
      <c r="BF315" t="s" s="0">
        <v>82</v>
      </c>
      <c r="BG315" t="s" s="0">
        <v>7758</v>
      </c>
      <c r="BH315" t="s" s="0">
        <v>6627</v>
      </c>
      <c r="BI315" t="s" s="0">
        <v>82</v>
      </c>
      <c r="BJ315" t="s" s="0">
        <v>7759</v>
      </c>
      <c r="BK315" t="s" s="626">
        <f>HYPERLINK("http://dx.doi.org/10.1016/j.hrthm.2026.01.014","http://dx.doi.org/10.1016/j.hrthm.2026.01.014")</f>
        <v>7760</v>
      </c>
      <c r="BL315" t="s" s="0">
        <v>82</v>
      </c>
      <c r="BM315" t="s" s="0">
        <v>153</v>
      </c>
      <c r="BN315" t="s" s="0">
        <v>138</v>
      </c>
      <c r="BO315" t="s" s="0">
        <v>503</v>
      </c>
      <c r="BP315" t="s" s="0">
        <v>504</v>
      </c>
      <c r="BQ315" t="s" s="0">
        <v>7761</v>
      </c>
      <c r="BR315" t="s" s="0">
        <v>7762</v>
      </c>
      <c r="BS315" t="s" s="0">
        <v>7763</v>
      </c>
      <c r="BT315" t="s" s="627">
        <f>HYPERLINK("https://www.webofscience.com/wos/woscc/full-record/WOS:001735118000001","View Record in Web of Science")</f>
        <v>120</v>
      </c>
      <c r="BU315" t="s" s="0">
        <v>256</v>
      </c>
      <c r="BV315" t="s" s="0">
        <v>82</v>
      </c>
      <c r="BW315" t="s" s="0">
        <v>82</v>
      </c>
      <c r="BX315" t="s" s="0">
        <v>122</v>
      </c>
    </row>
    <row r="316">
      <c r="A316" t="s" s="0">
        <v>78</v>
      </c>
      <c r="B316" t="s" s="0">
        <v>78</v>
      </c>
      <c r="C316" t="s" s="0">
        <v>78</v>
      </c>
      <c r="D316" t="s" s="0">
        <v>78</v>
      </c>
      <c r="E316" t="s" s="0">
        <v>7764</v>
      </c>
      <c r="F316" t="s" s="0">
        <v>7765</v>
      </c>
      <c r="G316" t="s" s="0">
        <v>7766</v>
      </c>
      <c r="H316" t="s" s="0">
        <v>82</v>
      </c>
      <c r="I316" t="s" s="0">
        <v>83</v>
      </c>
      <c r="J316" t="s" s="0">
        <v>7767</v>
      </c>
      <c r="K316" t="s" s="0">
        <v>7768</v>
      </c>
      <c r="L316" t="s" s="0">
        <v>7769</v>
      </c>
      <c r="M316" t="s" s="0">
        <v>7770</v>
      </c>
      <c r="N316" t="s" s="0">
        <v>7771</v>
      </c>
      <c r="O316" t="s" s="0">
        <v>7772</v>
      </c>
      <c r="P316" t="s" s="0">
        <v>7773</v>
      </c>
      <c r="Q316" t="s" s="0">
        <v>91</v>
      </c>
      <c r="R316" t="s" s="0">
        <v>82</v>
      </c>
      <c r="S316" t="s" s="0">
        <v>82</v>
      </c>
      <c r="T316" t="s" s="0">
        <v>82</v>
      </c>
      <c r="U316" t="s" s="0">
        <v>82</v>
      </c>
      <c r="V316" t="s" s="0">
        <v>7774</v>
      </c>
      <c r="W316" t="s" s="0">
        <v>7775</v>
      </c>
      <c r="X316" t="s" s="0">
        <v>82</v>
      </c>
      <c r="Y316" t="s" s="0">
        <v>82</v>
      </c>
      <c r="Z316" t="s" s="0">
        <v>94</v>
      </c>
      <c r="AA316" t="s" s="0">
        <v>95</v>
      </c>
      <c r="AB316" t="s" s="0">
        <v>82</v>
      </c>
      <c r="AC316" t="s" s="0">
        <v>82</v>
      </c>
      <c r="AD316" t="s" s="0">
        <v>82</v>
      </c>
      <c r="AE316" t="s" s="0">
        <v>82</v>
      </c>
      <c r="AF316" t="s" s="0">
        <v>82</v>
      </c>
      <c r="AG316" t="s" s="0">
        <v>7776</v>
      </c>
      <c r="AH316" t="s" s="0">
        <v>7777</v>
      </c>
      <c r="AI316" t="s" s="0">
        <v>7778</v>
      </c>
      <c r="AJ316" t="s" s="0">
        <v>82</v>
      </c>
      <c r="AK316" t="s" s="0">
        <v>82</v>
      </c>
      <c r="AL316" t="s" s="0">
        <v>3171</v>
      </c>
      <c r="AM316" t="s" s="0">
        <v>78</v>
      </c>
      <c r="AN316" t="s" s="0">
        <v>78</v>
      </c>
      <c r="AO316" t="s" s="0">
        <v>78</v>
      </c>
      <c r="AP316" t="s" s="0">
        <v>78</v>
      </c>
      <c r="AQ316" t="s" s="0">
        <v>7779</v>
      </c>
      <c r="AR316" t="s" s="0">
        <v>7780</v>
      </c>
      <c r="AS316" t="s" s="0">
        <v>7781</v>
      </c>
      <c r="AT316" t="s" s="0">
        <v>7782</v>
      </c>
      <c r="AU316" t="s" s="0">
        <v>7783</v>
      </c>
      <c r="AV316" t="s" s="0">
        <v>82</v>
      </c>
      <c r="AW316" t="s" s="0">
        <v>7784</v>
      </c>
      <c r="AX316" t="s" s="0">
        <v>7785</v>
      </c>
      <c r="AY316" t="s" s="0">
        <v>7786</v>
      </c>
      <c r="AZ316" t="s" s="0">
        <v>181</v>
      </c>
      <c r="BA316" t="s" s="0">
        <v>685</v>
      </c>
      <c r="BB316" t="s" s="0">
        <v>101</v>
      </c>
      <c r="BC316" t="s" s="0">
        <v>82</v>
      </c>
      <c r="BD316" t="s" s="0">
        <v>82</v>
      </c>
      <c r="BE316" t="s" s="0">
        <v>82</v>
      </c>
      <c r="BF316" t="s" s="0">
        <v>82</v>
      </c>
      <c r="BG316" t="s" s="0">
        <v>7787</v>
      </c>
      <c r="BH316" t="s" s="0">
        <v>7788</v>
      </c>
      <c r="BI316" t="s" s="0">
        <v>82</v>
      </c>
      <c r="BJ316" t="s" s="0">
        <v>7789</v>
      </c>
      <c r="BK316" t="s" s="628">
        <f>HYPERLINK("http://dx.doi.org/10.21873/cgp.20589","http://dx.doi.org/10.21873/cgp.20589")</f>
        <v>7790</v>
      </c>
      <c r="BL316" t="s" s="0">
        <v>82</v>
      </c>
      <c r="BM316" t="s" s="0">
        <v>82</v>
      </c>
      <c r="BN316" t="s" s="0">
        <v>149</v>
      </c>
      <c r="BO316" t="s" s="0">
        <v>7791</v>
      </c>
      <c r="BP316" t="s" s="0">
        <v>7791</v>
      </c>
      <c r="BQ316" t="s" s="0">
        <v>7792</v>
      </c>
      <c r="BR316" t="s" s="0">
        <v>7793</v>
      </c>
      <c r="BS316" t="s" s="0">
        <v>7794</v>
      </c>
      <c r="BT316" t="s" s="629">
        <f>HYPERLINK("https://www.webofscience.com/wos/woscc/full-record/WOS:001758564800007","View Record in Web of Science")</f>
        <v>120</v>
      </c>
      <c r="BU316" t="s" s="0">
        <v>121</v>
      </c>
      <c r="BV316" t="s" s="0">
        <v>82</v>
      </c>
      <c r="BW316" t="s" s="0">
        <v>82</v>
      </c>
      <c r="BX316" t="s" s="0">
        <v>122</v>
      </c>
    </row>
    <row r="317">
      <c r="A317" t="s" s="0">
        <v>78</v>
      </c>
      <c r="B317" t="s" s="0">
        <v>78</v>
      </c>
      <c r="C317" t="s" s="0">
        <v>78</v>
      </c>
      <c r="D317" t="s" s="0">
        <v>78</v>
      </c>
      <c r="E317" t="s" s="0">
        <v>7795</v>
      </c>
      <c r="F317" t="s" s="0">
        <v>7796</v>
      </c>
      <c r="G317" t="s" s="0">
        <v>7797</v>
      </c>
      <c r="H317" t="s" s="0">
        <v>82</v>
      </c>
      <c r="I317" t="s" s="0">
        <v>83</v>
      </c>
      <c r="J317" t="s" s="0">
        <v>7798</v>
      </c>
      <c r="K317" t="s" s="0">
        <v>7799</v>
      </c>
      <c r="L317" t="s" s="0">
        <v>7800</v>
      </c>
      <c r="M317" t="s" s="0">
        <v>7801</v>
      </c>
      <c r="N317" t="s" s="0">
        <v>7802</v>
      </c>
      <c r="O317" t="s" s="0">
        <v>7803</v>
      </c>
      <c r="P317" t="s" s="0">
        <v>7804</v>
      </c>
      <c r="Q317" t="s" s="0">
        <v>91</v>
      </c>
      <c r="R317" t="s" s="0">
        <v>82</v>
      </c>
      <c r="S317" t="s" s="0">
        <v>82</v>
      </c>
      <c r="T317" t="s" s="0">
        <v>82</v>
      </c>
      <c r="U317" t="s" s="0">
        <v>82</v>
      </c>
      <c r="V317" t="s" s="0">
        <v>7805</v>
      </c>
      <c r="W317" t="s" s="0">
        <v>7806</v>
      </c>
      <c r="X317" t="s" s="0">
        <v>82</v>
      </c>
      <c r="Y317" t="s" s="0">
        <v>82</v>
      </c>
      <c r="Z317" t="s" s="0">
        <v>94</v>
      </c>
      <c r="AA317" t="s" s="0">
        <v>95</v>
      </c>
      <c r="AB317" t="s" s="0">
        <v>82</v>
      </c>
      <c r="AC317" t="s" s="0">
        <v>82</v>
      </c>
      <c r="AD317" t="s" s="0">
        <v>82</v>
      </c>
      <c r="AE317" t="s" s="0">
        <v>82</v>
      </c>
      <c r="AF317" t="s" s="0">
        <v>82</v>
      </c>
      <c r="AG317" t="s" s="0">
        <v>7807</v>
      </c>
      <c r="AH317" t="s" s="0">
        <v>2048</v>
      </c>
      <c r="AI317" t="s" s="0">
        <v>82</v>
      </c>
      <c r="AJ317" t="s" s="0">
        <v>7808</v>
      </c>
      <c r="AK317" t="s" s="0">
        <v>82</v>
      </c>
      <c r="AL317" t="s" s="0">
        <v>890</v>
      </c>
      <c r="AM317" t="s" s="0">
        <v>102</v>
      </c>
      <c r="AN317" t="s" s="0">
        <v>102</v>
      </c>
      <c r="AO317" t="s" s="0">
        <v>77</v>
      </c>
      <c r="AP317" t="s" s="0">
        <v>136</v>
      </c>
      <c r="AQ317" t="s" s="0">
        <v>174</v>
      </c>
      <c r="AR317" t="s" s="0">
        <v>175</v>
      </c>
      <c r="AS317" t="s" s="0">
        <v>176</v>
      </c>
      <c r="AT317" t="s" s="0">
        <v>7809</v>
      </c>
      <c r="AU317" t="s" s="0">
        <v>82</v>
      </c>
      <c r="AV317" t="s" s="0">
        <v>82</v>
      </c>
      <c r="AW317" t="s" s="0">
        <v>7810</v>
      </c>
      <c r="AX317" t="s" s="0">
        <v>7811</v>
      </c>
      <c r="AY317" t="s" s="0">
        <v>1191</v>
      </c>
      <c r="AZ317" t="s" s="0">
        <v>147</v>
      </c>
      <c r="BA317" t="s" s="0">
        <v>353</v>
      </c>
      <c r="BB317" t="s" s="0">
        <v>77</v>
      </c>
      <c r="BC317" t="s" s="0">
        <v>82</v>
      </c>
      <c r="BD317" t="s" s="0">
        <v>82</v>
      </c>
      <c r="BE317" t="s" s="0">
        <v>82</v>
      </c>
      <c r="BF317" t="s" s="0">
        <v>82</v>
      </c>
      <c r="BG317" t="s" s="0">
        <v>82</v>
      </c>
      <c r="BH317" t="s" s="0">
        <v>82</v>
      </c>
      <c r="BI317" t="s" s="0">
        <v>7812</v>
      </c>
      <c r="BJ317" t="s" s="0">
        <v>7813</v>
      </c>
      <c r="BK317" t="s" s="630">
        <f>HYPERLINK("http://dx.doi.org/10.1002/acm2.14553","http://dx.doi.org/10.1002/acm2.14553")</f>
        <v>7814</v>
      </c>
      <c r="BL317" t="s" s="0">
        <v>82</v>
      </c>
      <c r="BM317" t="s" s="0">
        <v>243</v>
      </c>
      <c r="BN317" t="s" s="0">
        <v>245</v>
      </c>
      <c r="BO317" t="s" s="0">
        <v>414</v>
      </c>
      <c r="BP317" t="s" s="0">
        <v>414</v>
      </c>
      <c r="BQ317" t="s" s="0">
        <v>7815</v>
      </c>
      <c r="BR317" t="s" s="0">
        <v>7816</v>
      </c>
      <c r="BS317" t="s" s="0">
        <v>7817</v>
      </c>
      <c r="BT317" t="s" s="631">
        <f>HYPERLINK("https://www.webofscience.com/wos/woscc/full-record/WOS:001330712600001","View Record in Web of Science")</f>
        <v>120</v>
      </c>
      <c r="BU317" t="s" s="0">
        <v>121</v>
      </c>
      <c r="BV317" t="s" s="0">
        <v>82</v>
      </c>
      <c r="BW317" t="s" s="0">
        <v>82</v>
      </c>
      <c r="BX317" t="s" s="0">
        <v>122</v>
      </c>
    </row>
    <row r="318">
      <c r="A318" t="s" s="0">
        <v>78</v>
      </c>
      <c r="B318" t="s" s="0">
        <v>78</v>
      </c>
      <c r="C318" t="s" s="0">
        <v>136</v>
      </c>
      <c r="D318" t="s" s="0">
        <v>78</v>
      </c>
      <c r="E318" t="s" s="0">
        <v>7818</v>
      </c>
      <c r="F318" t="s" s="0">
        <v>7819</v>
      </c>
      <c r="G318" t="s" s="0">
        <v>7820</v>
      </c>
      <c r="H318" t="s" s="0">
        <v>82</v>
      </c>
      <c r="I318" t="s" s="0">
        <v>83</v>
      </c>
      <c r="J318" t="s" s="0">
        <v>7821</v>
      </c>
      <c r="K318" t="s" s="0">
        <v>7822</v>
      </c>
      <c r="L318" t="s" s="0">
        <v>7823</v>
      </c>
      <c r="M318" t="s" s="0">
        <v>7824</v>
      </c>
      <c r="N318" t="s" s="0">
        <v>7825</v>
      </c>
      <c r="O318" t="s" s="0">
        <v>7826</v>
      </c>
      <c r="P318" t="s" s="0">
        <v>7827</v>
      </c>
      <c r="Q318" t="s" s="0">
        <v>91</v>
      </c>
      <c r="R318" t="s" s="0">
        <v>82</v>
      </c>
      <c r="S318" t="s" s="0">
        <v>82</v>
      </c>
      <c r="T318" t="s" s="0">
        <v>82</v>
      </c>
      <c r="U318" t="s" s="0">
        <v>82</v>
      </c>
      <c r="V318" t="s" s="0">
        <v>7828</v>
      </c>
      <c r="W318" t="s" s="0">
        <v>6761</v>
      </c>
      <c r="X318" t="s" s="0">
        <v>82</v>
      </c>
      <c r="Y318" t="s" s="0">
        <v>82</v>
      </c>
      <c r="Z318" t="s" s="0">
        <v>94</v>
      </c>
      <c r="AA318" t="s" s="0">
        <v>95</v>
      </c>
      <c r="AB318" t="s" s="0">
        <v>82</v>
      </c>
      <c r="AC318" t="s" s="0">
        <v>82</v>
      </c>
      <c r="AD318" t="s" s="0">
        <v>82</v>
      </c>
      <c r="AE318" t="s" s="0">
        <v>82</v>
      </c>
      <c r="AF318" t="s" s="0">
        <v>82</v>
      </c>
      <c r="AG318" t="s" s="0">
        <v>82</v>
      </c>
      <c r="AH318" t="s" s="0">
        <v>7829</v>
      </c>
      <c r="AI318" t="s" s="0">
        <v>7830</v>
      </c>
      <c r="AJ318" t="s" s="0">
        <v>7831</v>
      </c>
      <c r="AK318" t="s" s="0">
        <v>82</v>
      </c>
      <c r="AL318" t="s" s="0">
        <v>1186</v>
      </c>
      <c r="AM318" t="s" s="0">
        <v>1478</v>
      </c>
      <c r="AN318" t="s" s="0">
        <v>464</v>
      </c>
      <c r="AO318" t="s" s="0">
        <v>78</v>
      </c>
      <c r="AP318" t="s" s="0">
        <v>137</v>
      </c>
      <c r="AQ318" t="s" s="0">
        <v>6764</v>
      </c>
      <c r="AR318" t="s" s="0">
        <v>104</v>
      </c>
      <c r="AS318" t="s" s="0">
        <v>6765</v>
      </c>
      <c r="AT318" t="s" s="0">
        <v>6766</v>
      </c>
      <c r="AU318" t="s" s="0">
        <v>6767</v>
      </c>
      <c r="AV318" t="s" s="0">
        <v>82</v>
      </c>
      <c r="AW318" t="s" s="0">
        <v>6768</v>
      </c>
      <c r="AX318" t="s" s="0">
        <v>6769</v>
      </c>
      <c r="AY318" t="s" s="0">
        <v>2190</v>
      </c>
      <c r="AZ318" t="s" s="0">
        <v>1035</v>
      </c>
      <c r="BA318" t="s" s="0">
        <v>775</v>
      </c>
      <c r="BB318" t="s" s="0">
        <v>77</v>
      </c>
      <c r="BC318" t="s" s="0">
        <v>82</v>
      </c>
      <c r="BD318" t="s" s="0">
        <v>82</v>
      </c>
      <c r="BE318" t="s" s="0">
        <v>82</v>
      </c>
      <c r="BF318" t="s" s="0">
        <v>82</v>
      </c>
      <c r="BG318" t="s" s="0">
        <v>201</v>
      </c>
      <c r="BH318" t="s" s="0">
        <v>1279</v>
      </c>
      <c r="BI318" t="s" s="0">
        <v>82</v>
      </c>
      <c r="BJ318" t="s" s="0">
        <v>7832</v>
      </c>
      <c r="BK318" t="s" s="632">
        <f>HYPERLINK("http://dx.doi.org/10.1016/j.crad.2019.08.005","http://dx.doi.org/10.1016/j.crad.2019.08.005")</f>
        <v>7833</v>
      </c>
      <c r="BL318" t="s" s="0">
        <v>82</v>
      </c>
      <c r="BM318" t="s" s="0">
        <v>82</v>
      </c>
      <c r="BN318" t="s" s="0">
        <v>136</v>
      </c>
      <c r="BO318" t="s" s="0">
        <v>414</v>
      </c>
      <c r="BP318" t="s" s="0">
        <v>414</v>
      </c>
      <c r="BQ318" t="s" s="0">
        <v>7834</v>
      </c>
      <c r="BR318" t="s" s="0">
        <v>7835</v>
      </c>
      <c r="BS318" t="s" s="0">
        <v>7836</v>
      </c>
      <c r="BT318" t="s" s="633">
        <f>HYPERLINK("https://www.webofscience.com/wos/woscc/full-record/WOS:000503449500007","View Record in Web of Science")</f>
        <v>120</v>
      </c>
      <c r="BU318" t="s" s="0">
        <v>846</v>
      </c>
      <c r="BV318" t="s" s="0">
        <v>82</v>
      </c>
      <c r="BW318" t="s" s="0">
        <v>82</v>
      </c>
      <c r="BX318" t="s" s="0">
        <v>122</v>
      </c>
    </row>
    <row r="319">
      <c r="A319" t="s" s="0">
        <v>78</v>
      </c>
      <c r="B319" t="s" s="0">
        <v>78</v>
      </c>
      <c r="C319" t="s" s="0">
        <v>78</v>
      </c>
      <c r="D319" t="s" s="0">
        <v>78</v>
      </c>
      <c r="E319" t="s" s="0">
        <v>7837</v>
      </c>
      <c r="F319" t="s" s="0">
        <v>7838</v>
      </c>
      <c r="G319" t="s" s="0">
        <v>7839</v>
      </c>
      <c r="H319" t="s" s="0">
        <v>82</v>
      </c>
      <c r="I319" t="s" s="0">
        <v>83</v>
      </c>
      <c r="J319" t="s" s="0">
        <v>7840</v>
      </c>
      <c r="K319" t="s" s="0">
        <v>7841</v>
      </c>
      <c r="L319" t="s" s="0">
        <v>82</v>
      </c>
      <c r="M319" t="s" s="0">
        <v>82</v>
      </c>
      <c r="N319" t="s" s="0">
        <v>7842</v>
      </c>
      <c r="O319" t="s" s="0">
        <v>7843</v>
      </c>
      <c r="P319" t="s" s="0">
        <v>7844</v>
      </c>
      <c r="Q319" t="s" s="0">
        <v>91</v>
      </c>
      <c r="R319" t="s" s="0">
        <v>82</v>
      </c>
      <c r="S319" t="s" s="0">
        <v>82</v>
      </c>
      <c r="T319" t="s" s="0">
        <v>82</v>
      </c>
      <c r="U319" t="s" s="0">
        <v>82</v>
      </c>
      <c r="V319" t="s" s="0">
        <v>7845</v>
      </c>
      <c r="W319" t="s" s="0">
        <v>771</v>
      </c>
      <c r="X319" t="s" s="0">
        <v>82</v>
      </c>
      <c r="Y319" t="s" s="0">
        <v>82</v>
      </c>
      <c r="Z319" t="s" s="0">
        <v>94</v>
      </c>
      <c r="AA319" t="s" s="0">
        <v>95</v>
      </c>
      <c r="AB319" t="s" s="0">
        <v>82</v>
      </c>
      <c r="AC319" t="s" s="0">
        <v>82</v>
      </c>
      <c r="AD319" t="s" s="0">
        <v>82</v>
      </c>
      <c r="AE319" t="s" s="0">
        <v>82</v>
      </c>
      <c r="AF319" t="s" s="0">
        <v>82</v>
      </c>
      <c r="AG319" t="s" s="0">
        <v>82</v>
      </c>
      <c r="AH319" t="s" s="0">
        <v>82</v>
      </c>
      <c r="AI319" t="s" s="0">
        <v>82</v>
      </c>
      <c r="AJ319" t="s" s="0">
        <v>82</v>
      </c>
      <c r="AK319" t="s" s="0">
        <v>82</v>
      </c>
      <c r="AL319" t="s" s="0">
        <v>890</v>
      </c>
      <c r="AM319" t="s" s="0">
        <v>78</v>
      </c>
      <c r="AN319" t="s" s="0">
        <v>78</v>
      </c>
      <c r="AO319" t="s" s="0">
        <v>102</v>
      </c>
      <c r="AP319" t="s" s="0">
        <v>102</v>
      </c>
      <c r="AQ319" t="s" s="0">
        <v>633</v>
      </c>
      <c r="AR319" t="s" s="0">
        <v>634</v>
      </c>
      <c r="AS319" t="s" s="0">
        <v>635</v>
      </c>
      <c r="AT319" t="s" s="0">
        <v>778</v>
      </c>
      <c r="AU319" t="s" s="0">
        <v>82</v>
      </c>
      <c r="AV319" t="s" s="0">
        <v>82</v>
      </c>
      <c r="AW319" t="s" s="0">
        <v>779</v>
      </c>
      <c r="AX319" t="s" s="0">
        <v>780</v>
      </c>
      <c r="AY319" t="s" s="0">
        <v>4738</v>
      </c>
      <c r="AZ319" t="s" s="0">
        <v>181</v>
      </c>
      <c r="BA319" t="s" s="0">
        <v>319</v>
      </c>
      <c r="BB319" t="s" s="0">
        <v>77</v>
      </c>
      <c r="BC319" t="s" s="0">
        <v>82</v>
      </c>
      <c r="BD319" t="s" s="0">
        <v>82</v>
      </c>
      <c r="BE319" t="s" s="0">
        <v>82</v>
      </c>
      <c r="BF319" t="s" s="0">
        <v>82</v>
      </c>
      <c r="BG319" t="s" s="0">
        <v>82</v>
      </c>
      <c r="BH319" t="s" s="0">
        <v>82</v>
      </c>
      <c r="BI319" t="s" s="0">
        <v>7846</v>
      </c>
      <c r="BJ319" t="s" s="0">
        <v>7847</v>
      </c>
      <c r="BK319" t="s" s="634">
        <f>HYPERLINK("http://dx.doi.org/10.1038/s41746-026-02722-2","http://dx.doi.org/10.1038/s41746-026-02722-2")</f>
        <v>7848</v>
      </c>
      <c r="BL319" t="s" s="0">
        <v>82</v>
      </c>
      <c r="BM319" t="s" s="0">
        <v>1003</v>
      </c>
      <c r="BN319" t="s" s="0">
        <v>245</v>
      </c>
      <c r="BO319" t="s" s="0">
        <v>785</v>
      </c>
      <c r="BP319" t="s" s="0">
        <v>785</v>
      </c>
      <c r="BQ319" t="s" s="0">
        <v>7849</v>
      </c>
      <c r="BR319" t="s" s="0">
        <v>7850</v>
      </c>
      <c r="BS319" t="s" s="0">
        <v>7851</v>
      </c>
      <c r="BT319" t="s" s="635">
        <f>HYPERLINK("https://www.webofscience.com/wos/woscc/full-record/WOS:001820512000002","View Record in Web of Science")</f>
        <v>120</v>
      </c>
      <c r="BU319" t="s" s="0">
        <v>121</v>
      </c>
      <c r="BV319" t="s" s="0">
        <v>82</v>
      </c>
      <c r="BW319" t="s" s="0">
        <v>82</v>
      </c>
      <c r="BX319" t="s" s="0">
        <v>122</v>
      </c>
    </row>
    <row r="320">
      <c r="A320" t="s" s="0">
        <v>78</v>
      </c>
      <c r="B320" t="s" s="0">
        <v>78</v>
      </c>
      <c r="C320" t="s" s="0">
        <v>78</v>
      </c>
      <c r="D320" t="s" s="0">
        <v>78</v>
      </c>
      <c r="E320" t="s" s="0">
        <v>7852</v>
      </c>
      <c r="F320" t="s" s="0">
        <v>7853</v>
      </c>
      <c r="G320" t="s" s="0">
        <v>7854</v>
      </c>
      <c r="H320" t="s" s="0">
        <v>82</v>
      </c>
      <c r="I320" t="s" s="0">
        <v>297</v>
      </c>
      <c r="J320" t="s" s="0">
        <v>7855</v>
      </c>
      <c r="K320" t="s" s="0">
        <v>7856</v>
      </c>
      <c r="L320" t="s" s="0">
        <v>82</v>
      </c>
      <c r="M320" t="s" s="0">
        <v>82</v>
      </c>
      <c r="N320" t="s" s="0">
        <v>82</v>
      </c>
      <c r="O320" t="s" s="0">
        <v>7857</v>
      </c>
      <c r="P320" t="s" s="0">
        <v>7858</v>
      </c>
      <c r="Q320" t="s" s="0">
        <v>91</v>
      </c>
      <c r="R320" t="s" s="0">
        <v>82</v>
      </c>
      <c r="S320" t="s" s="0">
        <v>82</v>
      </c>
      <c r="T320" t="s" s="0">
        <v>82</v>
      </c>
      <c r="U320" t="s" s="0">
        <v>82</v>
      </c>
      <c r="V320" t="s" s="0">
        <v>7859</v>
      </c>
      <c r="W320" t="s" s="0">
        <v>7860</v>
      </c>
      <c r="X320" t="s" s="0">
        <v>82</v>
      </c>
      <c r="Y320" t="s" s="0">
        <v>82</v>
      </c>
      <c r="Z320" t="s" s="0">
        <v>94</v>
      </c>
      <c r="AA320" t="s" s="0">
        <v>95</v>
      </c>
      <c r="AB320" t="s" s="0">
        <v>82</v>
      </c>
      <c r="AC320" t="s" s="0">
        <v>82</v>
      </c>
      <c r="AD320" t="s" s="0">
        <v>82</v>
      </c>
      <c r="AE320" t="s" s="0">
        <v>82</v>
      </c>
      <c r="AF320" t="s" s="0">
        <v>82</v>
      </c>
      <c r="AG320" t="s" s="0">
        <v>7861</v>
      </c>
      <c r="AH320" t="s" s="0">
        <v>82</v>
      </c>
      <c r="AI320" t="s" s="0">
        <v>7862</v>
      </c>
      <c r="AJ320" t="s" s="0">
        <v>82</v>
      </c>
      <c r="AK320" t="s" s="0">
        <v>82</v>
      </c>
      <c r="AL320" t="s" s="0">
        <v>632</v>
      </c>
      <c r="AM320" t="s" s="0">
        <v>78</v>
      </c>
      <c r="AN320" t="s" s="0">
        <v>78</v>
      </c>
      <c r="AO320" t="s" s="0">
        <v>77</v>
      </c>
      <c r="AP320" t="s" s="0">
        <v>77</v>
      </c>
      <c r="AQ320" t="s" s="0">
        <v>277</v>
      </c>
      <c r="AR320" t="s" s="0">
        <v>278</v>
      </c>
      <c r="AS320" t="s" s="0">
        <v>279</v>
      </c>
      <c r="AT320" t="s" s="0">
        <v>82</v>
      </c>
      <c r="AU320" t="s" s="0">
        <v>7863</v>
      </c>
      <c r="AV320" t="s" s="0">
        <v>82</v>
      </c>
      <c r="AW320" t="s" s="0">
        <v>7864</v>
      </c>
      <c r="AX320" t="s" s="0">
        <v>7865</v>
      </c>
      <c r="AY320" t="s" s="0">
        <v>184</v>
      </c>
      <c r="AZ320" t="s" s="0">
        <v>181</v>
      </c>
      <c r="BA320" t="s" s="0">
        <v>1186</v>
      </c>
      <c r="BB320" t="s" s="0">
        <v>82</v>
      </c>
      <c r="BC320" t="s" s="0">
        <v>82</v>
      </c>
      <c r="BD320" t="s" s="0">
        <v>82</v>
      </c>
      <c r="BE320" t="s" s="0">
        <v>82</v>
      </c>
      <c r="BF320" t="s" s="0">
        <v>82</v>
      </c>
      <c r="BG320" t="s" s="0">
        <v>82</v>
      </c>
      <c r="BH320" t="s" s="0">
        <v>82</v>
      </c>
      <c r="BI320" t="s" s="0">
        <v>7866</v>
      </c>
      <c r="BJ320" t="s" s="0">
        <v>7867</v>
      </c>
      <c r="BK320" t="s" s="636">
        <f>HYPERLINK("http://dx.doi.org/10.1016/j.rineng.2026.110627","http://dx.doi.org/10.1016/j.rineng.2026.110627")</f>
        <v>7868</v>
      </c>
      <c r="BL320" t="s" s="0">
        <v>82</v>
      </c>
      <c r="BM320" t="s" s="0">
        <v>82</v>
      </c>
      <c r="BN320" t="s" s="0">
        <v>1186</v>
      </c>
      <c r="BO320" t="s" s="0">
        <v>7869</v>
      </c>
      <c r="BP320" t="s" s="0">
        <v>2763</v>
      </c>
      <c r="BQ320" t="s" s="0">
        <v>7870</v>
      </c>
      <c r="BR320" t="s" s="0">
        <v>82</v>
      </c>
      <c r="BS320" t="s" s="0">
        <v>7871</v>
      </c>
      <c r="BT320" t="s" s="637">
        <f>HYPERLINK("https://www.webofscience.com/wos/woscc/full-record/WOS:001759442400001","View Record in Web of Science")</f>
        <v>120</v>
      </c>
      <c r="BU320" t="s" s="0">
        <v>1008</v>
      </c>
      <c r="BV320" t="s" s="0">
        <v>82</v>
      </c>
      <c r="BW320" t="s" s="0">
        <v>82</v>
      </c>
      <c r="BX320" t="s" s="0">
        <v>122</v>
      </c>
    </row>
    <row r="321">
      <c r="A321" t="s" s="0">
        <v>78</v>
      </c>
      <c r="B321" t="s" s="0">
        <v>78</v>
      </c>
      <c r="C321" t="s" s="0">
        <v>78</v>
      </c>
      <c r="D321" t="s" s="0">
        <v>78</v>
      </c>
      <c r="E321" t="s" s="0">
        <v>7872</v>
      </c>
      <c r="F321" t="s" s="0">
        <v>7873</v>
      </c>
      <c r="G321" t="s" s="0">
        <v>7874</v>
      </c>
      <c r="H321" t="s" s="0">
        <v>82</v>
      </c>
      <c r="I321" t="s" s="0">
        <v>83</v>
      </c>
      <c r="J321" t="s" s="0">
        <v>7875</v>
      </c>
      <c r="K321" t="s" s="0">
        <v>7876</v>
      </c>
      <c r="L321" t="s" s="0">
        <v>7877</v>
      </c>
      <c r="M321" t="s" s="0">
        <v>7878</v>
      </c>
      <c r="N321" t="s" s="0">
        <v>7879</v>
      </c>
      <c r="O321" t="s" s="0">
        <v>7880</v>
      </c>
      <c r="P321" t="s" s="0">
        <v>7881</v>
      </c>
      <c r="Q321" t="s" s="0">
        <v>91</v>
      </c>
      <c r="R321" t="s" s="0">
        <v>82</v>
      </c>
      <c r="S321" t="s" s="0">
        <v>82</v>
      </c>
      <c r="T321" t="s" s="0">
        <v>82</v>
      </c>
      <c r="U321" t="s" s="0">
        <v>82</v>
      </c>
      <c r="V321" t="s" s="0">
        <v>7882</v>
      </c>
      <c r="W321" t="s" s="0">
        <v>7883</v>
      </c>
      <c r="X321" t="s" s="0">
        <v>82</v>
      </c>
      <c r="Y321" t="s" s="0">
        <v>82</v>
      </c>
      <c r="Z321" t="s" s="0">
        <v>94</v>
      </c>
      <c r="AA321" t="s" s="0">
        <v>95</v>
      </c>
      <c r="AB321" t="s" s="0">
        <v>82</v>
      </c>
      <c r="AC321" t="s" s="0">
        <v>82</v>
      </c>
      <c r="AD321" t="s" s="0">
        <v>82</v>
      </c>
      <c r="AE321" t="s" s="0">
        <v>82</v>
      </c>
      <c r="AF321" t="s" s="0">
        <v>82</v>
      </c>
      <c r="AG321" t="s" s="0">
        <v>7884</v>
      </c>
      <c r="AH321" t="s" s="0">
        <v>7885</v>
      </c>
      <c r="AI321" t="s" s="0">
        <v>7886</v>
      </c>
      <c r="AJ321" t="s" s="0">
        <v>7887</v>
      </c>
      <c r="AK321" t="s" s="0">
        <v>82</v>
      </c>
      <c r="AL321" t="s" s="0">
        <v>374</v>
      </c>
      <c r="AM321" t="s" s="0">
        <v>78</v>
      </c>
      <c r="AN321" t="s" s="0">
        <v>78</v>
      </c>
      <c r="AO321" t="s" s="0">
        <v>78</v>
      </c>
      <c r="AP321" t="s" s="0">
        <v>78</v>
      </c>
      <c r="AQ321" t="s" s="0">
        <v>277</v>
      </c>
      <c r="AR321" t="s" s="0">
        <v>278</v>
      </c>
      <c r="AS321" t="s" s="0">
        <v>279</v>
      </c>
      <c r="AT321" t="s" s="0">
        <v>7888</v>
      </c>
      <c r="AU321" t="s" s="0">
        <v>7889</v>
      </c>
      <c r="AV321" t="s" s="0">
        <v>82</v>
      </c>
      <c r="AW321" t="s" s="0">
        <v>7883</v>
      </c>
      <c r="AX321" t="s" s="0">
        <v>7890</v>
      </c>
      <c r="AY321" t="s" s="0">
        <v>2302</v>
      </c>
      <c r="AZ321" t="s" s="0">
        <v>181</v>
      </c>
      <c r="BA321" t="s" s="0">
        <v>1478</v>
      </c>
      <c r="BB321" t="s" s="0">
        <v>82</v>
      </c>
      <c r="BC321" t="s" s="0">
        <v>82</v>
      </c>
      <c r="BD321" t="s" s="0">
        <v>82</v>
      </c>
      <c r="BE321" t="s" s="0">
        <v>82</v>
      </c>
      <c r="BF321" t="s" s="0">
        <v>82</v>
      </c>
      <c r="BG321" t="s" s="0">
        <v>82</v>
      </c>
      <c r="BH321" t="s" s="0">
        <v>82</v>
      </c>
      <c r="BI321" t="s" s="0">
        <v>7891</v>
      </c>
      <c r="BJ321" t="s" s="0">
        <v>7892</v>
      </c>
      <c r="BK321" t="s" s="638">
        <f>HYPERLINK("http://dx.doi.org/10.1016/j.knee.2025.10.024","http://dx.doi.org/10.1016/j.knee.2025.10.024")</f>
        <v>7893</v>
      </c>
      <c r="BL321" t="s" s="0">
        <v>82</v>
      </c>
      <c r="BM321" t="s" s="0">
        <v>146</v>
      </c>
      <c r="BN321" t="s" s="0">
        <v>149</v>
      </c>
      <c r="BO321" t="s" s="0">
        <v>7894</v>
      </c>
      <c r="BP321" t="s" s="0">
        <v>7894</v>
      </c>
      <c r="BQ321" t="s" s="0">
        <v>7895</v>
      </c>
      <c r="BR321" t="s" s="0">
        <v>7896</v>
      </c>
      <c r="BS321" t="s" s="0">
        <v>7897</v>
      </c>
      <c r="BT321" t="s" s="639">
        <f>HYPERLINK("https://www.webofscience.com/wos/woscc/full-record/WOS:001645785100002","View Record in Web of Science")</f>
        <v>120</v>
      </c>
      <c r="BU321" t="s" s="0">
        <v>82</v>
      </c>
      <c r="BV321" t="s" s="0">
        <v>82</v>
      </c>
      <c r="BW321" t="s" s="0">
        <v>82</v>
      </c>
      <c r="BX321" t="s" s="0">
        <v>122</v>
      </c>
    </row>
    <row r="322">
      <c r="A322" t="s" s="0">
        <v>101</v>
      </c>
      <c r="B322" t="s" s="0">
        <v>78</v>
      </c>
      <c r="C322" t="s" s="0">
        <v>245</v>
      </c>
      <c r="D322" t="s" s="0">
        <v>78</v>
      </c>
      <c r="E322" t="s" s="0">
        <v>7898</v>
      </c>
      <c r="F322" t="s" s="0">
        <v>7899</v>
      </c>
      <c r="G322" t="s" s="0">
        <v>7900</v>
      </c>
      <c r="H322" t="s" s="0">
        <v>82</v>
      </c>
      <c r="I322" t="s" s="0">
        <v>83</v>
      </c>
      <c r="J322" t="s" s="0">
        <v>7901</v>
      </c>
      <c r="K322" t="s" s="0">
        <v>7902</v>
      </c>
      <c r="L322" t="s" s="0">
        <v>7903</v>
      </c>
      <c r="M322" t="s" s="0">
        <v>7904</v>
      </c>
      <c r="N322" t="s" s="0">
        <v>7905</v>
      </c>
      <c r="O322" t="s" s="0">
        <v>7906</v>
      </c>
      <c r="P322" t="s" s="0">
        <v>7907</v>
      </c>
      <c r="Q322" t="s" s="0">
        <v>91</v>
      </c>
      <c r="R322" t="s" s="0">
        <v>82</v>
      </c>
      <c r="S322" t="s" s="0">
        <v>82</v>
      </c>
      <c r="T322" t="s" s="0">
        <v>82</v>
      </c>
      <c r="U322" t="s" s="0">
        <v>82</v>
      </c>
      <c r="V322" t="s" s="0">
        <v>7908</v>
      </c>
      <c r="W322" t="s" s="0">
        <v>6124</v>
      </c>
      <c r="X322" t="s" s="0">
        <v>82</v>
      </c>
      <c r="Y322" t="s" s="0">
        <v>82</v>
      </c>
      <c r="Z322" t="s" s="0">
        <v>94</v>
      </c>
      <c r="AA322" t="s" s="0">
        <v>95</v>
      </c>
      <c r="AB322" t="s" s="0">
        <v>82</v>
      </c>
      <c r="AC322" t="s" s="0">
        <v>82</v>
      </c>
      <c r="AD322" t="s" s="0">
        <v>82</v>
      </c>
      <c r="AE322" t="s" s="0">
        <v>82</v>
      </c>
      <c r="AF322" t="s" s="0">
        <v>82</v>
      </c>
      <c r="AG322" t="s" s="0">
        <v>7909</v>
      </c>
      <c r="AH322" t="s" s="0">
        <v>7910</v>
      </c>
      <c r="AI322" t="s" s="0">
        <v>7911</v>
      </c>
      <c r="AJ322" t="s" s="0">
        <v>7912</v>
      </c>
      <c r="AK322" t="s" s="0">
        <v>82</v>
      </c>
      <c r="AL322" t="s" s="0">
        <v>276</v>
      </c>
      <c r="AM322" t="s" s="0">
        <v>3171</v>
      </c>
      <c r="AN322" t="s" s="0">
        <v>1478</v>
      </c>
      <c r="AO322" t="s" s="0">
        <v>447</v>
      </c>
      <c r="AP322" t="s" s="0">
        <v>239</v>
      </c>
      <c r="AQ322" t="s" s="0">
        <v>312</v>
      </c>
      <c r="AR322" t="s" s="0">
        <v>313</v>
      </c>
      <c r="AS322" t="s" s="0">
        <v>314</v>
      </c>
      <c r="AT322" t="s" s="0">
        <v>82</v>
      </c>
      <c r="AU322" t="s" s="0">
        <v>6129</v>
      </c>
      <c r="AV322" t="s" s="0">
        <v>82</v>
      </c>
      <c r="AW322" t="s" s="0">
        <v>6124</v>
      </c>
      <c r="AX322" t="s" s="0">
        <v>6130</v>
      </c>
      <c r="AY322" t="s" s="0">
        <v>1838</v>
      </c>
      <c r="AZ322" t="s" s="0">
        <v>525</v>
      </c>
      <c r="BA322" t="s" s="0">
        <v>115</v>
      </c>
      <c r="BB322" t="s" s="0">
        <v>149</v>
      </c>
      <c r="BC322" t="s" s="0">
        <v>82</v>
      </c>
      <c r="BD322" t="s" s="0">
        <v>82</v>
      </c>
      <c r="BE322" t="s" s="0">
        <v>82</v>
      </c>
      <c r="BF322" t="s" s="0">
        <v>82</v>
      </c>
      <c r="BG322" t="s" s="0">
        <v>82</v>
      </c>
      <c r="BH322" t="s" s="0">
        <v>82</v>
      </c>
      <c r="BI322" t="s" s="0">
        <v>7913</v>
      </c>
      <c r="BJ322" t="s" s="0">
        <v>7914</v>
      </c>
      <c r="BK322" t="s" s="640">
        <f>HYPERLINK("http://dx.doi.org/10.3390/cancers13122866","http://dx.doi.org/10.3390/cancers13122866")</f>
        <v>7915</v>
      </c>
      <c r="BL322" t="s" s="0">
        <v>82</v>
      </c>
      <c r="BM322" t="s" s="0">
        <v>82</v>
      </c>
      <c r="BN322" t="s" s="0">
        <v>323</v>
      </c>
      <c r="BO322" t="s" s="0">
        <v>4833</v>
      </c>
      <c r="BP322" t="s" s="0">
        <v>4833</v>
      </c>
      <c r="BQ322" t="s" s="0">
        <v>7916</v>
      </c>
      <c r="BR322" t="s" s="0">
        <v>7917</v>
      </c>
      <c r="BS322" t="s" s="0">
        <v>7918</v>
      </c>
      <c r="BT322" t="s" s="641">
        <f>HYPERLINK("https://www.webofscience.com/wos/woscc/full-record/WOS:000666800700001","View Record in Web of Science")</f>
        <v>120</v>
      </c>
      <c r="BU322" t="s" s="0">
        <v>7919</v>
      </c>
      <c r="BV322" t="s" s="0">
        <v>82</v>
      </c>
      <c r="BW322" t="s" s="0">
        <v>82</v>
      </c>
      <c r="BX322" t="s" s="0">
        <v>122</v>
      </c>
    </row>
    <row r="323">
      <c r="A323" t="s" s="0">
        <v>78</v>
      </c>
      <c r="B323" t="s" s="0">
        <v>78</v>
      </c>
      <c r="C323" t="s" s="0">
        <v>78</v>
      </c>
      <c r="D323" t="s" s="0">
        <v>78</v>
      </c>
      <c r="E323" t="s" s="0">
        <v>7920</v>
      </c>
      <c r="F323" t="s" s="0">
        <v>7921</v>
      </c>
      <c r="G323" t="s" s="0">
        <v>7922</v>
      </c>
      <c r="H323" t="s" s="0">
        <v>82</v>
      </c>
      <c r="I323" t="s" s="0">
        <v>83</v>
      </c>
      <c r="J323" t="s" s="0">
        <v>7923</v>
      </c>
      <c r="K323" t="s" s="0">
        <v>7924</v>
      </c>
      <c r="L323" t="s" s="0">
        <v>7925</v>
      </c>
      <c r="M323" t="s" s="0">
        <v>7926</v>
      </c>
      <c r="N323" t="s" s="0">
        <v>7927</v>
      </c>
      <c r="O323" t="s" s="0">
        <v>7928</v>
      </c>
      <c r="P323" t="s" s="0">
        <v>7929</v>
      </c>
      <c r="Q323" t="s" s="0">
        <v>91</v>
      </c>
      <c r="R323" t="s" s="0">
        <v>82</v>
      </c>
      <c r="S323" t="s" s="0">
        <v>82</v>
      </c>
      <c r="T323" t="s" s="0">
        <v>82</v>
      </c>
      <c r="U323" t="s" s="0">
        <v>82</v>
      </c>
      <c r="V323" t="s" s="0">
        <v>7930</v>
      </c>
      <c r="W323" t="s" s="0">
        <v>2046</v>
      </c>
      <c r="X323" t="s" s="0">
        <v>82</v>
      </c>
      <c r="Y323" t="s" s="0">
        <v>82</v>
      </c>
      <c r="Z323" t="s" s="0">
        <v>94</v>
      </c>
      <c r="AA323" t="s" s="0">
        <v>95</v>
      </c>
      <c r="AB323" t="s" s="0">
        <v>82</v>
      </c>
      <c r="AC323" t="s" s="0">
        <v>82</v>
      </c>
      <c r="AD323" t="s" s="0">
        <v>82</v>
      </c>
      <c r="AE323" t="s" s="0">
        <v>82</v>
      </c>
      <c r="AF323" t="s" s="0">
        <v>82</v>
      </c>
      <c r="AG323" t="s" s="0">
        <v>7931</v>
      </c>
      <c r="AH323" t="s" s="0">
        <v>7932</v>
      </c>
      <c r="AI323" t="s" s="0">
        <v>7933</v>
      </c>
      <c r="AJ323" t="s" s="0">
        <v>7934</v>
      </c>
      <c r="AK323" t="s" s="0">
        <v>82</v>
      </c>
      <c r="AL323" t="s" s="0">
        <v>311</v>
      </c>
      <c r="AM323" t="s" s="0">
        <v>447</v>
      </c>
      <c r="AN323" t="s" s="0">
        <v>447</v>
      </c>
      <c r="AO323" t="s" s="0">
        <v>101</v>
      </c>
      <c r="AP323" t="s" s="0">
        <v>102</v>
      </c>
      <c r="AQ323" t="s" s="0">
        <v>2051</v>
      </c>
      <c r="AR323" t="s" s="0">
        <v>203</v>
      </c>
      <c r="AS323" t="s" s="0">
        <v>2052</v>
      </c>
      <c r="AT323" t="s" s="0">
        <v>2053</v>
      </c>
      <c r="AU323" t="s" s="0">
        <v>2054</v>
      </c>
      <c r="AV323" t="s" s="0">
        <v>82</v>
      </c>
      <c r="AW323" t="s" s="0">
        <v>2055</v>
      </c>
      <c r="AX323" t="s" s="0">
        <v>2056</v>
      </c>
      <c r="AY323" t="s" s="0">
        <v>153</v>
      </c>
      <c r="AZ323" t="s" s="0">
        <v>181</v>
      </c>
      <c r="BA323" t="s" s="0">
        <v>238</v>
      </c>
      <c r="BB323" t="s" s="0">
        <v>101</v>
      </c>
      <c r="BC323" t="s" s="0">
        <v>82</v>
      </c>
      <c r="BD323" t="s" s="0">
        <v>82</v>
      </c>
      <c r="BE323" t="s" s="0">
        <v>82</v>
      </c>
      <c r="BF323" t="s" s="0">
        <v>82</v>
      </c>
      <c r="BG323" t="s" s="0">
        <v>7935</v>
      </c>
      <c r="BH323" t="s" s="0">
        <v>7936</v>
      </c>
      <c r="BI323" t="s" s="0">
        <v>82</v>
      </c>
      <c r="BJ323" t="s" s="0">
        <v>7937</v>
      </c>
      <c r="BK323" t="s" s="642">
        <f>HYPERLINK("http://dx.doi.org/10.1007/s00586-025-09543-z","http://dx.doi.org/10.1007/s00586-025-09543-z")</f>
        <v>7938</v>
      </c>
      <c r="BL323" t="s" s="0">
        <v>82</v>
      </c>
      <c r="BM323" t="s" s="0">
        <v>1425</v>
      </c>
      <c r="BN323" t="s" s="0">
        <v>137</v>
      </c>
      <c r="BO323" t="s" s="0">
        <v>2062</v>
      </c>
      <c r="BP323" t="s" s="0">
        <v>2063</v>
      </c>
      <c r="BQ323" t="s" s="0">
        <v>7939</v>
      </c>
      <c r="BR323" t="s" s="0">
        <v>7940</v>
      </c>
      <c r="BS323" t="s" s="0">
        <v>7941</v>
      </c>
      <c r="BT323" t="s" s="643">
        <f>HYPERLINK("https://www.webofscience.com/wos/woscc/full-record/WOS:001610136700001","View Record in Web of Science")</f>
        <v>120</v>
      </c>
      <c r="BU323" t="s" s="0">
        <v>159</v>
      </c>
      <c r="BV323" t="s" s="0">
        <v>82</v>
      </c>
      <c r="BW323" t="s" s="0">
        <v>82</v>
      </c>
      <c r="BX323" t="s" s="0">
        <v>122</v>
      </c>
    </row>
    <row r="324">
      <c r="A324" t="s" s="0">
        <v>78</v>
      </c>
      <c r="B324" t="s" s="0">
        <v>78</v>
      </c>
      <c r="C324" t="s" s="0">
        <v>102</v>
      </c>
      <c r="D324" t="s" s="0">
        <v>77</v>
      </c>
      <c r="E324" t="s" s="0">
        <v>7942</v>
      </c>
      <c r="F324" t="s" s="0">
        <v>7943</v>
      </c>
      <c r="G324" t="s" s="0">
        <v>7944</v>
      </c>
      <c r="H324" t="s" s="0">
        <v>82</v>
      </c>
      <c r="I324" t="s" s="0">
        <v>83</v>
      </c>
      <c r="J324" t="s" s="0">
        <v>7945</v>
      </c>
      <c r="K324" t="s" s="0">
        <v>7946</v>
      </c>
      <c r="L324" t="s" s="0">
        <v>7947</v>
      </c>
      <c r="M324" t="s" s="0">
        <v>7948</v>
      </c>
      <c r="N324" t="s" s="0">
        <v>7949</v>
      </c>
      <c r="O324" t="s" s="0">
        <v>7950</v>
      </c>
      <c r="P324" t="s" s="0">
        <v>7951</v>
      </c>
      <c r="Q324" t="s" s="0">
        <v>91</v>
      </c>
      <c r="R324" t="s" s="0">
        <v>82</v>
      </c>
      <c r="S324" t="s" s="0">
        <v>82</v>
      </c>
      <c r="T324" t="s" s="0">
        <v>82</v>
      </c>
      <c r="U324" t="s" s="0">
        <v>82</v>
      </c>
      <c r="V324" t="s" s="0">
        <v>7952</v>
      </c>
      <c r="W324" t="s" s="0">
        <v>2293</v>
      </c>
      <c r="X324" t="s" s="0">
        <v>82</v>
      </c>
      <c r="Y324" t="s" s="0">
        <v>82</v>
      </c>
      <c r="Z324" t="s" s="0">
        <v>94</v>
      </c>
      <c r="AA324" t="s" s="0">
        <v>95</v>
      </c>
      <c r="AB324" t="s" s="0">
        <v>82</v>
      </c>
      <c r="AC324" t="s" s="0">
        <v>82</v>
      </c>
      <c r="AD324" t="s" s="0">
        <v>82</v>
      </c>
      <c r="AE324" t="s" s="0">
        <v>82</v>
      </c>
      <c r="AF324" t="s" s="0">
        <v>82</v>
      </c>
      <c r="AG324" t="s" s="0">
        <v>7953</v>
      </c>
      <c r="AH324" t="s" s="0">
        <v>7954</v>
      </c>
      <c r="AI324" t="s" s="0">
        <v>7955</v>
      </c>
      <c r="AJ324" t="s" s="0">
        <v>7956</v>
      </c>
      <c r="AK324" t="s" s="0">
        <v>82</v>
      </c>
      <c r="AL324" t="s" s="0">
        <v>1186</v>
      </c>
      <c r="AM324" t="s" s="0">
        <v>239</v>
      </c>
      <c r="AN324" t="s" s="0">
        <v>154</v>
      </c>
      <c r="AO324" t="s" s="0">
        <v>78</v>
      </c>
      <c r="AP324" t="s" s="0">
        <v>375</v>
      </c>
      <c r="AQ324" t="s" s="0">
        <v>2051</v>
      </c>
      <c r="AR324" t="s" s="0">
        <v>203</v>
      </c>
      <c r="AS324" t="s" s="0">
        <v>2052</v>
      </c>
      <c r="AT324" t="s" s="0">
        <v>2298</v>
      </c>
      <c r="AU324" t="s" s="0">
        <v>2299</v>
      </c>
      <c r="AV324" t="s" s="0">
        <v>82</v>
      </c>
      <c r="AW324" t="s" s="0">
        <v>2300</v>
      </c>
      <c r="AX324" t="s" s="0">
        <v>2301</v>
      </c>
      <c r="AY324" t="s" s="0">
        <v>413</v>
      </c>
      <c r="AZ324" t="s" s="0">
        <v>408</v>
      </c>
      <c r="BA324" t="s" s="0">
        <v>273</v>
      </c>
      <c r="BB324" t="s" s="0">
        <v>101</v>
      </c>
      <c r="BC324" t="s" s="0">
        <v>82</v>
      </c>
      <c r="BD324" t="s" s="0">
        <v>82</v>
      </c>
      <c r="BE324" t="s" s="0">
        <v>82</v>
      </c>
      <c r="BF324" t="s" s="0">
        <v>82</v>
      </c>
      <c r="BG324" t="s" s="0">
        <v>7957</v>
      </c>
      <c r="BH324" t="s" s="0">
        <v>7958</v>
      </c>
      <c r="BI324" t="s" s="0">
        <v>82</v>
      </c>
      <c r="BJ324" t="s" s="0">
        <v>7959</v>
      </c>
      <c r="BK324" t="s" s="644">
        <f>HYPERLINK("http://dx.doi.org/10.1007/s00330-021-08296-9","http://dx.doi.org/10.1007/s00330-021-08296-9")</f>
        <v>7960</v>
      </c>
      <c r="BL324" t="s" s="0">
        <v>82</v>
      </c>
      <c r="BM324" t="s" s="0">
        <v>1661</v>
      </c>
      <c r="BN324" t="s" s="0">
        <v>149</v>
      </c>
      <c r="BO324" t="s" s="0">
        <v>414</v>
      </c>
      <c r="BP324" t="s" s="0">
        <v>414</v>
      </c>
      <c r="BQ324" t="s" s="0">
        <v>7961</v>
      </c>
      <c r="BR324" t="s" s="0">
        <v>7962</v>
      </c>
      <c r="BS324" t="s" s="0">
        <v>7963</v>
      </c>
      <c r="BT324" t="s" s="645">
        <f>HYPERLINK("https://www.webofscience.com/wos/woscc/full-record/WOS:000706927400008","View Record in Web of Science")</f>
        <v>120</v>
      </c>
      <c r="BU324" t="s" s="0">
        <v>82</v>
      </c>
      <c r="BV324" t="s" s="0">
        <v>82</v>
      </c>
      <c r="BW324" t="s" s="0">
        <v>82</v>
      </c>
      <c r="BX324" t="s" s="0">
        <v>122</v>
      </c>
    </row>
    <row r="325">
      <c r="A325" t="s" s="0">
        <v>78</v>
      </c>
      <c r="B325" t="s" s="0">
        <v>78</v>
      </c>
      <c r="C325" t="s" s="0">
        <v>78</v>
      </c>
      <c r="D325" t="s" s="0">
        <v>78</v>
      </c>
      <c r="E325" t="s" s="0">
        <v>7964</v>
      </c>
      <c r="F325" t="s" s="0">
        <v>7965</v>
      </c>
      <c r="G325" t="s" s="0">
        <v>7966</v>
      </c>
      <c r="H325" t="s" s="0">
        <v>82</v>
      </c>
      <c r="I325" t="s" s="0">
        <v>83</v>
      </c>
      <c r="J325" t="s" s="0">
        <v>7967</v>
      </c>
      <c r="K325" t="s" s="0">
        <v>7968</v>
      </c>
      <c r="L325" t="s" s="0">
        <v>7969</v>
      </c>
      <c r="M325" t="s" s="0">
        <v>6610</v>
      </c>
      <c r="N325" t="s" s="0">
        <v>7970</v>
      </c>
      <c r="O325" t="s" s="0">
        <v>7971</v>
      </c>
      <c r="P325" t="s" s="0">
        <v>7972</v>
      </c>
      <c r="Q325" t="s" s="0">
        <v>91</v>
      </c>
      <c r="R325" t="s" s="0">
        <v>82</v>
      </c>
      <c r="S325" t="s" s="0">
        <v>82</v>
      </c>
      <c r="T325" t="s" s="0">
        <v>82</v>
      </c>
      <c r="U325" t="s" s="0">
        <v>82</v>
      </c>
      <c r="V325" t="s" s="0">
        <v>7973</v>
      </c>
      <c r="W325" t="s" s="0">
        <v>2293</v>
      </c>
      <c r="X325" t="s" s="0">
        <v>82</v>
      </c>
      <c r="Y325" t="s" s="0">
        <v>82</v>
      </c>
      <c r="Z325" t="s" s="0">
        <v>94</v>
      </c>
      <c r="AA325" t="s" s="0">
        <v>95</v>
      </c>
      <c r="AB325" t="s" s="0">
        <v>82</v>
      </c>
      <c r="AC325" t="s" s="0">
        <v>82</v>
      </c>
      <c r="AD325" t="s" s="0">
        <v>82</v>
      </c>
      <c r="AE325" t="s" s="0">
        <v>82</v>
      </c>
      <c r="AF325" t="s" s="0">
        <v>82</v>
      </c>
      <c r="AG325" t="s" s="0">
        <v>7974</v>
      </c>
      <c r="AH325" t="s" s="0">
        <v>7975</v>
      </c>
      <c r="AI325" t="s" s="0">
        <v>7976</v>
      </c>
      <c r="AJ325" t="s" s="0">
        <v>7977</v>
      </c>
      <c r="AK325" t="s" s="0">
        <v>82</v>
      </c>
      <c r="AL325" t="s" s="0">
        <v>548</v>
      </c>
      <c r="AM325" t="s" s="0">
        <v>447</v>
      </c>
      <c r="AN325" t="s" s="0">
        <v>447</v>
      </c>
      <c r="AO325" t="s" s="0">
        <v>78</v>
      </c>
      <c r="AP325" t="s" s="0">
        <v>447</v>
      </c>
      <c r="AQ325" t="s" s="0">
        <v>2051</v>
      </c>
      <c r="AR325" t="s" s="0">
        <v>203</v>
      </c>
      <c r="AS325" t="s" s="0">
        <v>2052</v>
      </c>
      <c r="AT325" t="s" s="0">
        <v>2298</v>
      </c>
      <c r="AU325" t="s" s="0">
        <v>2299</v>
      </c>
      <c r="AV325" t="s" s="0">
        <v>82</v>
      </c>
      <c r="AW325" t="s" s="0">
        <v>2300</v>
      </c>
      <c r="AX325" t="s" s="0">
        <v>2301</v>
      </c>
      <c r="AY325" t="s" s="0">
        <v>146</v>
      </c>
      <c r="AZ325" t="s" s="0">
        <v>147</v>
      </c>
      <c r="BA325" t="s" s="0">
        <v>238</v>
      </c>
      <c r="BB325" t="s" s="0">
        <v>149</v>
      </c>
      <c r="BC325" t="s" s="0">
        <v>82</v>
      </c>
      <c r="BD325" t="s" s="0">
        <v>82</v>
      </c>
      <c r="BE325" t="s" s="0">
        <v>82</v>
      </c>
      <c r="BF325" t="s" s="0">
        <v>82</v>
      </c>
      <c r="BG325" t="s" s="0">
        <v>7978</v>
      </c>
      <c r="BH325" t="s" s="0">
        <v>7979</v>
      </c>
      <c r="BI325" t="s" s="0">
        <v>82</v>
      </c>
      <c r="BJ325" t="s" s="0">
        <v>7980</v>
      </c>
      <c r="BK325" t="s" s="646">
        <f>HYPERLINK("http://dx.doi.org/10.1007/s00330-025-11723-w","http://dx.doi.org/10.1007/s00330-025-11723-w")</f>
        <v>7981</v>
      </c>
      <c r="BL325" t="s" s="0">
        <v>82</v>
      </c>
      <c r="BM325" t="s" s="0">
        <v>1394</v>
      </c>
      <c r="BN325" t="s" s="0">
        <v>137</v>
      </c>
      <c r="BO325" t="s" s="0">
        <v>414</v>
      </c>
      <c r="BP325" t="s" s="0">
        <v>414</v>
      </c>
      <c r="BQ325" t="s" s="0">
        <v>7982</v>
      </c>
      <c r="BR325" t="s" s="0">
        <v>7983</v>
      </c>
      <c r="BS325" t="s" s="0">
        <v>7984</v>
      </c>
      <c r="BT325" t="s" s="647">
        <f>HYPERLINK("https://www.webofscience.com/wos/woscc/full-record/WOS:001506953800001","View Record in Web of Science")</f>
        <v>120</v>
      </c>
      <c r="BU325" t="s" s="0">
        <v>82</v>
      </c>
      <c r="BV325" t="s" s="0">
        <v>82</v>
      </c>
      <c r="BW325" t="s" s="0">
        <v>82</v>
      </c>
      <c r="BX325" t="s" s="0">
        <v>122</v>
      </c>
    </row>
    <row r="326">
      <c r="A326" t="s" s="0">
        <v>102</v>
      </c>
      <c r="B326" t="s" s="0">
        <v>78</v>
      </c>
      <c r="C326" t="s" s="0">
        <v>245</v>
      </c>
      <c r="D326" t="s" s="0">
        <v>447</v>
      </c>
      <c r="E326" t="s" s="0">
        <v>7985</v>
      </c>
      <c r="F326" t="s" s="0">
        <v>7986</v>
      </c>
      <c r="G326" t="s" s="0">
        <v>7987</v>
      </c>
      <c r="H326" t="s" s="0">
        <v>82</v>
      </c>
      <c r="I326" t="s" s="0">
        <v>83</v>
      </c>
      <c r="J326" t="s" s="0">
        <v>7988</v>
      </c>
      <c r="K326" t="s" s="0">
        <v>7989</v>
      </c>
      <c r="L326" t="s" s="0">
        <v>7990</v>
      </c>
      <c r="M326" t="s" s="0">
        <v>7991</v>
      </c>
      <c r="N326" t="s" s="0">
        <v>7992</v>
      </c>
      <c r="O326" t="s" s="0">
        <v>7993</v>
      </c>
      <c r="P326" t="s" s="0">
        <v>7994</v>
      </c>
      <c r="Q326" t="s" s="0">
        <v>91</v>
      </c>
      <c r="R326" t="s" s="0">
        <v>82</v>
      </c>
      <c r="S326" t="s" s="0">
        <v>82</v>
      </c>
      <c r="T326" t="s" s="0">
        <v>82</v>
      </c>
      <c r="U326" t="s" s="0">
        <v>82</v>
      </c>
      <c r="V326" t="s" s="0">
        <v>7995</v>
      </c>
      <c r="W326" t="s" s="0">
        <v>7996</v>
      </c>
      <c r="X326" t="s" s="0">
        <v>82</v>
      </c>
      <c r="Y326" t="s" s="0">
        <v>82</v>
      </c>
      <c r="Z326" t="s" s="0">
        <v>94</v>
      </c>
      <c r="AA326" t="s" s="0">
        <v>95</v>
      </c>
      <c r="AB326" t="s" s="0">
        <v>82</v>
      </c>
      <c r="AC326" t="s" s="0">
        <v>82</v>
      </c>
      <c r="AD326" t="s" s="0">
        <v>82</v>
      </c>
      <c r="AE326" t="s" s="0">
        <v>82</v>
      </c>
      <c r="AF326" t="s" s="0">
        <v>82</v>
      </c>
      <c r="AG326" t="s" s="0">
        <v>7997</v>
      </c>
      <c r="AH326" t="s" s="0">
        <v>7998</v>
      </c>
      <c r="AI326" t="s" s="0">
        <v>7999</v>
      </c>
      <c r="AJ326" t="s" s="0">
        <v>8000</v>
      </c>
      <c r="AK326" t="s" s="0">
        <v>82</v>
      </c>
      <c r="AL326" t="s" s="0">
        <v>1780</v>
      </c>
      <c r="AM326" t="s" s="0">
        <v>829</v>
      </c>
      <c r="AN326" t="s" s="0">
        <v>830</v>
      </c>
      <c r="AO326" t="s" s="0">
        <v>78</v>
      </c>
      <c r="AP326" t="s" s="0">
        <v>137</v>
      </c>
      <c r="AQ326" t="s" s="0">
        <v>8001</v>
      </c>
      <c r="AR326" t="s" s="0">
        <v>8002</v>
      </c>
      <c r="AS326" t="s" s="0">
        <v>8003</v>
      </c>
      <c r="AT326" t="s" s="0">
        <v>8004</v>
      </c>
      <c r="AU326" t="s" s="0">
        <v>8005</v>
      </c>
      <c r="AV326" t="s" s="0">
        <v>82</v>
      </c>
      <c r="AW326" t="s" s="0">
        <v>8006</v>
      </c>
      <c r="AX326" t="s" s="0">
        <v>8007</v>
      </c>
      <c r="AY326" t="s" s="0">
        <v>8008</v>
      </c>
      <c r="AZ326" t="s" s="0">
        <v>8009</v>
      </c>
      <c r="BA326" t="s" s="0">
        <v>1478</v>
      </c>
      <c r="BB326" t="s" s="0">
        <v>375</v>
      </c>
      <c r="BC326" t="s" s="0">
        <v>82</v>
      </c>
      <c r="BD326" t="s" s="0">
        <v>82</v>
      </c>
      <c r="BE326" t="s" s="0">
        <v>82</v>
      </c>
      <c r="BF326" t="s" s="0">
        <v>82</v>
      </c>
      <c r="BG326" t="s" s="0">
        <v>8010</v>
      </c>
      <c r="BH326" t="s" s="0">
        <v>8011</v>
      </c>
      <c r="BI326" t="s" s="0">
        <v>82</v>
      </c>
      <c r="BJ326" t="s" s="0">
        <v>8012</v>
      </c>
      <c r="BK326" t="s" s="648">
        <f>HYPERLINK("http://dx.doi.org/10.2967/jnumed.116.179911","http://dx.doi.org/10.2967/jnumed.116.179911")</f>
        <v>8013</v>
      </c>
      <c r="BL326" t="s" s="0">
        <v>82</v>
      </c>
      <c r="BM326" t="s" s="0">
        <v>82</v>
      </c>
      <c r="BN326" t="s" s="0">
        <v>138</v>
      </c>
      <c r="BO326" t="s" s="0">
        <v>414</v>
      </c>
      <c r="BP326" t="s" s="0">
        <v>414</v>
      </c>
      <c r="BQ326" t="s" s="0">
        <v>8014</v>
      </c>
      <c r="BR326" t="s" s="0">
        <v>8015</v>
      </c>
      <c r="BS326" t="s" s="0">
        <v>8016</v>
      </c>
      <c r="BT326" t="s" s="649">
        <f>HYPERLINK("https://www.webofscience.com/wos/woscc/full-record/WOS:000402572500023","View Record in Web of Science")</f>
        <v>120</v>
      </c>
      <c r="BU326" t="s" s="0">
        <v>8017</v>
      </c>
      <c r="BV326" t="s" s="0">
        <v>82</v>
      </c>
      <c r="BW326" t="s" s="0">
        <v>82</v>
      </c>
      <c r="BX326" t="s" s="0">
        <v>122</v>
      </c>
    </row>
    <row r="327">
      <c r="A327" t="s" s="0">
        <v>78</v>
      </c>
      <c r="B327" t="s" s="0">
        <v>78</v>
      </c>
      <c r="C327" t="s" s="0">
        <v>102</v>
      </c>
      <c r="D327" t="s" s="0">
        <v>78</v>
      </c>
      <c r="E327" t="s" s="0">
        <v>8018</v>
      </c>
      <c r="F327" t="s" s="0">
        <v>8019</v>
      </c>
      <c r="G327" t="s" s="0">
        <v>8020</v>
      </c>
      <c r="H327" t="s" s="0">
        <v>82</v>
      </c>
      <c r="I327" t="s" s="0">
        <v>83</v>
      </c>
      <c r="J327" t="s" s="0">
        <v>8021</v>
      </c>
      <c r="K327" t="s" s="0">
        <v>8022</v>
      </c>
      <c r="L327" t="s" s="0">
        <v>8023</v>
      </c>
      <c r="M327" t="s" s="0">
        <v>8024</v>
      </c>
      <c r="N327" t="s" s="0">
        <v>8025</v>
      </c>
      <c r="O327" t="s" s="0">
        <v>8026</v>
      </c>
      <c r="P327" t="s" s="0">
        <v>8027</v>
      </c>
      <c r="Q327" t="s" s="0">
        <v>91</v>
      </c>
      <c r="R327" t="s" s="0">
        <v>82</v>
      </c>
      <c r="S327" t="s" s="0">
        <v>82</v>
      </c>
      <c r="T327" t="s" s="0">
        <v>82</v>
      </c>
      <c r="U327" t="s" s="0">
        <v>82</v>
      </c>
      <c r="V327" t="s" s="0">
        <v>8028</v>
      </c>
      <c r="W327" t="s" s="0">
        <v>8029</v>
      </c>
      <c r="X327" t="s" s="0">
        <v>82</v>
      </c>
      <c r="Y327" t="s" s="0">
        <v>82</v>
      </c>
      <c r="Z327" t="s" s="0">
        <v>94</v>
      </c>
      <c r="AA327" t="s" s="0">
        <v>95</v>
      </c>
      <c r="AB327" t="s" s="0">
        <v>82</v>
      </c>
      <c r="AC327" t="s" s="0">
        <v>82</v>
      </c>
      <c r="AD327" t="s" s="0">
        <v>82</v>
      </c>
      <c r="AE327" t="s" s="0">
        <v>82</v>
      </c>
      <c r="AF327" t="s" s="0">
        <v>82</v>
      </c>
      <c r="AG327" t="s" s="0">
        <v>8030</v>
      </c>
      <c r="AH327" t="s" s="0">
        <v>82</v>
      </c>
      <c r="AI327" t="s" s="0">
        <v>8031</v>
      </c>
      <c r="AJ327" t="s" s="0">
        <v>8032</v>
      </c>
      <c r="AK327" t="s" s="0">
        <v>82</v>
      </c>
      <c r="AL327" t="s" s="0">
        <v>1320</v>
      </c>
      <c r="AM327" t="s" s="0">
        <v>323</v>
      </c>
      <c r="AN327" t="s" s="0">
        <v>239</v>
      </c>
      <c r="AO327" t="s" s="0">
        <v>78</v>
      </c>
      <c r="AP327" t="s" s="0">
        <v>102</v>
      </c>
      <c r="AQ327" t="s" s="0">
        <v>832</v>
      </c>
      <c r="AR327" t="s" s="0">
        <v>833</v>
      </c>
      <c r="AS327" t="s" s="0">
        <v>834</v>
      </c>
      <c r="AT327" t="s" s="0">
        <v>8033</v>
      </c>
      <c r="AU327" t="s" s="0">
        <v>8034</v>
      </c>
      <c r="AV327" t="s" s="0">
        <v>82</v>
      </c>
      <c r="AW327" t="s" s="0">
        <v>8035</v>
      </c>
      <c r="AX327" t="s" s="0">
        <v>8036</v>
      </c>
      <c r="AY327" t="s" s="0">
        <v>5018</v>
      </c>
      <c r="AZ327" t="s" s="0">
        <v>210</v>
      </c>
      <c r="BA327" t="s" s="0">
        <v>274</v>
      </c>
      <c r="BB327" t="s" s="0">
        <v>375</v>
      </c>
      <c r="BC327" t="s" s="0">
        <v>82</v>
      </c>
      <c r="BD327" t="s" s="0">
        <v>82</v>
      </c>
      <c r="BE327" t="s" s="0">
        <v>82</v>
      </c>
      <c r="BF327" t="s" s="0">
        <v>82</v>
      </c>
      <c r="BG327" t="s" s="0">
        <v>8037</v>
      </c>
      <c r="BH327" t="s" s="0">
        <v>8038</v>
      </c>
      <c r="BI327" t="s" s="0">
        <v>82</v>
      </c>
      <c r="BJ327" t="s" s="0">
        <v>8039</v>
      </c>
      <c r="BK327" t="s" s="650">
        <f>HYPERLINK("http://dx.doi.org/10.1097/SLA.0000000000005936","http://dx.doi.org/10.1097/SLA.0000000000005936")</f>
        <v>8040</v>
      </c>
      <c r="BL327" t="s" s="0">
        <v>82</v>
      </c>
      <c r="BM327" t="s" s="0">
        <v>82</v>
      </c>
      <c r="BN327" t="s" s="0">
        <v>375</v>
      </c>
      <c r="BO327" t="s" s="0">
        <v>950</v>
      </c>
      <c r="BP327" t="s" s="0">
        <v>950</v>
      </c>
      <c r="BQ327" t="s" s="0">
        <v>8041</v>
      </c>
      <c r="BR327" t="s" s="0">
        <v>8042</v>
      </c>
      <c r="BS327" t="s" s="0">
        <v>8043</v>
      </c>
      <c r="BT327" t="s" s="651">
        <f>HYPERLINK("https://www.webofscience.com/wos/woscc/full-record/WOS:001162552600009","View Record in Web of Science")</f>
        <v>120</v>
      </c>
      <c r="BU327" t="s" s="0">
        <v>1265</v>
      </c>
      <c r="BV327" t="s" s="0">
        <v>82</v>
      </c>
      <c r="BW327" t="s" s="0">
        <v>82</v>
      </c>
      <c r="BX327" t="s" s="0">
        <v>122</v>
      </c>
    </row>
    <row r="328">
      <c r="A328" t="s" s="0">
        <v>78</v>
      </c>
      <c r="B328" t="s" s="0">
        <v>78</v>
      </c>
      <c r="C328" t="s" s="0">
        <v>78</v>
      </c>
      <c r="D328" t="s" s="0">
        <v>78</v>
      </c>
      <c r="E328" t="s" s="0">
        <v>8044</v>
      </c>
      <c r="F328" t="s" s="0">
        <v>8045</v>
      </c>
      <c r="G328" t="s" s="0">
        <v>8046</v>
      </c>
      <c r="H328" t="s" s="0">
        <v>82</v>
      </c>
      <c r="I328" t="s" s="0">
        <v>83</v>
      </c>
      <c r="J328" t="s" s="0">
        <v>8047</v>
      </c>
      <c r="K328" t="s" s="0">
        <v>8048</v>
      </c>
      <c r="L328" t="s" s="0">
        <v>8049</v>
      </c>
      <c r="M328" t="s" s="0">
        <v>8050</v>
      </c>
      <c r="N328" t="s" s="0">
        <v>8051</v>
      </c>
      <c r="O328" t="s" s="0">
        <v>8052</v>
      </c>
      <c r="P328" t="s" s="0">
        <v>8053</v>
      </c>
      <c r="Q328" t="s" s="0">
        <v>91</v>
      </c>
      <c r="R328" t="s" s="0">
        <v>82</v>
      </c>
      <c r="S328" t="s" s="0">
        <v>82</v>
      </c>
      <c r="T328" t="s" s="0">
        <v>82</v>
      </c>
      <c r="U328" t="s" s="0">
        <v>82</v>
      </c>
      <c r="V328" t="s" s="0">
        <v>8054</v>
      </c>
      <c r="W328" t="s" s="0">
        <v>8055</v>
      </c>
      <c r="X328" t="s" s="0">
        <v>82</v>
      </c>
      <c r="Y328" t="s" s="0">
        <v>82</v>
      </c>
      <c r="Z328" t="s" s="0">
        <v>94</v>
      </c>
      <c r="AA328" t="s" s="0">
        <v>95</v>
      </c>
      <c r="AB328" t="s" s="0">
        <v>82</v>
      </c>
      <c r="AC328" t="s" s="0">
        <v>82</v>
      </c>
      <c r="AD328" t="s" s="0">
        <v>82</v>
      </c>
      <c r="AE328" t="s" s="0">
        <v>82</v>
      </c>
      <c r="AF328" t="s" s="0">
        <v>82</v>
      </c>
      <c r="AG328" t="s" s="0">
        <v>8056</v>
      </c>
      <c r="AH328" t="s" s="0">
        <v>8057</v>
      </c>
      <c r="AI328" t="s" s="0">
        <v>82</v>
      </c>
      <c r="AJ328" t="s" s="0">
        <v>8058</v>
      </c>
      <c r="AK328" t="s" s="0">
        <v>82</v>
      </c>
      <c r="AL328" t="s" s="0">
        <v>4425</v>
      </c>
      <c r="AM328" t="s" s="0">
        <v>78</v>
      </c>
      <c r="AN328" t="s" s="0">
        <v>78</v>
      </c>
      <c r="AO328" t="s" s="0">
        <v>319</v>
      </c>
      <c r="AP328" t="s" s="0">
        <v>319</v>
      </c>
      <c r="AQ328" t="s" s="0">
        <v>1445</v>
      </c>
      <c r="AR328" t="s" s="0">
        <v>492</v>
      </c>
      <c r="AS328" t="s" s="0">
        <v>1446</v>
      </c>
      <c r="AT328" t="s" s="0">
        <v>8059</v>
      </c>
      <c r="AU328" t="s" s="0">
        <v>8060</v>
      </c>
      <c r="AV328" t="s" s="0">
        <v>82</v>
      </c>
      <c r="AW328" t="s" s="0">
        <v>8061</v>
      </c>
      <c r="AX328" t="s" s="0">
        <v>8062</v>
      </c>
      <c r="AY328" t="s" s="0">
        <v>1371</v>
      </c>
      <c r="AZ328" t="s" s="0">
        <v>181</v>
      </c>
      <c r="BA328" t="s" s="0">
        <v>8063</v>
      </c>
      <c r="BB328" t="s" s="0">
        <v>82</v>
      </c>
      <c r="BC328" t="s" s="0">
        <v>82</v>
      </c>
      <c r="BD328" t="s" s="0">
        <v>82</v>
      </c>
      <c r="BE328" t="s" s="0">
        <v>82</v>
      </c>
      <c r="BF328" t="s" s="0">
        <v>82</v>
      </c>
      <c r="BG328" t="s" s="0">
        <v>82</v>
      </c>
      <c r="BH328" t="s" s="0">
        <v>82</v>
      </c>
      <c r="BI328" t="s" s="0">
        <v>8064</v>
      </c>
      <c r="BJ328" t="s" s="0">
        <v>8065</v>
      </c>
      <c r="BK328" t="s" s="652">
        <f>HYPERLINK("http://dx.doi.org/10.1016/j.exger.2025.113019","http://dx.doi.org/10.1016/j.exger.2025.113019")</f>
        <v>8066</v>
      </c>
      <c r="BL328" t="s" s="0">
        <v>82</v>
      </c>
      <c r="BM328" t="s" s="0">
        <v>2302</v>
      </c>
      <c r="BN328" t="s" s="0">
        <v>640</v>
      </c>
      <c r="BO328" t="s" s="0">
        <v>5340</v>
      </c>
      <c r="BP328" t="s" s="0">
        <v>5340</v>
      </c>
      <c r="BQ328" t="s" s="0">
        <v>8067</v>
      </c>
      <c r="BR328" t="s" s="0">
        <v>8068</v>
      </c>
      <c r="BS328" t="s" s="0">
        <v>8069</v>
      </c>
      <c r="BT328" t="s" s="653">
        <f>HYPERLINK("https://www.webofscience.com/wos/woscc/full-record/WOS:001666293800001","View Record in Web of Science")</f>
        <v>120</v>
      </c>
      <c r="BU328" t="s" s="0">
        <v>121</v>
      </c>
      <c r="BV328" t="s" s="0">
        <v>82</v>
      </c>
      <c r="BW328" t="s" s="0">
        <v>82</v>
      </c>
      <c r="BX328" t="s" s="0">
        <v>122</v>
      </c>
    </row>
    <row r="329">
      <c r="A329" t="s" s="0">
        <v>101</v>
      </c>
      <c r="B329" t="s" s="0">
        <v>78</v>
      </c>
      <c r="C329" t="s" s="0">
        <v>349</v>
      </c>
      <c r="D329" t="s" s="0">
        <v>78</v>
      </c>
      <c r="E329" t="s" s="0">
        <v>8070</v>
      </c>
      <c r="F329" t="s" s="0">
        <v>8071</v>
      </c>
      <c r="G329" t="s" s="0">
        <v>8072</v>
      </c>
      <c r="H329" t="s" s="0">
        <v>82</v>
      </c>
      <c r="I329" t="s" s="0">
        <v>589</v>
      </c>
      <c r="J329" t="s" s="0">
        <v>8073</v>
      </c>
      <c r="K329" t="s" s="0">
        <v>8074</v>
      </c>
      <c r="L329" t="s" s="0">
        <v>8075</v>
      </c>
      <c r="M329" t="s" s="0">
        <v>8075</v>
      </c>
      <c r="N329" t="s" s="0">
        <v>8076</v>
      </c>
      <c r="O329" t="s" s="0">
        <v>8077</v>
      </c>
      <c r="P329" t="s" s="0">
        <v>1950</v>
      </c>
      <c r="Q329" t="s" s="0">
        <v>91</v>
      </c>
      <c r="R329" t="s" s="0">
        <v>82</v>
      </c>
      <c r="S329" t="s" s="0">
        <v>82</v>
      </c>
      <c r="T329" t="s" s="0">
        <v>82</v>
      </c>
      <c r="U329" t="s" s="0">
        <v>82</v>
      </c>
      <c r="V329" t="s" s="0">
        <v>8078</v>
      </c>
      <c r="W329" t="s" s="0">
        <v>3747</v>
      </c>
      <c r="X329" t="s" s="0">
        <v>82</v>
      </c>
      <c r="Y329" t="s" s="0">
        <v>82</v>
      </c>
      <c r="Z329" t="s" s="0">
        <v>94</v>
      </c>
      <c r="AA329" t="s" s="0">
        <v>95</v>
      </c>
      <c r="AB329" t="s" s="0">
        <v>82</v>
      </c>
      <c r="AC329" t="s" s="0">
        <v>82</v>
      </c>
      <c r="AD329" t="s" s="0">
        <v>82</v>
      </c>
      <c r="AE329" t="s" s="0">
        <v>82</v>
      </c>
      <c r="AF329" t="s" s="0">
        <v>82</v>
      </c>
      <c r="AG329" t="s" s="0">
        <v>8079</v>
      </c>
      <c r="AH329" t="s" s="0">
        <v>8080</v>
      </c>
      <c r="AI329" t="s" s="0">
        <v>82</v>
      </c>
      <c r="AJ329" t="s" s="0">
        <v>8081</v>
      </c>
      <c r="AK329" t="s" s="0">
        <v>82</v>
      </c>
      <c r="AL329" t="s" s="0">
        <v>238</v>
      </c>
      <c r="AM329" t="s" s="0">
        <v>863</v>
      </c>
      <c r="AN329" t="s" s="0">
        <v>4685</v>
      </c>
      <c r="AO329" t="s" s="0">
        <v>78</v>
      </c>
      <c r="AP329" t="s" s="0">
        <v>173</v>
      </c>
      <c r="AQ329" t="s" s="0">
        <v>491</v>
      </c>
      <c r="AR329" t="s" s="0">
        <v>492</v>
      </c>
      <c r="AS329" t="s" s="0">
        <v>493</v>
      </c>
      <c r="AT329" t="s" s="0">
        <v>3751</v>
      </c>
      <c r="AU329" t="s" s="0">
        <v>3752</v>
      </c>
      <c r="AV329" t="s" s="0">
        <v>82</v>
      </c>
      <c r="AW329" t="s" s="0">
        <v>3753</v>
      </c>
      <c r="AX329" t="s" s="0">
        <v>3754</v>
      </c>
      <c r="AY329" t="s" s="0">
        <v>7715</v>
      </c>
      <c r="AZ329" t="s" s="0">
        <v>1035</v>
      </c>
      <c r="BA329" t="s" s="0">
        <v>1780</v>
      </c>
      <c r="BB329" t="s" s="0">
        <v>319</v>
      </c>
      <c r="BC329" t="s" s="0">
        <v>82</v>
      </c>
      <c r="BD329" t="s" s="0">
        <v>82</v>
      </c>
      <c r="BE329" t="s" s="0">
        <v>82</v>
      </c>
      <c r="BF329" t="s" s="0">
        <v>82</v>
      </c>
      <c r="BG329" t="s" s="0">
        <v>8082</v>
      </c>
      <c r="BH329" t="s" s="0">
        <v>8083</v>
      </c>
      <c r="BI329" t="s" s="0">
        <v>82</v>
      </c>
      <c r="BJ329" t="s" s="0">
        <v>8084</v>
      </c>
      <c r="BK329" t="s" s="654">
        <f>HYPERLINK("http://dx.doi.org/10.1093/jamia/ocaa113","http://dx.doi.org/10.1093/jamia/ocaa113")</f>
        <v>8085</v>
      </c>
      <c r="BL329" t="s" s="0">
        <v>82</v>
      </c>
      <c r="BM329" t="s" s="0">
        <v>82</v>
      </c>
      <c r="BN329" t="s" s="0">
        <v>245</v>
      </c>
      <c r="BO329" t="s" s="0">
        <v>3760</v>
      </c>
      <c r="BP329" t="s" s="0">
        <v>3761</v>
      </c>
      <c r="BQ329" t="s" s="0">
        <v>8086</v>
      </c>
      <c r="BR329" t="s" s="0">
        <v>8087</v>
      </c>
      <c r="BS329" t="s" s="0">
        <v>8088</v>
      </c>
      <c r="BT329" t="s" s="655">
        <f>HYPERLINK("https://www.webofscience.com/wos/woscc/full-record/WOS:000593113300007","View Record in Web of Science")</f>
        <v>120</v>
      </c>
      <c r="BU329" t="s" s="0">
        <v>2333</v>
      </c>
      <c r="BV329" t="s" s="0">
        <v>82</v>
      </c>
      <c r="BW329" t="s" s="0">
        <v>82</v>
      </c>
      <c r="BX329" t="s" s="0">
        <v>122</v>
      </c>
    </row>
    <row r="330">
      <c r="A330" t="s" s="0">
        <v>78</v>
      </c>
      <c r="B330" t="s" s="0">
        <v>78</v>
      </c>
      <c r="C330" t="s" s="0">
        <v>78</v>
      </c>
      <c r="D330" t="s" s="0">
        <v>78</v>
      </c>
      <c r="E330" t="s" s="0">
        <v>8089</v>
      </c>
      <c r="F330" t="s" s="0">
        <v>8090</v>
      </c>
      <c r="G330" t="s" s="0">
        <v>8091</v>
      </c>
      <c r="H330" t="s" s="0">
        <v>82</v>
      </c>
      <c r="I330" t="s" s="0">
        <v>83</v>
      </c>
      <c r="J330" t="s" s="0">
        <v>8092</v>
      </c>
      <c r="K330" t="s" s="0">
        <v>8093</v>
      </c>
      <c r="L330" t="s" s="0">
        <v>8094</v>
      </c>
      <c r="M330" t="s" s="0">
        <v>8095</v>
      </c>
      <c r="N330" t="s" s="0">
        <v>8096</v>
      </c>
      <c r="O330" t="s" s="0">
        <v>8097</v>
      </c>
      <c r="P330" t="s" s="0">
        <v>8098</v>
      </c>
      <c r="Q330" t="s" s="0">
        <v>91</v>
      </c>
      <c r="R330" t="s" s="0">
        <v>82</v>
      </c>
      <c r="S330" t="s" s="0">
        <v>82</v>
      </c>
      <c r="T330" t="s" s="0">
        <v>82</v>
      </c>
      <c r="U330" t="s" s="0">
        <v>82</v>
      </c>
      <c r="V330" t="s" s="0">
        <v>8099</v>
      </c>
      <c r="W330" t="s" s="0">
        <v>4704</v>
      </c>
      <c r="X330" t="s" s="0">
        <v>82</v>
      </c>
      <c r="Y330" t="s" s="0">
        <v>82</v>
      </c>
      <c r="Z330" t="s" s="0">
        <v>94</v>
      </c>
      <c r="AA330" t="s" s="0">
        <v>95</v>
      </c>
      <c r="AB330" t="s" s="0">
        <v>82</v>
      </c>
      <c r="AC330" t="s" s="0">
        <v>82</v>
      </c>
      <c r="AD330" t="s" s="0">
        <v>82</v>
      </c>
      <c r="AE330" t="s" s="0">
        <v>82</v>
      </c>
      <c r="AF330" t="s" s="0">
        <v>82</v>
      </c>
      <c r="AG330" t="s" s="0">
        <v>8100</v>
      </c>
      <c r="AH330" t="s" s="0">
        <v>1778</v>
      </c>
      <c r="AI330" t="s" s="0">
        <v>82</v>
      </c>
      <c r="AJ330" t="s" s="0">
        <v>82</v>
      </c>
      <c r="AK330" t="s" s="0">
        <v>82</v>
      </c>
      <c r="AL330" t="s" s="0">
        <v>148</v>
      </c>
      <c r="AM330" t="s" s="0">
        <v>78</v>
      </c>
      <c r="AN330" t="s" s="0">
        <v>78</v>
      </c>
      <c r="AO330" t="s" s="0">
        <v>78</v>
      </c>
      <c r="AP330" t="s" s="0">
        <v>78</v>
      </c>
      <c r="AQ330" t="s" s="0">
        <v>400</v>
      </c>
      <c r="AR330" t="s" s="0">
        <v>401</v>
      </c>
      <c r="AS330" t="s" s="0">
        <v>402</v>
      </c>
      <c r="AT330" t="s" s="0">
        <v>4707</v>
      </c>
      <c r="AU330" t="s" s="0">
        <v>4708</v>
      </c>
      <c r="AV330" t="s" s="0">
        <v>82</v>
      </c>
      <c r="AW330" t="s" s="0">
        <v>4709</v>
      </c>
      <c r="AX330" t="s" s="0">
        <v>4710</v>
      </c>
      <c r="AY330" t="s" s="0">
        <v>4711</v>
      </c>
      <c r="AZ330" t="s" s="0">
        <v>181</v>
      </c>
      <c r="BA330" t="s" s="0">
        <v>4712</v>
      </c>
      <c r="BB330" t="s" s="0">
        <v>82</v>
      </c>
      <c r="BC330" t="s" s="0">
        <v>82</v>
      </c>
      <c r="BD330" t="s" s="0">
        <v>82</v>
      </c>
      <c r="BE330" t="s" s="0">
        <v>82</v>
      </c>
      <c r="BF330" t="s" s="0">
        <v>82</v>
      </c>
      <c r="BG330" t="s" s="0">
        <v>82</v>
      </c>
      <c r="BH330" t="s" s="0">
        <v>82</v>
      </c>
      <c r="BI330" t="s" s="0">
        <v>8101</v>
      </c>
      <c r="BJ330" t="s" s="0">
        <v>8102</v>
      </c>
      <c r="BK330" t="s" s="656">
        <f>HYPERLINK("http://dx.doi.org/10.1016/j.ijmedinf.2026.106543","http://dx.doi.org/10.1016/j.ijmedinf.2026.106543")</f>
        <v>8103</v>
      </c>
      <c r="BL330" t="s" s="0">
        <v>82</v>
      </c>
      <c r="BM330" t="s" s="0">
        <v>82</v>
      </c>
      <c r="BN330" t="s" s="0">
        <v>245</v>
      </c>
      <c r="BO330" t="s" s="0">
        <v>4716</v>
      </c>
      <c r="BP330" t="s" s="0">
        <v>4717</v>
      </c>
      <c r="BQ330" t="s" s="0">
        <v>8104</v>
      </c>
      <c r="BR330" t="s" s="0">
        <v>8105</v>
      </c>
      <c r="BS330" t="s" s="0">
        <v>8106</v>
      </c>
      <c r="BT330" t="s" s="657">
        <f>HYPERLINK("https://www.webofscience.com/wos/woscc/full-record/WOS:001806065800001","View Record in Web of Science")</f>
        <v>120</v>
      </c>
      <c r="BU330" t="s" s="0">
        <v>82</v>
      </c>
      <c r="BV330" t="s" s="0">
        <v>82</v>
      </c>
      <c r="BW330" t="s" s="0">
        <v>82</v>
      </c>
      <c r="BX330" t="s" s="0">
        <v>122</v>
      </c>
    </row>
    <row r="331">
      <c r="A331" t="s" s="0">
        <v>77</v>
      </c>
      <c r="B331" t="s" s="0">
        <v>78</v>
      </c>
      <c r="C331" t="s" s="0">
        <v>375</v>
      </c>
      <c r="D331" t="s" s="0">
        <v>78</v>
      </c>
      <c r="E331" t="s" s="0">
        <v>8107</v>
      </c>
      <c r="F331" t="s" s="0">
        <v>8108</v>
      </c>
      <c r="G331" t="s" s="0">
        <v>8109</v>
      </c>
      <c r="H331" t="s" s="0">
        <v>82</v>
      </c>
      <c r="I331" t="s" s="0">
        <v>83</v>
      </c>
      <c r="J331" t="s" s="0">
        <v>8110</v>
      </c>
      <c r="K331" t="s" s="0">
        <v>8111</v>
      </c>
      <c r="L331" t="s" s="0">
        <v>82</v>
      </c>
      <c r="M331" t="s" s="0">
        <v>82</v>
      </c>
      <c r="N331" t="s" s="0">
        <v>82</v>
      </c>
      <c r="O331" t="s" s="0">
        <v>8112</v>
      </c>
      <c r="P331" t="s" s="0">
        <v>8113</v>
      </c>
      <c r="Q331" t="s" s="0">
        <v>91</v>
      </c>
      <c r="R331" t="s" s="0">
        <v>82</v>
      </c>
      <c r="S331" t="s" s="0">
        <v>82</v>
      </c>
      <c r="T331" t="s" s="0">
        <v>82</v>
      </c>
      <c r="U331" t="s" s="0">
        <v>82</v>
      </c>
      <c r="V331" t="s" s="0">
        <v>8114</v>
      </c>
      <c r="W331" t="s" s="0">
        <v>7376</v>
      </c>
      <c r="X331" t="s" s="0">
        <v>82</v>
      </c>
      <c r="Y331" t="s" s="0">
        <v>82</v>
      </c>
      <c r="Z331" t="s" s="0">
        <v>94</v>
      </c>
      <c r="AA331" t="s" s="0">
        <v>95</v>
      </c>
      <c r="AB331" t="s" s="0">
        <v>82</v>
      </c>
      <c r="AC331" t="s" s="0">
        <v>82</v>
      </c>
      <c r="AD331" t="s" s="0">
        <v>82</v>
      </c>
      <c r="AE331" t="s" s="0">
        <v>82</v>
      </c>
      <c r="AF331" t="s" s="0">
        <v>82</v>
      </c>
      <c r="AG331" t="s" s="0">
        <v>8115</v>
      </c>
      <c r="AH331" t="s" s="0">
        <v>8116</v>
      </c>
      <c r="AI331" t="s" s="0">
        <v>8117</v>
      </c>
      <c r="AJ331" t="s" s="0">
        <v>8118</v>
      </c>
      <c r="AK331" t="s" s="0">
        <v>82</v>
      </c>
      <c r="AL331" t="s" s="0">
        <v>374</v>
      </c>
      <c r="AM331" t="s" s="0">
        <v>828</v>
      </c>
      <c r="AN331" t="s" s="0">
        <v>745</v>
      </c>
      <c r="AO331" t="s" s="0">
        <v>78</v>
      </c>
      <c r="AP331" t="s" s="0">
        <v>136</v>
      </c>
      <c r="AQ331" t="s" s="0">
        <v>103</v>
      </c>
      <c r="AR331" t="s" s="0">
        <v>104</v>
      </c>
      <c r="AS331" t="s" s="0">
        <v>105</v>
      </c>
      <c r="AT331" t="s" s="0">
        <v>82</v>
      </c>
      <c r="AU331" t="s" s="0">
        <v>7380</v>
      </c>
      <c r="AV331" t="s" s="0">
        <v>82</v>
      </c>
      <c r="AW331" t="s" s="0">
        <v>7376</v>
      </c>
      <c r="AX331" t="s" s="0">
        <v>7381</v>
      </c>
      <c r="AY331" t="s" s="0">
        <v>8119</v>
      </c>
      <c r="AZ331" t="s" s="0">
        <v>525</v>
      </c>
      <c r="BA331" t="s" s="0">
        <v>831</v>
      </c>
      <c r="BB331" t="s" s="0">
        <v>77</v>
      </c>
      <c r="BC331" t="s" s="0">
        <v>82</v>
      </c>
      <c r="BD331" t="s" s="0">
        <v>82</v>
      </c>
      <c r="BE331" t="s" s="0">
        <v>82</v>
      </c>
      <c r="BF331" t="s" s="0">
        <v>82</v>
      </c>
      <c r="BG331" t="s" s="0">
        <v>82</v>
      </c>
      <c r="BH331" t="s" s="0">
        <v>82</v>
      </c>
      <c r="BI331" t="s" s="0">
        <v>8120</v>
      </c>
      <c r="BJ331" t="s" s="0">
        <v>8121</v>
      </c>
      <c r="BK331" t="s" s="658">
        <f>HYPERLINK("http://dx.doi.org/10.1186/s12885-021-08847-9","http://dx.doi.org/10.1186/s12885-021-08847-9")</f>
        <v>8122</v>
      </c>
      <c r="BL331" t="s" s="0">
        <v>82</v>
      </c>
      <c r="BM331" t="s" s="0">
        <v>82</v>
      </c>
      <c r="BN331" t="s" s="0">
        <v>136</v>
      </c>
      <c r="BO331" t="s" s="0">
        <v>4833</v>
      </c>
      <c r="BP331" t="s" s="0">
        <v>4833</v>
      </c>
      <c r="BQ331" t="s" s="0">
        <v>8123</v>
      </c>
      <c r="BR331" t="s" s="0">
        <v>8124</v>
      </c>
      <c r="BS331" t="s" s="0">
        <v>8125</v>
      </c>
      <c r="BT331" t="s" s="659">
        <f>HYPERLINK("https://www.webofscience.com/wos/woscc/full-record/WOS:000708490200009","View Record in Web of Science")</f>
        <v>120</v>
      </c>
      <c r="BU331" t="s" s="0">
        <v>1537</v>
      </c>
      <c r="BV331" t="s" s="0">
        <v>82</v>
      </c>
      <c r="BW331" t="s" s="0">
        <v>82</v>
      </c>
      <c r="BX331" t="s" s="0">
        <v>122</v>
      </c>
    </row>
    <row r="332">
      <c r="A332" t="s" s="0">
        <v>78</v>
      </c>
      <c r="B332" t="s" s="0">
        <v>78</v>
      </c>
      <c r="C332" t="s" s="0">
        <v>78</v>
      </c>
      <c r="D332" t="s" s="0">
        <v>78</v>
      </c>
      <c r="E332" t="s" s="0">
        <v>8126</v>
      </c>
      <c r="F332" t="s" s="0">
        <v>8127</v>
      </c>
      <c r="G332" t="s" s="0">
        <v>8128</v>
      </c>
      <c r="H332" t="s" s="0">
        <v>82</v>
      </c>
      <c r="I332" t="s" s="0">
        <v>83</v>
      </c>
      <c r="J332" t="s" s="0">
        <v>8129</v>
      </c>
      <c r="K332" t="s" s="0">
        <v>8130</v>
      </c>
      <c r="L332" t="s" s="0">
        <v>8131</v>
      </c>
      <c r="M332" t="s" s="0">
        <v>8132</v>
      </c>
      <c r="N332" t="s" s="0">
        <v>8133</v>
      </c>
      <c r="O332" t="s" s="0">
        <v>8134</v>
      </c>
      <c r="P332" t="s" s="0">
        <v>8135</v>
      </c>
      <c r="Q332" t="s" s="0">
        <v>91</v>
      </c>
      <c r="R332" t="s" s="0">
        <v>82</v>
      </c>
      <c r="S332" t="s" s="0">
        <v>82</v>
      </c>
      <c r="T332" t="s" s="0">
        <v>82</v>
      </c>
      <c r="U332" t="s" s="0">
        <v>82</v>
      </c>
      <c r="V332" t="s" s="0">
        <v>8136</v>
      </c>
      <c r="W332" t="s" s="0">
        <v>2825</v>
      </c>
      <c r="X332" t="s" s="0">
        <v>82</v>
      </c>
      <c r="Y332" t="s" s="0">
        <v>82</v>
      </c>
      <c r="Z332" t="s" s="0">
        <v>94</v>
      </c>
      <c r="AA332" t="s" s="0">
        <v>95</v>
      </c>
      <c r="AB332" t="s" s="0">
        <v>82</v>
      </c>
      <c r="AC332" t="s" s="0">
        <v>82</v>
      </c>
      <c r="AD332" t="s" s="0">
        <v>82</v>
      </c>
      <c r="AE332" t="s" s="0">
        <v>82</v>
      </c>
      <c r="AF332" t="s" s="0">
        <v>82</v>
      </c>
      <c r="AG332" t="s" s="0">
        <v>8137</v>
      </c>
      <c r="AH332" t="s" s="0">
        <v>8138</v>
      </c>
      <c r="AI332" t="s" s="0">
        <v>82</v>
      </c>
      <c r="AJ332" t="s" s="0">
        <v>82</v>
      </c>
      <c r="AK332" t="s" s="0">
        <v>82</v>
      </c>
      <c r="AL332" t="s" s="0">
        <v>1026</v>
      </c>
      <c r="AM332" t="s" s="0">
        <v>77</v>
      </c>
      <c r="AN332" t="s" s="0">
        <v>77</v>
      </c>
      <c r="AO332" t="s" s="0">
        <v>78</v>
      </c>
      <c r="AP332" t="s" s="0">
        <v>78</v>
      </c>
      <c r="AQ332" t="s" s="0">
        <v>400</v>
      </c>
      <c r="AR332" t="s" s="0">
        <v>401</v>
      </c>
      <c r="AS332" t="s" s="0">
        <v>402</v>
      </c>
      <c r="AT332" t="s" s="0">
        <v>2829</v>
      </c>
      <c r="AU332" t="s" s="0">
        <v>2830</v>
      </c>
      <c r="AV332" t="s" s="0">
        <v>82</v>
      </c>
      <c r="AW332" t="s" s="0">
        <v>2831</v>
      </c>
      <c r="AX332" t="s" s="0">
        <v>2832</v>
      </c>
      <c r="AY332" t="s" s="0">
        <v>4711</v>
      </c>
      <c r="AZ332" t="s" s="0">
        <v>181</v>
      </c>
      <c r="BA332" t="s" s="0">
        <v>8139</v>
      </c>
      <c r="BB332" t="s" s="0">
        <v>82</v>
      </c>
      <c r="BC332" t="s" s="0">
        <v>82</v>
      </c>
      <c r="BD332" t="s" s="0">
        <v>82</v>
      </c>
      <c r="BE332" t="s" s="0">
        <v>82</v>
      </c>
      <c r="BF332" t="s" s="0">
        <v>82</v>
      </c>
      <c r="BG332" t="s" s="0">
        <v>82</v>
      </c>
      <c r="BH332" t="s" s="0">
        <v>82</v>
      </c>
      <c r="BI332" t="s" s="0">
        <v>8140</v>
      </c>
      <c r="BJ332" t="s" s="0">
        <v>8141</v>
      </c>
      <c r="BK332" t="s" s="660">
        <f>HYPERLINK("http://dx.doi.org/10.1016/j.cmpb.2026.109533","http://dx.doi.org/10.1016/j.cmpb.2026.109533")</f>
        <v>8142</v>
      </c>
      <c r="BL332" t="s" s="0">
        <v>82</v>
      </c>
      <c r="BM332" t="s" s="0">
        <v>184</v>
      </c>
      <c r="BN332" t="s" s="0">
        <v>137</v>
      </c>
      <c r="BO332" t="s" s="0">
        <v>2838</v>
      </c>
      <c r="BP332" t="s" s="0">
        <v>2839</v>
      </c>
      <c r="BQ332" t="s" s="0">
        <v>8143</v>
      </c>
      <c r="BR332" t="s" s="0">
        <v>8144</v>
      </c>
      <c r="BS332" t="s" s="0">
        <v>8145</v>
      </c>
      <c r="BT332" t="s" s="661">
        <f>HYPERLINK("https://www.webofscience.com/wos/woscc/full-record/WOS:001813490600001","View Record in Web of Science")</f>
        <v>120</v>
      </c>
      <c r="BU332" t="s" s="0">
        <v>82</v>
      </c>
      <c r="BV332" t="s" s="0">
        <v>82</v>
      </c>
      <c r="BW332" t="s" s="0">
        <v>82</v>
      </c>
      <c r="BX332" t="s" s="0">
        <v>122</v>
      </c>
    </row>
    <row r="333">
      <c r="A333" t="s" s="0">
        <v>78</v>
      </c>
      <c r="B333" t="s" s="0">
        <v>78</v>
      </c>
      <c r="C333" t="s" s="0">
        <v>78</v>
      </c>
      <c r="D333" t="s" s="0">
        <v>78</v>
      </c>
      <c r="E333" t="s" s="0">
        <v>8146</v>
      </c>
      <c r="F333" t="s" s="0">
        <v>8147</v>
      </c>
      <c r="G333" t="s" s="0">
        <v>8148</v>
      </c>
      <c r="H333" t="s" s="0">
        <v>82</v>
      </c>
      <c r="I333" t="s" s="0">
        <v>83</v>
      </c>
      <c r="J333" t="s" s="0">
        <v>8149</v>
      </c>
      <c r="K333" t="s" s="0">
        <v>8150</v>
      </c>
      <c r="L333" t="s" s="0">
        <v>8151</v>
      </c>
      <c r="M333" t="s" s="0">
        <v>8152</v>
      </c>
      <c r="N333" t="s" s="0">
        <v>8153</v>
      </c>
      <c r="O333" t="s" s="0">
        <v>8154</v>
      </c>
      <c r="P333" t="s" s="0">
        <v>8155</v>
      </c>
      <c r="Q333" t="s" s="0">
        <v>91</v>
      </c>
      <c r="R333" t="s" s="0">
        <v>82</v>
      </c>
      <c r="S333" t="s" s="0">
        <v>82</v>
      </c>
      <c r="T333" t="s" s="0">
        <v>82</v>
      </c>
      <c r="U333" t="s" s="0">
        <v>82</v>
      </c>
      <c r="V333" t="s" s="0">
        <v>8156</v>
      </c>
      <c r="W333" t="s" s="0">
        <v>8157</v>
      </c>
      <c r="X333" t="s" s="0">
        <v>82</v>
      </c>
      <c r="Y333" t="s" s="0">
        <v>82</v>
      </c>
      <c r="Z333" t="s" s="0">
        <v>94</v>
      </c>
      <c r="AA333" t="s" s="0">
        <v>95</v>
      </c>
      <c r="AB333" t="s" s="0">
        <v>82</v>
      </c>
      <c r="AC333" t="s" s="0">
        <v>82</v>
      </c>
      <c r="AD333" t="s" s="0">
        <v>82</v>
      </c>
      <c r="AE333" t="s" s="0">
        <v>82</v>
      </c>
      <c r="AF333" t="s" s="0">
        <v>82</v>
      </c>
      <c r="AG333" t="s" s="0">
        <v>8158</v>
      </c>
      <c r="AH333" t="s" s="0">
        <v>8159</v>
      </c>
      <c r="AI333" t="s" s="0">
        <v>8160</v>
      </c>
      <c r="AJ333" t="s" s="0">
        <v>8161</v>
      </c>
      <c r="AK333" t="s" s="0">
        <v>82</v>
      </c>
      <c r="AL333" t="s" s="0">
        <v>463</v>
      </c>
      <c r="AM333" t="s" s="0">
        <v>78</v>
      </c>
      <c r="AN333" t="s" s="0">
        <v>78</v>
      </c>
      <c r="AO333" t="s" s="0">
        <v>77</v>
      </c>
      <c r="AP333" t="s" s="0">
        <v>77</v>
      </c>
      <c r="AQ333" t="s" s="0">
        <v>103</v>
      </c>
      <c r="AR333" t="s" s="0">
        <v>104</v>
      </c>
      <c r="AS333" t="s" s="0">
        <v>105</v>
      </c>
      <c r="AT333" t="s" s="0">
        <v>8162</v>
      </c>
      <c r="AU333" t="s" s="0">
        <v>82</v>
      </c>
      <c r="AV333" t="s" s="0">
        <v>82</v>
      </c>
      <c r="AW333" t="s" s="0">
        <v>8163</v>
      </c>
      <c r="AX333" t="s" s="0">
        <v>8164</v>
      </c>
      <c r="AY333" t="s" s="0">
        <v>8165</v>
      </c>
      <c r="AZ333" t="s" s="0">
        <v>181</v>
      </c>
      <c r="BA333" t="s" s="0">
        <v>353</v>
      </c>
      <c r="BB333" t="s" s="0">
        <v>77</v>
      </c>
      <c r="BC333" t="s" s="0">
        <v>82</v>
      </c>
      <c r="BD333" t="s" s="0">
        <v>82</v>
      </c>
      <c r="BE333" t="s" s="0">
        <v>82</v>
      </c>
      <c r="BF333" t="s" s="0">
        <v>82</v>
      </c>
      <c r="BG333" t="s" s="0">
        <v>82</v>
      </c>
      <c r="BH333" t="s" s="0">
        <v>82</v>
      </c>
      <c r="BI333" t="s" s="0">
        <v>8166</v>
      </c>
      <c r="BJ333" t="s" s="0">
        <v>8167</v>
      </c>
      <c r="BK333" t="s" s="662">
        <f>HYPERLINK("http://dx.doi.org/10.1186/s12871-026-03841-9","http://dx.doi.org/10.1186/s12871-026-03841-9")</f>
        <v>8168</v>
      </c>
      <c r="BL333" t="s" s="0">
        <v>82</v>
      </c>
      <c r="BM333" t="s" s="0">
        <v>82</v>
      </c>
      <c r="BN333" t="s" s="0">
        <v>149</v>
      </c>
      <c r="BO333" t="s" s="0">
        <v>729</v>
      </c>
      <c r="BP333" t="s" s="0">
        <v>729</v>
      </c>
      <c r="BQ333" t="s" s="0">
        <v>8169</v>
      </c>
      <c r="BR333" t="s" s="0">
        <v>8170</v>
      </c>
      <c r="BS333" t="s" s="0">
        <v>8171</v>
      </c>
      <c r="BT333" t="s" s="663">
        <f>HYPERLINK("https://www.webofscience.com/wos/woscc/full-record/WOS:001779299200001","View Record in Web of Science")</f>
        <v>120</v>
      </c>
      <c r="BU333" t="s" s="0">
        <v>121</v>
      </c>
      <c r="BV333" t="s" s="0">
        <v>82</v>
      </c>
      <c r="BW333" t="s" s="0">
        <v>82</v>
      </c>
      <c r="BX333" t="s" s="0">
        <v>122</v>
      </c>
    </row>
    <row r="334">
      <c r="A334" t="s" s="0">
        <v>78</v>
      </c>
      <c r="B334" t="s" s="0">
        <v>78</v>
      </c>
      <c r="C334" t="s" s="0">
        <v>319</v>
      </c>
      <c r="D334" t="s" s="0">
        <v>78</v>
      </c>
      <c r="E334" t="s" s="0">
        <v>8172</v>
      </c>
      <c r="F334" t="s" s="0">
        <v>8173</v>
      </c>
      <c r="G334" t="s" s="0">
        <v>8174</v>
      </c>
      <c r="H334" t="s" s="0">
        <v>82</v>
      </c>
      <c r="I334" t="s" s="0">
        <v>83</v>
      </c>
      <c r="J334" t="s" s="0">
        <v>8175</v>
      </c>
      <c r="K334" t="s" s="0">
        <v>8176</v>
      </c>
      <c r="L334" t="s" s="0">
        <v>8177</v>
      </c>
      <c r="M334" t="s" s="0">
        <v>8177</v>
      </c>
      <c r="N334" t="s" s="0">
        <v>8178</v>
      </c>
      <c r="O334" t="s" s="0">
        <v>8179</v>
      </c>
      <c r="P334" t="s" s="0">
        <v>8180</v>
      </c>
      <c r="Q334" t="s" s="0">
        <v>91</v>
      </c>
      <c r="R334" t="s" s="0">
        <v>82</v>
      </c>
      <c r="S334" t="s" s="0">
        <v>82</v>
      </c>
      <c r="T334" t="s" s="0">
        <v>82</v>
      </c>
      <c r="U334" t="s" s="0">
        <v>82</v>
      </c>
      <c r="V334" t="s" s="0">
        <v>8181</v>
      </c>
      <c r="W334" t="s" s="0">
        <v>8182</v>
      </c>
      <c r="X334" t="s" s="0">
        <v>82</v>
      </c>
      <c r="Y334" t="s" s="0">
        <v>82</v>
      </c>
      <c r="Z334" t="s" s="0">
        <v>94</v>
      </c>
      <c r="AA334" t="s" s="0">
        <v>95</v>
      </c>
      <c r="AB334" t="s" s="0">
        <v>82</v>
      </c>
      <c r="AC334" t="s" s="0">
        <v>82</v>
      </c>
      <c r="AD334" t="s" s="0">
        <v>82</v>
      </c>
      <c r="AE334" t="s" s="0">
        <v>82</v>
      </c>
      <c r="AF334" t="s" s="0">
        <v>82</v>
      </c>
      <c r="AG334" t="s" s="0">
        <v>8183</v>
      </c>
      <c r="AH334" t="s" s="0">
        <v>8184</v>
      </c>
      <c r="AI334" t="s" s="0">
        <v>8185</v>
      </c>
      <c r="AJ334" t="s" s="0">
        <v>8186</v>
      </c>
      <c r="AK334" t="s" s="0">
        <v>82</v>
      </c>
      <c r="AL334" t="s" s="0">
        <v>238</v>
      </c>
      <c r="AM334" t="s" s="0">
        <v>745</v>
      </c>
      <c r="AN334" t="s" s="0">
        <v>864</v>
      </c>
      <c r="AO334" t="s" s="0">
        <v>77</v>
      </c>
      <c r="AP334" t="s" s="0">
        <v>115</v>
      </c>
      <c r="AQ334" t="s" s="0">
        <v>491</v>
      </c>
      <c r="AR334" t="s" s="0">
        <v>492</v>
      </c>
      <c r="AS334" t="s" s="0">
        <v>493</v>
      </c>
      <c r="AT334" t="s" s="0">
        <v>8187</v>
      </c>
      <c r="AU334" t="s" s="0">
        <v>8188</v>
      </c>
      <c r="AV334" t="s" s="0">
        <v>82</v>
      </c>
      <c r="AW334" t="s" s="0">
        <v>8189</v>
      </c>
      <c r="AX334" t="s" s="0">
        <v>8190</v>
      </c>
      <c r="AY334" t="s" s="0">
        <v>8191</v>
      </c>
      <c r="AZ334" t="s" s="0">
        <v>110</v>
      </c>
      <c r="BA334" t="s" s="0">
        <v>111</v>
      </c>
      <c r="BB334" t="s" s="0">
        <v>101</v>
      </c>
      <c r="BC334" t="s" s="0">
        <v>82</v>
      </c>
      <c r="BD334" t="s" s="0">
        <v>82</v>
      </c>
      <c r="BE334" t="s" s="0">
        <v>82</v>
      </c>
      <c r="BF334" t="s" s="0">
        <v>82</v>
      </c>
      <c r="BG334" t="s" s="0">
        <v>8192</v>
      </c>
      <c r="BH334" t="s" s="0">
        <v>8193</v>
      </c>
      <c r="BI334" t="s" s="0">
        <v>82</v>
      </c>
      <c r="BJ334" t="s" s="0">
        <v>8194</v>
      </c>
      <c r="BK334" t="s" s="664">
        <f>HYPERLINK("http://dx.doi.org/10.1093/ehjci/jead280","http://dx.doi.org/10.1093/ehjci/jead280")</f>
        <v>8195</v>
      </c>
      <c r="BL334" t="s" s="0">
        <v>82</v>
      </c>
      <c r="BM334" t="s" s="0">
        <v>552</v>
      </c>
      <c r="BN334" t="s" s="0">
        <v>115</v>
      </c>
      <c r="BO334" t="s" s="0">
        <v>4222</v>
      </c>
      <c r="BP334" t="s" s="0">
        <v>4223</v>
      </c>
      <c r="BQ334" t="s" s="0">
        <v>8196</v>
      </c>
      <c r="BR334" t="s" s="0">
        <v>8197</v>
      </c>
      <c r="BS334" t="s" s="0">
        <v>8198</v>
      </c>
      <c r="BT334" t="s" s="665">
        <f>HYPERLINK("https://www.webofscience.com/wos/woscc/full-record/WOS:001105148400001","View Record in Web of Science")</f>
        <v>120</v>
      </c>
      <c r="BU334" t="s" s="0">
        <v>256</v>
      </c>
      <c r="BV334" t="s" s="0">
        <v>82</v>
      </c>
      <c r="BW334" t="s" s="0">
        <v>82</v>
      </c>
      <c r="BX334" t="s" s="0">
        <v>122</v>
      </c>
    </row>
    <row r="335">
      <c r="A335" t="s" s="0">
        <v>78</v>
      </c>
      <c r="B335" t="s" s="0">
        <v>78</v>
      </c>
      <c r="C335" t="s" s="0">
        <v>78</v>
      </c>
      <c r="D335" t="s" s="0">
        <v>78</v>
      </c>
      <c r="E335" t="s" s="0">
        <v>8199</v>
      </c>
      <c r="F335" t="s" s="0">
        <v>8200</v>
      </c>
      <c r="G335" t="s" s="0">
        <v>8201</v>
      </c>
      <c r="H335" t="s" s="0">
        <v>82</v>
      </c>
      <c r="I335" t="s" s="0">
        <v>83</v>
      </c>
      <c r="J335" t="s" s="0">
        <v>8202</v>
      </c>
      <c r="K335" t="s" s="0">
        <v>8203</v>
      </c>
      <c r="L335" t="s" s="0">
        <v>82</v>
      </c>
      <c r="M335" t="s" s="0">
        <v>82</v>
      </c>
      <c r="N335" t="s" s="0">
        <v>82</v>
      </c>
      <c r="O335" t="s" s="0">
        <v>8204</v>
      </c>
      <c r="P335" t="s" s="0">
        <v>8205</v>
      </c>
      <c r="Q335" t="s" s="0">
        <v>91</v>
      </c>
      <c r="R335" t="s" s="0">
        <v>82</v>
      </c>
      <c r="S335" t="s" s="0">
        <v>82</v>
      </c>
      <c r="T335" t="s" s="0">
        <v>82</v>
      </c>
      <c r="U335" t="s" s="0">
        <v>82</v>
      </c>
      <c r="V335" t="s" s="0">
        <v>8206</v>
      </c>
      <c r="W335" t="s" s="0">
        <v>543</v>
      </c>
      <c r="X335" t="s" s="0">
        <v>82</v>
      </c>
      <c r="Y335" t="s" s="0">
        <v>82</v>
      </c>
      <c r="Z335" t="s" s="0">
        <v>94</v>
      </c>
      <c r="AA335" t="s" s="0">
        <v>95</v>
      </c>
      <c r="AB335" t="s" s="0">
        <v>82</v>
      </c>
      <c r="AC335" t="s" s="0">
        <v>82</v>
      </c>
      <c r="AD335" t="s" s="0">
        <v>82</v>
      </c>
      <c r="AE335" t="s" s="0">
        <v>82</v>
      </c>
      <c r="AF335" t="s" s="0">
        <v>82</v>
      </c>
      <c r="AG335" t="s" s="0">
        <v>8207</v>
      </c>
      <c r="AH335" t="s" s="0">
        <v>8208</v>
      </c>
      <c r="AI335" t="s" s="0">
        <v>8209</v>
      </c>
      <c r="AJ335" t="s" s="0">
        <v>8210</v>
      </c>
      <c r="AK335" t="s" s="0">
        <v>82</v>
      </c>
      <c r="AL335" t="s" s="0">
        <v>353</v>
      </c>
      <c r="AM335" t="s" s="0">
        <v>1161</v>
      </c>
      <c r="AN335" t="s" s="0">
        <v>353</v>
      </c>
      <c r="AO335" t="s" s="0">
        <v>78</v>
      </c>
      <c r="AP335" t="s" s="0">
        <v>221</v>
      </c>
      <c r="AQ335" t="s" s="0">
        <v>312</v>
      </c>
      <c r="AR335" t="s" s="0">
        <v>313</v>
      </c>
      <c r="AS335" t="s" s="0">
        <v>549</v>
      </c>
      <c r="AT335" t="s" s="0">
        <v>82</v>
      </c>
      <c r="AU335" t="s" s="0">
        <v>550</v>
      </c>
      <c r="AV335" t="s" s="0">
        <v>82</v>
      </c>
      <c r="AW335" t="s" s="0">
        <v>543</v>
      </c>
      <c r="AX335" t="s" s="0">
        <v>551</v>
      </c>
      <c r="AY335" t="s" s="0">
        <v>8211</v>
      </c>
      <c r="AZ335" t="s" s="0">
        <v>210</v>
      </c>
      <c r="BA335" t="s" s="0">
        <v>115</v>
      </c>
      <c r="BB335" t="s" s="0">
        <v>319</v>
      </c>
      <c r="BC335" t="s" s="0">
        <v>82</v>
      </c>
      <c r="BD335" t="s" s="0">
        <v>82</v>
      </c>
      <c r="BE335" t="s" s="0">
        <v>82</v>
      </c>
      <c r="BF335" t="s" s="0">
        <v>82</v>
      </c>
      <c r="BG335" t="s" s="0">
        <v>82</v>
      </c>
      <c r="BH335" t="s" s="0">
        <v>82</v>
      </c>
      <c r="BI335" t="s" s="0">
        <v>8212</v>
      </c>
      <c r="BJ335" t="s" s="0">
        <v>8213</v>
      </c>
      <c r="BK335" t="s" s="666">
        <f>HYPERLINK("http://dx.doi.org/10.3390/diagnostics13091657","http://dx.doi.org/10.3390/diagnostics13091657")</f>
        <v>8214</v>
      </c>
      <c r="BL335" t="s" s="0">
        <v>82</v>
      </c>
      <c r="BM335" t="s" s="0">
        <v>82</v>
      </c>
      <c r="BN335" t="s" s="0">
        <v>137</v>
      </c>
      <c r="BO335" t="s" s="0">
        <v>354</v>
      </c>
      <c r="BP335" t="s" s="0">
        <v>355</v>
      </c>
      <c r="BQ335" t="s" s="0">
        <v>8215</v>
      </c>
      <c r="BR335" t="s" s="0">
        <v>8216</v>
      </c>
      <c r="BS335" t="s" s="0">
        <v>8217</v>
      </c>
      <c r="BT335" t="s" s="667">
        <f>HYPERLINK("https://www.webofscience.com/wos/woscc/full-record/WOS:000986905600001","View Record in Web of Science")</f>
        <v>120</v>
      </c>
      <c r="BU335" t="s" s="0">
        <v>121</v>
      </c>
      <c r="BV335" t="s" s="0">
        <v>82</v>
      </c>
      <c r="BW335" t="s" s="0">
        <v>82</v>
      </c>
      <c r="BX335" t="s" s="0">
        <v>122</v>
      </c>
    </row>
    <row r="336">
      <c r="A336" t="s" s="0">
        <v>78</v>
      </c>
      <c r="B336" t="s" s="0">
        <v>78</v>
      </c>
      <c r="C336" t="s" s="0">
        <v>78</v>
      </c>
      <c r="D336" t="s" s="0">
        <v>78</v>
      </c>
      <c r="E336" t="s" s="0">
        <v>8218</v>
      </c>
      <c r="F336" t="s" s="0">
        <v>8219</v>
      </c>
      <c r="G336" t="s" s="0">
        <v>8220</v>
      </c>
      <c r="H336" t="s" s="0">
        <v>82</v>
      </c>
      <c r="I336" t="s" s="0">
        <v>83</v>
      </c>
      <c r="J336" t="s" s="0">
        <v>8221</v>
      </c>
      <c r="K336" t="s" s="0">
        <v>8222</v>
      </c>
      <c r="L336" t="s" s="0">
        <v>8223</v>
      </c>
      <c r="M336" t="s" s="0">
        <v>8223</v>
      </c>
      <c r="N336" t="s" s="0">
        <v>8224</v>
      </c>
      <c r="O336" t="s" s="0">
        <v>8225</v>
      </c>
      <c r="P336" t="s" s="0">
        <v>82</v>
      </c>
      <c r="Q336" t="s" s="0">
        <v>91</v>
      </c>
      <c r="R336" t="s" s="0">
        <v>82</v>
      </c>
      <c r="S336" t="s" s="0">
        <v>82</v>
      </c>
      <c r="T336" t="s" s="0">
        <v>82</v>
      </c>
      <c r="U336" t="s" s="0">
        <v>82</v>
      </c>
      <c r="V336" t="s" s="0">
        <v>8226</v>
      </c>
      <c r="W336" t="s" s="0">
        <v>8227</v>
      </c>
      <c r="X336" t="s" s="0">
        <v>82</v>
      </c>
      <c r="Y336" t="s" s="0">
        <v>82</v>
      </c>
      <c r="Z336" t="s" s="0">
        <v>94</v>
      </c>
      <c r="AA336" t="s" s="0">
        <v>169</v>
      </c>
      <c r="AB336" t="s" s="0">
        <v>82</v>
      </c>
      <c r="AC336" t="s" s="0">
        <v>82</v>
      </c>
      <c r="AD336" t="s" s="0">
        <v>82</v>
      </c>
      <c r="AE336" t="s" s="0">
        <v>82</v>
      </c>
      <c r="AF336" t="s" s="0">
        <v>82</v>
      </c>
      <c r="AG336" t="s" s="0">
        <v>8228</v>
      </c>
      <c r="AH336" t="s" s="0">
        <v>8229</v>
      </c>
      <c r="AI336" t="s" s="0">
        <v>8230</v>
      </c>
      <c r="AJ336" t="s" s="0">
        <v>8231</v>
      </c>
      <c r="AK336" t="s" s="0">
        <v>82</v>
      </c>
      <c r="AL336" t="s" s="0">
        <v>831</v>
      </c>
      <c r="AM336" t="s" s="0">
        <v>78</v>
      </c>
      <c r="AN336" t="s" s="0">
        <v>78</v>
      </c>
      <c r="AO336" t="s" s="0">
        <v>78</v>
      </c>
      <c r="AP336" t="s" s="0">
        <v>78</v>
      </c>
      <c r="AQ336" t="s" s="0">
        <v>968</v>
      </c>
      <c r="AR336" t="s" s="0">
        <v>969</v>
      </c>
      <c r="AS336" t="s" s="0">
        <v>1335</v>
      </c>
      <c r="AT336" t="s" s="0">
        <v>8232</v>
      </c>
      <c r="AU336" t="s" s="0">
        <v>8233</v>
      </c>
      <c r="AV336" t="s" s="0">
        <v>82</v>
      </c>
      <c r="AW336" t="s" s="0">
        <v>8234</v>
      </c>
      <c r="AX336" t="s" s="0">
        <v>8235</v>
      </c>
      <c r="AY336" t="s" s="0">
        <v>82</v>
      </c>
      <c r="AZ336" t="s" s="0">
        <v>181</v>
      </c>
      <c r="BA336" t="s" s="0">
        <v>82</v>
      </c>
      <c r="BB336" t="s" s="0">
        <v>82</v>
      </c>
      <c r="BC336" t="s" s="0">
        <v>82</v>
      </c>
      <c r="BD336" t="s" s="0">
        <v>82</v>
      </c>
      <c r="BE336" t="s" s="0">
        <v>82</v>
      </c>
      <c r="BF336" t="s" s="0">
        <v>82</v>
      </c>
      <c r="BG336" t="s" s="0">
        <v>82</v>
      </c>
      <c r="BH336" t="s" s="0">
        <v>82</v>
      </c>
      <c r="BI336" t="s" s="0">
        <v>82</v>
      </c>
      <c r="BJ336" t="s" s="0">
        <v>8236</v>
      </c>
      <c r="BK336" t="s" s="668">
        <f>HYPERLINK("http://dx.doi.org/10.1055/a-2870-0924","http://dx.doi.org/10.1055/a-2870-0924")</f>
        <v>8237</v>
      </c>
      <c r="BL336" t="s" s="0">
        <v>82</v>
      </c>
      <c r="BM336" t="s" s="0">
        <v>3226</v>
      </c>
      <c r="BN336" t="s" s="0">
        <v>137</v>
      </c>
      <c r="BO336" t="s" s="0">
        <v>185</v>
      </c>
      <c r="BP336" t="s" s="0">
        <v>185</v>
      </c>
      <c r="BQ336" t="s" s="0">
        <v>8238</v>
      </c>
      <c r="BR336" t="s" s="0">
        <v>8239</v>
      </c>
      <c r="BS336" t="s" s="0">
        <v>8240</v>
      </c>
      <c r="BT336" t="s" s="669">
        <f>HYPERLINK("https://www.webofscience.com/wos/woscc/full-record/WOS:001845858100001","View Record in Web of Science")</f>
        <v>120</v>
      </c>
      <c r="BU336" t="s" s="0">
        <v>82</v>
      </c>
      <c r="BV336" t="s" s="0">
        <v>82</v>
      </c>
      <c r="BW336" t="s" s="0">
        <v>82</v>
      </c>
      <c r="BX336" t="s" s="0">
        <v>122</v>
      </c>
    </row>
    <row r="337">
      <c r="A337" t="s" s="0">
        <v>78</v>
      </c>
      <c r="B337" t="s" s="0">
        <v>78</v>
      </c>
      <c r="C337" t="s" s="0">
        <v>77</v>
      </c>
      <c r="D337" t="s" s="0">
        <v>78</v>
      </c>
      <c r="E337" t="s" s="0">
        <v>8241</v>
      </c>
      <c r="F337" t="s" s="0">
        <v>8242</v>
      </c>
      <c r="G337" t="s" s="0">
        <v>8243</v>
      </c>
      <c r="H337" t="s" s="0">
        <v>82</v>
      </c>
      <c r="I337" t="s" s="0">
        <v>83</v>
      </c>
      <c r="J337" t="s" s="0">
        <v>8244</v>
      </c>
      <c r="K337" t="s" s="0">
        <v>8245</v>
      </c>
      <c r="L337" t="s" s="0">
        <v>8246</v>
      </c>
      <c r="M337" t="s" s="0">
        <v>8247</v>
      </c>
      <c r="N337" t="s" s="0">
        <v>8248</v>
      </c>
      <c r="O337" t="s" s="0">
        <v>8249</v>
      </c>
      <c r="P337" t="s" s="0">
        <v>8250</v>
      </c>
      <c r="Q337" t="s" s="0">
        <v>91</v>
      </c>
      <c r="R337" t="s" s="0">
        <v>82</v>
      </c>
      <c r="S337" t="s" s="0">
        <v>82</v>
      </c>
      <c r="T337" t="s" s="0">
        <v>82</v>
      </c>
      <c r="U337" t="s" s="0">
        <v>82</v>
      </c>
      <c r="V337" t="s" s="0">
        <v>8251</v>
      </c>
      <c r="W337" t="s" s="0">
        <v>965</v>
      </c>
      <c r="X337" t="s" s="0">
        <v>82</v>
      </c>
      <c r="Y337" t="s" s="0">
        <v>82</v>
      </c>
      <c r="Z337" t="s" s="0">
        <v>94</v>
      </c>
      <c r="AA337" t="s" s="0">
        <v>95</v>
      </c>
      <c r="AB337" t="s" s="0">
        <v>82</v>
      </c>
      <c r="AC337" t="s" s="0">
        <v>82</v>
      </c>
      <c r="AD337" t="s" s="0">
        <v>82</v>
      </c>
      <c r="AE337" t="s" s="0">
        <v>82</v>
      </c>
      <c r="AF337" t="s" s="0">
        <v>82</v>
      </c>
      <c r="AG337" t="s" s="0">
        <v>82</v>
      </c>
      <c r="AH337" t="s" s="0">
        <v>8252</v>
      </c>
      <c r="AI337" t="s" s="0">
        <v>8253</v>
      </c>
      <c r="AJ337" t="s" s="0">
        <v>82</v>
      </c>
      <c r="AK337" t="s" s="0">
        <v>82</v>
      </c>
      <c r="AL337" t="s" s="0">
        <v>353</v>
      </c>
      <c r="AM337" t="s" s="0">
        <v>102</v>
      </c>
      <c r="AN337" t="s" s="0">
        <v>102</v>
      </c>
      <c r="AO337" t="s" s="0">
        <v>447</v>
      </c>
      <c r="AP337" t="s" s="0">
        <v>447</v>
      </c>
      <c r="AQ337" t="s" s="0">
        <v>968</v>
      </c>
      <c r="AR337" t="s" s="0">
        <v>969</v>
      </c>
      <c r="AS337" t="s" s="0">
        <v>1335</v>
      </c>
      <c r="AT337" t="s" s="0">
        <v>971</v>
      </c>
      <c r="AU337" t="s" s="0">
        <v>972</v>
      </c>
      <c r="AV337" t="s" s="0">
        <v>82</v>
      </c>
      <c r="AW337" t="s" s="0">
        <v>965</v>
      </c>
      <c r="AX337" t="s" s="0">
        <v>973</v>
      </c>
      <c r="AY337" t="s" s="0">
        <v>153</v>
      </c>
      <c r="AZ337" t="s" s="0">
        <v>181</v>
      </c>
      <c r="BA337" t="s" s="0">
        <v>1478</v>
      </c>
      <c r="BB337" t="s" s="0">
        <v>8254</v>
      </c>
      <c r="BC337" t="s" s="0">
        <v>82</v>
      </c>
      <c r="BD337" t="s" s="0">
        <v>82</v>
      </c>
      <c r="BE337" t="s" s="0">
        <v>82</v>
      </c>
      <c r="BF337" t="s" s="0">
        <v>82</v>
      </c>
      <c r="BG337" t="s" s="0">
        <v>2003</v>
      </c>
      <c r="BH337" t="s" s="0">
        <v>1839</v>
      </c>
      <c r="BI337" t="s" s="0">
        <v>82</v>
      </c>
      <c r="BJ337" t="s" s="0">
        <v>8255</v>
      </c>
      <c r="BK337" t="s" s="670">
        <f>HYPERLINK("http://dx.doi.org/10.1055/a-2701-6530","http://dx.doi.org/10.1055/a-2701-6530")</f>
        <v>8256</v>
      </c>
      <c r="BL337" t="s" s="0">
        <v>82</v>
      </c>
      <c r="BM337" t="s" s="0">
        <v>5604</v>
      </c>
      <c r="BN337" t="s" s="0">
        <v>245</v>
      </c>
      <c r="BO337" t="s" s="0">
        <v>978</v>
      </c>
      <c r="BP337" t="s" s="0">
        <v>978</v>
      </c>
      <c r="BQ337" t="s" s="0">
        <v>8257</v>
      </c>
      <c r="BR337" t="s" s="0">
        <v>8258</v>
      </c>
      <c r="BS337" t="s" s="0">
        <v>8259</v>
      </c>
      <c r="BT337" t="s" s="671">
        <f>HYPERLINK("https://www.webofscience.com/wos/woscc/full-record/WOS:001608080300001","View Record in Web of Science")</f>
        <v>120</v>
      </c>
      <c r="BU337" t="s" s="0">
        <v>256</v>
      </c>
      <c r="BV337" t="s" s="0">
        <v>82</v>
      </c>
      <c r="BW337" t="s" s="0">
        <v>82</v>
      </c>
      <c r="BX337" t="s" s="0">
        <v>122</v>
      </c>
    </row>
    <row r="338">
      <c r="A338" t="s" s="0">
        <v>78</v>
      </c>
      <c r="B338" t="s" s="0">
        <v>78</v>
      </c>
      <c r="C338" t="s" s="0">
        <v>447</v>
      </c>
      <c r="D338" t="s" s="0">
        <v>78</v>
      </c>
      <c r="E338" t="s" s="0">
        <v>8260</v>
      </c>
      <c r="F338" t="s" s="0">
        <v>8261</v>
      </c>
      <c r="G338" t="s" s="0">
        <v>8262</v>
      </c>
      <c r="H338" t="s" s="0">
        <v>82</v>
      </c>
      <c r="I338" t="s" s="0">
        <v>83</v>
      </c>
      <c r="J338" t="s" s="0">
        <v>8263</v>
      </c>
      <c r="K338" t="s" s="0">
        <v>8264</v>
      </c>
      <c r="L338" t="s" s="0">
        <v>8265</v>
      </c>
      <c r="M338" t="s" s="0">
        <v>8266</v>
      </c>
      <c r="N338" t="s" s="0">
        <v>8267</v>
      </c>
      <c r="O338" t="s" s="0">
        <v>8268</v>
      </c>
      <c r="P338" t="s" s="0">
        <v>8269</v>
      </c>
      <c r="Q338" t="s" s="0">
        <v>91</v>
      </c>
      <c r="R338" t="s" s="0">
        <v>82</v>
      </c>
      <c r="S338" t="s" s="0">
        <v>8270</v>
      </c>
      <c r="T338" t="s" s="0">
        <v>82</v>
      </c>
      <c r="U338" t="s" s="0">
        <v>82</v>
      </c>
      <c r="V338" t="s" s="0">
        <v>8271</v>
      </c>
      <c r="W338" t="s" s="0">
        <v>8272</v>
      </c>
      <c r="X338" t="s" s="0">
        <v>82</v>
      </c>
      <c r="Y338" t="s" s="0">
        <v>82</v>
      </c>
      <c r="Z338" t="s" s="0">
        <v>94</v>
      </c>
      <c r="AA338" t="s" s="0">
        <v>95</v>
      </c>
      <c r="AB338" t="s" s="0">
        <v>82</v>
      </c>
      <c r="AC338" t="s" s="0">
        <v>82</v>
      </c>
      <c r="AD338" t="s" s="0">
        <v>82</v>
      </c>
      <c r="AE338" t="s" s="0">
        <v>82</v>
      </c>
      <c r="AF338" t="s" s="0">
        <v>82</v>
      </c>
      <c r="AG338" t="s" s="0">
        <v>8273</v>
      </c>
      <c r="AH338" t="s" s="0">
        <v>8274</v>
      </c>
      <c r="AI338" t="s" s="0">
        <v>8275</v>
      </c>
      <c r="AJ338" t="s" s="0">
        <v>8276</v>
      </c>
      <c r="AK338" t="s" s="0">
        <v>82</v>
      </c>
      <c r="AL338" t="s" s="0">
        <v>1279</v>
      </c>
      <c r="AM338" t="s" s="0">
        <v>136</v>
      </c>
      <c r="AN338" t="s" s="0">
        <v>319</v>
      </c>
      <c r="AO338" t="s" s="0">
        <v>447</v>
      </c>
      <c r="AP338" t="s" s="0">
        <v>375</v>
      </c>
      <c r="AQ338" t="s" s="0">
        <v>8277</v>
      </c>
      <c r="AR338" t="s" s="0">
        <v>833</v>
      </c>
      <c r="AS338" t="s" s="0">
        <v>8278</v>
      </c>
      <c r="AT338" t="s" s="0">
        <v>8279</v>
      </c>
      <c r="AU338" t="s" s="0">
        <v>8280</v>
      </c>
      <c r="AV338" t="s" s="0">
        <v>82</v>
      </c>
      <c r="AW338" t="s" s="0">
        <v>8272</v>
      </c>
      <c r="AX338" t="s" s="0">
        <v>8281</v>
      </c>
      <c r="AY338" t="s" s="0">
        <v>2302</v>
      </c>
      <c r="AZ338" t="s" s="0">
        <v>181</v>
      </c>
      <c r="BA338" t="s" s="0">
        <v>8282</v>
      </c>
      <c r="BB338" t="s" s="0">
        <v>77</v>
      </c>
      <c r="BC338" t="s" s="0">
        <v>82</v>
      </c>
      <c r="BD338" t="s" s="0">
        <v>82</v>
      </c>
      <c r="BE338" t="s" s="0">
        <v>82</v>
      </c>
      <c r="BF338" t="s" s="0">
        <v>82</v>
      </c>
      <c r="BG338" t="s" s="0">
        <v>4033</v>
      </c>
      <c r="BH338" t="s" s="0">
        <v>1217</v>
      </c>
      <c r="BI338" t="s" s="0">
        <v>82</v>
      </c>
      <c r="BJ338" t="s" s="0">
        <v>8283</v>
      </c>
      <c r="BK338" t="s" s="672">
        <f>HYPERLINK("http://dx.doi.org/10.1053/j.gastro.2025.07.015","http://dx.doi.org/10.1053/j.gastro.2025.07.015")</f>
        <v>8284</v>
      </c>
      <c r="BL338" t="s" s="0">
        <v>82</v>
      </c>
      <c r="BM338" t="s" s="0">
        <v>146</v>
      </c>
      <c r="BN338" t="s" s="0">
        <v>115</v>
      </c>
      <c r="BO338" t="s" s="0">
        <v>924</v>
      </c>
      <c r="BP338" t="s" s="0">
        <v>924</v>
      </c>
      <c r="BQ338" t="s" s="0">
        <v>8285</v>
      </c>
      <c r="BR338" t="s" s="0">
        <v>8286</v>
      </c>
      <c r="BS338" t="s" s="0">
        <v>8287</v>
      </c>
      <c r="BT338" t="s" s="673">
        <f>HYPERLINK("https://www.webofscience.com/wos/woscc/full-record/WOS:001650587800001","View Record in Web of Science")</f>
        <v>120</v>
      </c>
      <c r="BU338" t="s" s="0">
        <v>1265</v>
      </c>
      <c r="BV338" t="s" s="0">
        <v>82</v>
      </c>
      <c r="BW338" t="s" s="0">
        <v>82</v>
      </c>
      <c r="BX338" t="s" s="0">
        <v>122</v>
      </c>
    </row>
    <row r="339">
      <c r="A339" t="s" s="0">
        <v>78</v>
      </c>
      <c r="B339" t="s" s="0">
        <v>78</v>
      </c>
      <c r="C339" t="s" s="0">
        <v>78</v>
      </c>
      <c r="D339" t="s" s="0">
        <v>78</v>
      </c>
      <c r="E339" t="s" s="0">
        <v>8288</v>
      </c>
      <c r="F339" t="s" s="0">
        <v>8289</v>
      </c>
      <c r="G339" t="s" s="0">
        <v>8290</v>
      </c>
      <c r="H339" t="s" s="0">
        <v>82</v>
      </c>
      <c r="I339" t="s" s="0">
        <v>297</v>
      </c>
      <c r="J339" t="s" s="0">
        <v>8291</v>
      </c>
      <c r="K339" t="s" s="0">
        <v>8292</v>
      </c>
      <c r="L339" t="s" s="0">
        <v>8293</v>
      </c>
      <c r="M339" t="s" s="0">
        <v>8294</v>
      </c>
      <c r="N339" t="s" s="0">
        <v>8295</v>
      </c>
      <c r="O339" t="s" s="0">
        <v>8296</v>
      </c>
      <c r="P339" t="s" s="0">
        <v>8297</v>
      </c>
      <c r="Q339" t="s" s="0">
        <v>91</v>
      </c>
      <c r="R339" t="s" s="0">
        <v>82</v>
      </c>
      <c r="S339" t="s" s="0">
        <v>82</v>
      </c>
      <c r="T339" t="s" s="0">
        <v>82</v>
      </c>
      <c r="U339" t="s" s="0">
        <v>82</v>
      </c>
      <c r="V339" t="s" s="0">
        <v>8298</v>
      </c>
      <c r="W339" t="s" s="0">
        <v>8299</v>
      </c>
      <c r="X339" t="s" s="0">
        <v>82</v>
      </c>
      <c r="Y339" t="s" s="0">
        <v>82</v>
      </c>
      <c r="Z339" t="s" s="0">
        <v>94</v>
      </c>
      <c r="AA339" t="s" s="0">
        <v>95</v>
      </c>
      <c r="AB339" t="s" s="0">
        <v>82</v>
      </c>
      <c r="AC339" t="s" s="0">
        <v>82</v>
      </c>
      <c r="AD339" t="s" s="0">
        <v>82</v>
      </c>
      <c r="AE339" t="s" s="0">
        <v>82</v>
      </c>
      <c r="AF339" t="s" s="0">
        <v>82</v>
      </c>
      <c r="AG339" t="s" s="0">
        <v>82</v>
      </c>
      <c r="AH339" t="s" s="0">
        <v>82</v>
      </c>
      <c r="AI339" t="s" s="0">
        <v>8300</v>
      </c>
      <c r="AJ339" t="s" s="0">
        <v>8301</v>
      </c>
      <c r="AK339" t="s" s="0">
        <v>82</v>
      </c>
      <c r="AL339" t="s" s="0">
        <v>1186</v>
      </c>
      <c r="AM339" t="s" s="0">
        <v>77</v>
      </c>
      <c r="AN339" t="s" s="0">
        <v>77</v>
      </c>
      <c r="AO339" t="s" s="0">
        <v>77</v>
      </c>
      <c r="AP339" t="s" s="0">
        <v>77</v>
      </c>
      <c r="AQ339" t="s" s="0">
        <v>4295</v>
      </c>
      <c r="AR339" t="s" s="0">
        <v>4296</v>
      </c>
      <c r="AS339" t="s" s="0">
        <v>4297</v>
      </c>
      <c r="AT339" t="s" s="0">
        <v>82</v>
      </c>
      <c r="AU339" t="s" s="0">
        <v>8302</v>
      </c>
      <c r="AV339" t="s" s="0">
        <v>82</v>
      </c>
      <c r="AW339" t="s" s="0">
        <v>8303</v>
      </c>
      <c r="AX339" t="s" s="0">
        <v>8304</v>
      </c>
      <c r="AY339" t="s" s="0">
        <v>1425</v>
      </c>
      <c r="AZ339" t="s" s="0">
        <v>147</v>
      </c>
      <c r="BA339" t="s" s="0">
        <v>102</v>
      </c>
      <c r="BB339" t="s" s="0">
        <v>137</v>
      </c>
      <c r="BC339" t="s" s="0">
        <v>82</v>
      </c>
      <c r="BD339" t="s" s="0">
        <v>82</v>
      </c>
      <c r="BE339" t="s" s="0">
        <v>82</v>
      </c>
      <c r="BF339" t="s" s="0">
        <v>82</v>
      </c>
      <c r="BG339" t="s" s="0">
        <v>82</v>
      </c>
      <c r="BH339" t="s" s="0">
        <v>82</v>
      </c>
      <c r="BI339" t="s" s="0">
        <v>8305</v>
      </c>
      <c r="BJ339" t="s" s="0">
        <v>8306</v>
      </c>
      <c r="BK339" t="s" s="674">
        <f>HYPERLINK("http://dx.doi.org/10.1371/journal.pdig.0001061","http://dx.doi.org/10.1371/journal.pdig.0001061")</f>
        <v>8307</v>
      </c>
      <c r="BL339" t="s" s="0">
        <v>82</v>
      </c>
      <c r="BM339" t="s" s="0">
        <v>82</v>
      </c>
      <c r="BN339" t="s" s="0">
        <v>149</v>
      </c>
      <c r="BO339" t="s" s="0">
        <v>785</v>
      </c>
      <c r="BP339" t="s" s="0">
        <v>785</v>
      </c>
      <c r="BQ339" t="s" s="0">
        <v>8308</v>
      </c>
      <c r="BR339" t="s" s="0">
        <v>8309</v>
      </c>
      <c r="BS339" t="s" s="0">
        <v>8310</v>
      </c>
      <c r="BT339" t="s" s="675">
        <f>HYPERLINK("https://www.webofscience.com/wos/woscc/full-record/WOS:001619441300004","View Record in Web of Science")</f>
        <v>120</v>
      </c>
      <c r="BU339" t="s" s="0">
        <v>121</v>
      </c>
      <c r="BV339" t="s" s="0">
        <v>82</v>
      </c>
      <c r="BW339" t="s" s="0">
        <v>82</v>
      </c>
      <c r="BX339" t="s" s="0">
        <v>122</v>
      </c>
    </row>
    <row r="340">
      <c r="A340" t="s" s="0">
        <v>78</v>
      </c>
      <c r="B340" t="s" s="0">
        <v>78</v>
      </c>
      <c r="C340" t="s" s="0">
        <v>221</v>
      </c>
      <c r="D340" t="s" s="0">
        <v>78</v>
      </c>
      <c r="E340" t="s" s="0">
        <v>8311</v>
      </c>
      <c r="F340" t="s" s="0">
        <v>8312</v>
      </c>
      <c r="G340" t="s" s="0">
        <v>8313</v>
      </c>
      <c r="H340" t="s" s="0">
        <v>82</v>
      </c>
      <c r="I340" t="s" s="0">
        <v>83</v>
      </c>
      <c r="J340" t="s" s="0">
        <v>8314</v>
      </c>
      <c r="K340" t="s" s="0">
        <v>8315</v>
      </c>
      <c r="L340" t="s" s="0">
        <v>8316</v>
      </c>
      <c r="M340" t="s" s="0">
        <v>8317</v>
      </c>
      <c r="N340" t="s" s="0">
        <v>8318</v>
      </c>
      <c r="O340" t="s" s="0">
        <v>8319</v>
      </c>
      <c r="P340" t="s" s="0">
        <v>8320</v>
      </c>
      <c r="Q340" t="s" s="0">
        <v>91</v>
      </c>
      <c r="R340" t="s" s="0">
        <v>82</v>
      </c>
      <c r="S340" t="s" s="0">
        <v>82</v>
      </c>
      <c r="T340" t="s" s="0">
        <v>82</v>
      </c>
      <c r="U340" t="s" s="0">
        <v>82</v>
      </c>
      <c r="V340" t="s" s="0">
        <v>8321</v>
      </c>
      <c r="W340" t="s" s="0">
        <v>8322</v>
      </c>
      <c r="X340" t="s" s="0">
        <v>82</v>
      </c>
      <c r="Y340" t="s" s="0">
        <v>82</v>
      </c>
      <c r="Z340" t="s" s="0">
        <v>94</v>
      </c>
      <c r="AA340" t="s" s="0">
        <v>95</v>
      </c>
      <c r="AB340" t="s" s="0">
        <v>82</v>
      </c>
      <c r="AC340" t="s" s="0">
        <v>82</v>
      </c>
      <c r="AD340" t="s" s="0">
        <v>82</v>
      </c>
      <c r="AE340" t="s" s="0">
        <v>82</v>
      </c>
      <c r="AF340" t="s" s="0">
        <v>82</v>
      </c>
      <c r="AG340" t="s" s="0">
        <v>8323</v>
      </c>
      <c r="AH340" t="s" s="0">
        <v>8324</v>
      </c>
      <c r="AI340" t="s" s="0">
        <v>8325</v>
      </c>
      <c r="AJ340" t="s" s="0">
        <v>8326</v>
      </c>
      <c r="AK340" t="s" s="0">
        <v>82</v>
      </c>
      <c r="AL340" t="s" s="0">
        <v>632</v>
      </c>
      <c r="AM340" t="s" s="0">
        <v>323</v>
      </c>
      <c r="AN340" t="s" s="0">
        <v>239</v>
      </c>
      <c r="AO340" t="s" s="0">
        <v>77</v>
      </c>
      <c r="AP340" t="s" s="0">
        <v>349</v>
      </c>
      <c r="AQ340" t="s" s="0">
        <v>1578</v>
      </c>
      <c r="AR340" t="s" s="0">
        <v>1579</v>
      </c>
      <c r="AS340" t="s" s="0">
        <v>1580</v>
      </c>
      <c r="AT340" t="s" s="0">
        <v>8327</v>
      </c>
      <c r="AU340" t="s" s="0">
        <v>82</v>
      </c>
      <c r="AV340" t="s" s="0">
        <v>82</v>
      </c>
      <c r="AW340" t="s" s="0">
        <v>8328</v>
      </c>
      <c r="AX340" t="s" s="0">
        <v>8329</v>
      </c>
      <c r="AY340" t="s" s="0">
        <v>525</v>
      </c>
      <c r="AZ340" t="s" s="0">
        <v>525</v>
      </c>
      <c r="BA340" t="s" s="0">
        <v>115</v>
      </c>
      <c r="BB340" t="s" s="0">
        <v>82</v>
      </c>
      <c r="BC340" t="s" s="0">
        <v>82</v>
      </c>
      <c r="BD340" t="s" s="0">
        <v>82</v>
      </c>
      <c r="BE340" t="s" s="0">
        <v>82</v>
      </c>
      <c r="BF340" t="s" s="0">
        <v>82</v>
      </c>
      <c r="BG340" t="s" s="0">
        <v>8330</v>
      </c>
      <c r="BH340" t="s" s="0">
        <v>8331</v>
      </c>
      <c r="BI340" t="s" s="0">
        <v>82</v>
      </c>
      <c r="BJ340" t="s" s="0">
        <v>8332</v>
      </c>
      <c r="BK340" t="s" s="676">
        <f>HYPERLINK("http://dx.doi.org/10.2147/CMAR.S297794","http://dx.doi.org/10.2147/CMAR.S297794")</f>
        <v>8333</v>
      </c>
      <c r="BL340" t="s" s="0">
        <v>82</v>
      </c>
      <c r="BM340" t="s" s="0">
        <v>82</v>
      </c>
      <c r="BN340" t="s" s="0">
        <v>115</v>
      </c>
      <c r="BO340" t="s" s="0">
        <v>4833</v>
      </c>
      <c r="BP340" t="s" s="0">
        <v>4833</v>
      </c>
      <c r="BQ340" t="s" s="0">
        <v>8334</v>
      </c>
      <c r="BR340" t="s" s="0">
        <v>8335</v>
      </c>
      <c r="BS340" t="s" s="0">
        <v>8336</v>
      </c>
      <c r="BT340" t="s" s="677">
        <f>HYPERLINK("https://www.webofscience.com/wos/woscc/full-record/WOS:000640647500001","View Record in Web of Science")</f>
        <v>120</v>
      </c>
      <c r="BU340" t="s" s="0">
        <v>121</v>
      </c>
      <c r="BV340" t="s" s="0">
        <v>82</v>
      </c>
      <c r="BW340" t="s" s="0">
        <v>82</v>
      </c>
      <c r="BX340" t="s" s="0">
        <v>122</v>
      </c>
    </row>
    <row r="341">
      <c r="A341" t="s" s="0">
        <v>78</v>
      </c>
      <c r="B341" t="s" s="0">
        <v>78</v>
      </c>
      <c r="C341" t="s" s="0">
        <v>77</v>
      </c>
      <c r="D341" t="s" s="0">
        <v>78</v>
      </c>
      <c r="E341" t="s" s="0">
        <v>8337</v>
      </c>
      <c r="F341" t="s" s="0">
        <v>8338</v>
      </c>
      <c r="G341" t="s" s="0">
        <v>8339</v>
      </c>
      <c r="H341" t="s" s="0">
        <v>82</v>
      </c>
      <c r="I341" t="s" s="0">
        <v>83</v>
      </c>
      <c r="J341" t="s" s="0">
        <v>8340</v>
      </c>
      <c r="K341" t="s" s="0">
        <v>8341</v>
      </c>
      <c r="L341" t="s" s="0">
        <v>8342</v>
      </c>
      <c r="M341" t="s" s="0">
        <v>8343</v>
      </c>
      <c r="N341" t="s" s="0">
        <v>8344</v>
      </c>
      <c r="O341" t="s" s="0">
        <v>8345</v>
      </c>
      <c r="P341" t="s" s="0">
        <v>8346</v>
      </c>
      <c r="Q341" t="s" s="0">
        <v>91</v>
      </c>
      <c r="R341" t="s" s="0">
        <v>82</v>
      </c>
      <c r="S341" t="s" s="0">
        <v>82</v>
      </c>
      <c r="T341" t="s" s="0">
        <v>82</v>
      </c>
      <c r="U341" t="s" s="0">
        <v>82</v>
      </c>
      <c r="V341" t="s" s="0">
        <v>8347</v>
      </c>
      <c r="W341" t="s" s="0">
        <v>8348</v>
      </c>
      <c r="X341" t="s" s="0">
        <v>82</v>
      </c>
      <c r="Y341" t="s" s="0">
        <v>82</v>
      </c>
      <c r="Z341" t="s" s="0">
        <v>94</v>
      </c>
      <c r="AA341" t="s" s="0">
        <v>95</v>
      </c>
      <c r="AB341" t="s" s="0">
        <v>82</v>
      </c>
      <c r="AC341" t="s" s="0">
        <v>82</v>
      </c>
      <c r="AD341" t="s" s="0">
        <v>82</v>
      </c>
      <c r="AE341" t="s" s="0">
        <v>82</v>
      </c>
      <c r="AF341" t="s" s="0">
        <v>82</v>
      </c>
      <c r="AG341" t="s" s="0">
        <v>8349</v>
      </c>
      <c r="AH341" t="s" s="0">
        <v>8350</v>
      </c>
      <c r="AI341" t="s" s="0">
        <v>8351</v>
      </c>
      <c r="AJ341" t="s" s="0">
        <v>8352</v>
      </c>
      <c r="AK341" t="s" s="0">
        <v>82</v>
      </c>
      <c r="AL341" t="s" s="0">
        <v>77</v>
      </c>
      <c r="AM341" t="s" s="0">
        <v>319</v>
      </c>
      <c r="AN341" t="s" s="0">
        <v>137</v>
      </c>
      <c r="AO341" t="s" s="0">
        <v>102</v>
      </c>
      <c r="AP341" t="s" s="0">
        <v>3171</v>
      </c>
      <c r="AQ341" t="s" s="0">
        <v>202</v>
      </c>
      <c r="AR341" t="s" s="0">
        <v>203</v>
      </c>
      <c r="AS341" t="s" s="0">
        <v>7020</v>
      </c>
      <c r="AT341" t="s" s="0">
        <v>8353</v>
      </c>
      <c r="AU341" t="s" s="0">
        <v>8354</v>
      </c>
      <c r="AV341" t="s" s="0">
        <v>82</v>
      </c>
      <c r="AW341" t="s" s="0">
        <v>8355</v>
      </c>
      <c r="AX341" t="s" s="0">
        <v>8356</v>
      </c>
      <c r="AY341" t="s" s="0">
        <v>4032</v>
      </c>
      <c r="AZ341" t="s" s="0">
        <v>110</v>
      </c>
      <c r="BA341" t="s" s="0">
        <v>111</v>
      </c>
      <c r="BB341" t="s" s="0">
        <v>319</v>
      </c>
      <c r="BC341" t="s" s="0">
        <v>82</v>
      </c>
      <c r="BD341" t="s" s="0">
        <v>82</v>
      </c>
      <c r="BE341" t="s" s="0">
        <v>82</v>
      </c>
      <c r="BF341" t="s" s="0">
        <v>82</v>
      </c>
      <c r="BG341" t="s" s="0">
        <v>82</v>
      </c>
      <c r="BH341" t="s" s="0">
        <v>82</v>
      </c>
      <c r="BI341" t="s" s="0">
        <v>8357</v>
      </c>
      <c r="BJ341" t="s" s="0">
        <v>8358</v>
      </c>
      <c r="BK341" t="s" s="678">
        <f>HYPERLINK("http://dx.doi.org/10.1016/j.jamda.2024.105169","http://dx.doi.org/10.1016/j.jamda.2024.105169")</f>
        <v>8359</v>
      </c>
      <c r="BL341" t="s" s="0">
        <v>82</v>
      </c>
      <c r="BM341" t="s" s="0">
        <v>250</v>
      </c>
      <c r="BN341" t="s" s="0">
        <v>319</v>
      </c>
      <c r="BO341" t="s" s="0">
        <v>5340</v>
      </c>
      <c r="BP341" t="s" s="0">
        <v>5340</v>
      </c>
      <c r="BQ341" t="s" s="0">
        <v>8360</v>
      </c>
      <c r="BR341" t="s" s="0">
        <v>8361</v>
      </c>
      <c r="BS341" t="s" s="0">
        <v>8362</v>
      </c>
      <c r="BT341" t="s" s="679">
        <f>HYPERLINK("https://www.webofscience.com/wos/woscc/full-record/WOS:001290547400001","View Record in Web of Science")</f>
        <v>120</v>
      </c>
      <c r="BU341" t="s" s="0">
        <v>82</v>
      </c>
      <c r="BV341" t="s" s="0">
        <v>82</v>
      </c>
      <c r="BW341" t="s" s="0">
        <v>82</v>
      </c>
      <c r="BX341" t="s" s="0">
        <v>122</v>
      </c>
    </row>
    <row r="342">
      <c r="A342" t="s" s="0">
        <v>78</v>
      </c>
      <c r="B342" t="s" s="0">
        <v>78</v>
      </c>
      <c r="C342" t="s" s="0">
        <v>78</v>
      </c>
      <c r="D342" t="s" s="0">
        <v>78</v>
      </c>
      <c r="E342" t="s" s="0">
        <v>8363</v>
      </c>
      <c r="F342" t="s" s="0">
        <v>8364</v>
      </c>
      <c r="G342" t="s" s="0">
        <v>8365</v>
      </c>
      <c r="H342" t="s" s="0">
        <v>82</v>
      </c>
      <c r="I342" t="s" s="0">
        <v>297</v>
      </c>
      <c r="J342" t="s" s="0">
        <v>8366</v>
      </c>
      <c r="K342" t="s" s="0">
        <v>8367</v>
      </c>
      <c r="L342" t="s" s="0">
        <v>8368</v>
      </c>
      <c r="M342" t="s" s="0">
        <v>8369</v>
      </c>
      <c r="N342" t="s" s="0">
        <v>8370</v>
      </c>
      <c r="O342" t="s" s="0">
        <v>8371</v>
      </c>
      <c r="P342" t="s" s="0">
        <v>8372</v>
      </c>
      <c r="Q342" t="s" s="0">
        <v>91</v>
      </c>
      <c r="R342" t="s" s="0">
        <v>82</v>
      </c>
      <c r="S342" t="s" s="0">
        <v>82</v>
      </c>
      <c r="T342" t="s" s="0">
        <v>82</v>
      </c>
      <c r="U342" t="s" s="0">
        <v>82</v>
      </c>
      <c r="V342" t="s" s="0">
        <v>8373</v>
      </c>
      <c r="W342" t="s" s="0">
        <v>8299</v>
      </c>
      <c r="X342" t="s" s="0">
        <v>82</v>
      </c>
      <c r="Y342" t="s" s="0">
        <v>82</v>
      </c>
      <c r="Z342" t="s" s="0">
        <v>94</v>
      </c>
      <c r="AA342" t="s" s="0">
        <v>95</v>
      </c>
      <c r="AB342" t="s" s="0">
        <v>82</v>
      </c>
      <c r="AC342" t="s" s="0">
        <v>82</v>
      </c>
      <c r="AD342" t="s" s="0">
        <v>82</v>
      </c>
      <c r="AE342" t="s" s="0">
        <v>82</v>
      </c>
      <c r="AF342" t="s" s="0">
        <v>82</v>
      </c>
      <c r="AG342" t="s" s="0">
        <v>82</v>
      </c>
      <c r="AH342" t="s" s="0">
        <v>8374</v>
      </c>
      <c r="AI342" t="s" s="0">
        <v>8375</v>
      </c>
      <c r="AJ342" t="s" s="0">
        <v>8376</v>
      </c>
      <c r="AK342" t="s" s="0">
        <v>82</v>
      </c>
      <c r="AL342" t="s" s="0">
        <v>2191</v>
      </c>
      <c r="AM342" t="s" s="0">
        <v>78</v>
      </c>
      <c r="AN342" t="s" s="0">
        <v>78</v>
      </c>
      <c r="AO342" t="s" s="0">
        <v>77</v>
      </c>
      <c r="AP342" t="s" s="0">
        <v>77</v>
      </c>
      <c r="AQ342" t="s" s="0">
        <v>4295</v>
      </c>
      <c r="AR342" t="s" s="0">
        <v>4296</v>
      </c>
      <c r="AS342" t="s" s="0">
        <v>4297</v>
      </c>
      <c r="AT342" t="s" s="0">
        <v>82</v>
      </c>
      <c r="AU342" t="s" s="0">
        <v>8302</v>
      </c>
      <c r="AV342" t="s" s="0">
        <v>82</v>
      </c>
      <c r="AW342" t="s" s="0">
        <v>8303</v>
      </c>
      <c r="AX342" t="s" s="0">
        <v>8304</v>
      </c>
      <c r="AY342" t="s" s="0">
        <v>8377</v>
      </c>
      <c r="AZ342" t="s" s="0">
        <v>181</v>
      </c>
      <c r="BA342" t="s" s="0">
        <v>221</v>
      </c>
      <c r="BB342" t="s" s="0">
        <v>138</v>
      </c>
      <c r="BC342" t="s" s="0">
        <v>82</v>
      </c>
      <c r="BD342" t="s" s="0">
        <v>82</v>
      </c>
      <c r="BE342" t="s" s="0">
        <v>82</v>
      </c>
      <c r="BF342" t="s" s="0">
        <v>82</v>
      </c>
      <c r="BG342" t="s" s="0">
        <v>82</v>
      </c>
      <c r="BH342" t="s" s="0">
        <v>82</v>
      </c>
      <c r="BI342" t="s" s="0">
        <v>8378</v>
      </c>
      <c r="BJ342" t="s" s="0">
        <v>8379</v>
      </c>
      <c r="BK342" t="s" s="680">
        <f>HYPERLINK("http://dx.doi.org/10.1371/journal.pdig.0001486","http://dx.doi.org/10.1371/journal.pdig.0001486")</f>
        <v>8380</v>
      </c>
      <c r="BL342" t="s" s="0">
        <v>82</v>
      </c>
      <c r="BM342" t="s" s="0">
        <v>82</v>
      </c>
      <c r="BN342" t="s" s="0">
        <v>111</v>
      </c>
      <c r="BO342" t="s" s="0">
        <v>785</v>
      </c>
      <c r="BP342" t="s" s="0">
        <v>785</v>
      </c>
      <c r="BQ342" t="s" s="0">
        <v>8381</v>
      </c>
      <c r="BR342" t="s" s="0">
        <v>8382</v>
      </c>
      <c r="BS342" t="s" s="0">
        <v>8383</v>
      </c>
      <c r="BT342" t="s" s="681">
        <f>HYPERLINK("https://www.webofscience.com/wos/woscc/full-record/WOS:001816948600001","View Record in Web of Science")</f>
        <v>120</v>
      </c>
      <c r="BU342" t="s" s="0">
        <v>121</v>
      </c>
      <c r="BV342" t="s" s="0">
        <v>82</v>
      </c>
      <c r="BW342" t="s" s="0">
        <v>82</v>
      </c>
      <c r="BX342" t="s" s="0">
        <v>122</v>
      </c>
    </row>
    <row r="343">
      <c r="A343" t="s" s="0">
        <v>78</v>
      </c>
      <c r="B343" t="s" s="0">
        <v>78</v>
      </c>
      <c r="C343" t="s" s="0">
        <v>78</v>
      </c>
      <c r="D343" t="s" s="0">
        <v>78</v>
      </c>
      <c r="E343" t="s" s="0">
        <v>8384</v>
      </c>
      <c r="F343" t="s" s="0">
        <v>8385</v>
      </c>
      <c r="G343" t="s" s="0">
        <v>8386</v>
      </c>
      <c r="H343" t="s" s="0">
        <v>82</v>
      </c>
      <c r="I343" t="s" s="0">
        <v>83</v>
      </c>
      <c r="J343" t="s" s="0">
        <v>8387</v>
      </c>
      <c r="K343" t="s" s="0">
        <v>8388</v>
      </c>
      <c r="L343" t="s" s="0">
        <v>8389</v>
      </c>
      <c r="M343" t="s" s="0">
        <v>8390</v>
      </c>
      <c r="N343" t="s" s="0">
        <v>8391</v>
      </c>
      <c r="O343" t="s" s="0">
        <v>8392</v>
      </c>
      <c r="P343" t="s" s="0">
        <v>8393</v>
      </c>
      <c r="Q343" t="s" s="0">
        <v>91</v>
      </c>
      <c r="R343" t="s" s="0">
        <v>82</v>
      </c>
      <c r="S343" t="s" s="0">
        <v>82</v>
      </c>
      <c r="T343" t="s" s="0">
        <v>82</v>
      </c>
      <c r="U343" t="s" s="0">
        <v>82</v>
      </c>
      <c r="V343" t="s" s="0">
        <v>8394</v>
      </c>
      <c r="W343" t="s" s="0">
        <v>8395</v>
      </c>
      <c r="X343" t="s" s="0">
        <v>82</v>
      </c>
      <c r="Y343" t="s" s="0">
        <v>82</v>
      </c>
      <c r="Z343" t="s" s="0">
        <v>94</v>
      </c>
      <c r="AA343" t="s" s="0">
        <v>95</v>
      </c>
      <c r="AB343" t="s" s="0">
        <v>82</v>
      </c>
      <c r="AC343" t="s" s="0">
        <v>82</v>
      </c>
      <c r="AD343" t="s" s="0">
        <v>82</v>
      </c>
      <c r="AE343" t="s" s="0">
        <v>82</v>
      </c>
      <c r="AF343" t="s" s="0">
        <v>82</v>
      </c>
      <c r="AG343" t="s" s="0">
        <v>8396</v>
      </c>
      <c r="AH343" t="s" s="0">
        <v>8397</v>
      </c>
      <c r="AI343" t="s" s="0">
        <v>8398</v>
      </c>
      <c r="AJ343" t="s" s="0">
        <v>8399</v>
      </c>
      <c r="AK343" t="s" s="0">
        <v>82</v>
      </c>
      <c r="AL343" t="s" s="0">
        <v>100</v>
      </c>
      <c r="AM343" t="s" s="0">
        <v>78</v>
      </c>
      <c r="AN343" t="s" s="0">
        <v>78</v>
      </c>
      <c r="AO343" t="s" s="0">
        <v>138</v>
      </c>
      <c r="AP343" t="s" s="0">
        <v>138</v>
      </c>
      <c r="AQ343" t="s" s="0">
        <v>103</v>
      </c>
      <c r="AR343" t="s" s="0">
        <v>104</v>
      </c>
      <c r="AS343" t="s" s="0">
        <v>105</v>
      </c>
      <c r="AT343" t="s" s="0">
        <v>82</v>
      </c>
      <c r="AU343" t="s" s="0">
        <v>8400</v>
      </c>
      <c r="AV343" t="s" s="0">
        <v>82</v>
      </c>
      <c r="AW343" t="s" s="0">
        <v>8401</v>
      </c>
      <c r="AX343" t="s" s="0">
        <v>8402</v>
      </c>
      <c r="AY343" t="s" s="0">
        <v>8403</v>
      </c>
      <c r="AZ343" t="s" s="0">
        <v>181</v>
      </c>
      <c r="BA343" t="s" s="0">
        <v>353</v>
      </c>
      <c r="BB343" t="s" s="0">
        <v>77</v>
      </c>
      <c r="BC343" t="s" s="0">
        <v>82</v>
      </c>
      <c r="BD343" t="s" s="0">
        <v>82</v>
      </c>
      <c r="BE343" t="s" s="0">
        <v>82</v>
      </c>
      <c r="BF343" t="s" s="0">
        <v>82</v>
      </c>
      <c r="BG343" t="s" s="0">
        <v>82</v>
      </c>
      <c r="BH343" t="s" s="0">
        <v>82</v>
      </c>
      <c r="BI343" t="s" s="0">
        <v>946</v>
      </c>
      <c r="BJ343" t="s" s="0">
        <v>8404</v>
      </c>
      <c r="BK343" t="s" s="682">
        <f>HYPERLINK("http://dx.doi.org/10.1186/s12911-026-03480-7","http://dx.doi.org/10.1186/s12911-026-03480-7")</f>
        <v>8405</v>
      </c>
      <c r="BL343" t="s" s="0">
        <v>82</v>
      </c>
      <c r="BM343" t="s" s="0">
        <v>1365</v>
      </c>
      <c r="BN343" t="s" s="0">
        <v>115</v>
      </c>
      <c r="BO343" t="s" s="0">
        <v>1815</v>
      </c>
      <c r="BP343" t="s" s="0">
        <v>1815</v>
      </c>
      <c r="BQ343" t="s" s="0">
        <v>8406</v>
      </c>
      <c r="BR343" t="s" s="0">
        <v>8407</v>
      </c>
      <c r="BS343" t="s" s="0">
        <v>8408</v>
      </c>
      <c r="BT343" t="s" s="683">
        <f>HYPERLINK("https://www.webofscience.com/wos/woscc/full-record/WOS:001770921900002","View Record in Web of Science")</f>
        <v>120</v>
      </c>
      <c r="BU343" t="s" s="0">
        <v>121</v>
      </c>
      <c r="BV343" t="s" s="0">
        <v>82</v>
      </c>
      <c r="BW343" t="s" s="0">
        <v>82</v>
      </c>
      <c r="BX343" t="s" s="0">
        <v>122</v>
      </c>
    </row>
    <row r="344">
      <c r="A344" t="s" s="0">
        <v>78</v>
      </c>
      <c r="B344" t="s" s="0">
        <v>78</v>
      </c>
      <c r="C344" t="s" s="0">
        <v>78</v>
      </c>
      <c r="D344" t="s" s="0">
        <v>78</v>
      </c>
      <c r="E344" t="s" s="0">
        <v>8409</v>
      </c>
      <c r="F344" t="s" s="0">
        <v>8410</v>
      </c>
      <c r="G344" t="s" s="0">
        <v>8411</v>
      </c>
      <c r="H344" t="s" s="0">
        <v>82</v>
      </c>
      <c r="I344" t="s" s="0">
        <v>83</v>
      </c>
      <c r="J344" t="s" s="0">
        <v>8412</v>
      </c>
      <c r="K344" t="s" s="0">
        <v>8413</v>
      </c>
      <c r="L344" t="s" s="0">
        <v>8414</v>
      </c>
      <c r="M344" t="s" s="0">
        <v>8415</v>
      </c>
      <c r="N344" t="s" s="0">
        <v>8416</v>
      </c>
      <c r="O344" t="s" s="0">
        <v>8417</v>
      </c>
      <c r="P344" t="s" s="0">
        <v>8418</v>
      </c>
      <c r="Q344" t="s" s="0">
        <v>91</v>
      </c>
      <c r="R344" t="s" s="0">
        <v>82</v>
      </c>
      <c r="S344" t="s" s="0">
        <v>82</v>
      </c>
      <c r="T344" t="s" s="0">
        <v>82</v>
      </c>
      <c r="U344" t="s" s="0">
        <v>82</v>
      </c>
      <c r="V344" t="s" s="0">
        <v>8419</v>
      </c>
      <c r="W344" t="s" s="0">
        <v>3565</v>
      </c>
      <c r="X344" t="s" s="0">
        <v>82</v>
      </c>
      <c r="Y344" t="s" s="0">
        <v>82</v>
      </c>
      <c r="Z344" t="s" s="0">
        <v>94</v>
      </c>
      <c r="AA344" t="s" s="0">
        <v>95</v>
      </c>
      <c r="AB344" t="s" s="0">
        <v>82</v>
      </c>
      <c r="AC344" t="s" s="0">
        <v>82</v>
      </c>
      <c r="AD344" t="s" s="0">
        <v>82</v>
      </c>
      <c r="AE344" t="s" s="0">
        <v>82</v>
      </c>
      <c r="AF344" t="s" s="0">
        <v>82</v>
      </c>
      <c r="AG344" t="s" s="0">
        <v>8420</v>
      </c>
      <c r="AH344" t="s" s="0">
        <v>82</v>
      </c>
      <c r="AI344" t="s" s="0">
        <v>82</v>
      </c>
      <c r="AJ344" t="s" s="0">
        <v>82</v>
      </c>
      <c r="AK344" t="s" s="0">
        <v>82</v>
      </c>
      <c r="AL344" t="s" s="0">
        <v>201</v>
      </c>
      <c r="AM344" t="s" s="0">
        <v>78</v>
      </c>
      <c r="AN344" t="s" s="0">
        <v>78</v>
      </c>
      <c r="AO344" t="s" s="0">
        <v>78</v>
      </c>
      <c r="AP344" t="s" s="0">
        <v>78</v>
      </c>
      <c r="AQ344" t="s" s="0">
        <v>2484</v>
      </c>
      <c r="AR344" t="s" s="0">
        <v>2485</v>
      </c>
      <c r="AS344" t="s" s="0">
        <v>2486</v>
      </c>
      <c r="AT344" t="s" s="0">
        <v>82</v>
      </c>
      <c r="AU344" t="s" s="0">
        <v>3568</v>
      </c>
      <c r="AV344" t="s" s="0">
        <v>82</v>
      </c>
      <c r="AW344" t="s" s="0">
        <v>3569</v>
      </c>
      <c r="AX344" t="s" s="0">
        <v>3570</v>
      </c>
      <c r="AY344" t="s" s="0">
        <v>8421</v>
      </c>
      <c r="AZ344" t="s" s="0">
        <v>181</v>
      </c>
      <c r="BA344" t="s" s="0">
        <v>115</v>
      </c>
      <c r="BB344" t="s" s="0">
        <v>82</v>
      </c>
      <c r="BC344" t="s" s="0">
        <v>82</v>
      </c>
      <c r="BD344" t="s" s="0">
        <v>82</v>
      </c>
      <c r="BE344" t="s" s="0">
        <v>82</v>
      </c>
      <c r="BF344" t="s" s="0">
        <v>82</v>
      </c>
      <c r="BG344" t="s" s="0">
        <v>82</v>
      </c>
      <c r="BH344" t="s" s="0">
        <v>82</v>
      </c>
      <c r="BI344" t="s" s="0">
        <v>8422</v>
      </c>
      <c r="BJ344" t="s" s="0">
        <v>8423</v>
      </c>
      <c r="BK344" t="s" s="684">
        <f>HYPERLINK("http://dx.doi.org/10.3389/fmed.2026.1877809","http://dx.doi.org/10.3389/fmed.2026.1877809")</f>
        <v>8424</v>
      </c>
      <c r="BL344" t="s" s="0">
        <v>82</v>
      </c>
      <c r="BM344" t="s" s="0">
        <v>82</v>
      </c>
      <c r="BN344" t="s" s="0">
        <v>149</v>
      </c>
      <c r="BO344" t="s" s="0">
        <v>354</v>
      </c>
      <c r="BP344" t="s" s="0">
        <v>355</v>
      </c>
      <c r="BQ344" t="s" s="0">
        <v>8425</v>
      </c>
      <c r="BR344" t="s" s="0">
        <v>8426</v>
      </c>
      <c r="BS344" t="s" s="0">
        <v>8427</v>
      </c>
      <c r="BT344" t="s" s="685">
        <f>HYPERLINK("https://www.webofscience.com/wos/woscc/full-record/WOS:001833690600001","View Record in Web of Science")</f>
        <v>120</v>
      </c>
      <c r="BU344" t="s" s="0">
        <v>121</v>
      </c>
      <c r="BV344" t="s" s="0">
        <v>82</v>
      </c>
      <c r="BW344" t="s" s="0">
        <v>82</v>
      </c>
      <c r="BX344" t="s" s="0">
        <v>122</v>
      </c>
    </row>
    <row r="345">
      <c r="A345" t="s" s="0">
        <v>78</v>
      </c>
      <c r="B345" t="s" s="0">
        <v>78</v>
      </c>
      <c r="C345" t="s" s="0">
        <v>77</v>
      </c>
      <c r="D345" t="s" s="0">
        <v>78</v>
      </c>
      <c r="E345" t="s" s="0">
        <v>8428</v>
      </c>
      <c r="F345" t="s" s="0">
        <v>8429</v>
      </c>
      <c r="G345" t="s" s="0">
        <v>8430</v>
      </c>
      <c r="H345" t="s" s="0">
        <v>82</v>
      </c>
      <c r="I345" t="s" s="0">
        <v>83</v>
      </c>
      <c r="J345" t="s" s="0">
        <v>8431</v>
      </c>
      <c r="K345" t="s" s="0">
        <v>8432</v>
      </c>
      <c r="L345" t="s" s="0">
        <v>6609</v>
      </c>
      <c r="M345" t="s" s="0">
        <v>6610</v>
      </c>
      <c r="N345" t="s" s="0">
        <v>8433</v>
      </c>
      <c r="O345" t="s" s="0">
        <v>8434</v>
      </c>
      <c r="P345" t="s" s="0">
        <v>8435</v>
      </c>
      <c r="Q345" t="s" s="0">
        <v>91</v>
      </c>
      <c r="R345" t="s" s="0">
        <v>82</v>
      </c>
      <c r="S345" t="s" s="0">
        <v>82</v>
      </c>
      <c r="T345" t="s" s="0">
        <v>82</v>
      </c>
      <c r="U345" t="s" s="0">
        <v>82</v>
      </c>
      <c r="V345" t="s" s="0">
        <v>8436</v>
      </c>
      <c r="W345" t="s" s="0">
        <v>8437</v>
      </c>
      <c r="X345" t="s" s="0">
        <v>82</v>
      </c>
      <c r="Y345" t="s" s="0">
        <v>82</v>
      </c>
      <c r="Z345" t="s" s="0">
        <v>94</v>
      </c>
      <c r="AA345" t="s" s="0">
        <v>95</v>
      </c>
      <c r="AB345" t="s" s="0">
        <v>82</v>
      </c>
      <c r="AC345" t="s" s="0">
        <v>82</v>
      </c>
      <c r="AD345" t="s" s="0">
        <v>82</v>
      </c>
      <c r="AE345" t="s" s="0">
        <v>82</v>
      </c>
      <c r="AF345" t="s" s="0">
        <v>82</v>
      </c>
      <c r="AG345" t="s" s="0">
        <v>8438</v>
      </c>
      <c r="AH345" t="s" s="0">
        <v>8439</v>
      </c>
      <c r="AI345" t="s" s="0">
        <v>8440</v>
      </c>
      <c r="AJ345" t="s" s="0">
        <v>8441</v>
      </c>
      <c r="AK345" t="s" s="0">
        <v>82</v>
      </c>
      <c r="AL345" t="s" s="0">
        <v>974</v>
      </c>
      <c r="AM345" t="s" s="0">
        <v>101</v>
      </c>
      <c r="AN345" t="s" s="0">
        <v>101</v>
      </c>
      <c r="AO345" t="s" s="0">
        <v>447</v>
      </c>
      <c r="AP345" t="s" s="0">
        <v>375</v>
      </c>
      <c r="AQ345" t="s" s="0">
        <v>174</v>
      </c>
      <c r="AR345" t="s" s="0">
        <v>175</v>
      </c>
      <c r="AS345" t="s" s="0">
        <v>176</v>
      </c>
      <c r="AT345" t="s" s="0">
        <v>8442</v>
      </c>
      <c r="AU345" t="s" s="0">
        <v>82</v>
      </c>
      <c r="AV345" t="s" s="0">
        <v>82</v>
      </c>
      <c r="AW345" t="s" s="0">
        <v>8443</v>
      </c>
      <c r="AX345" t="s" s="0">
        <v>8444</v>
      </c>
      <c r="AY345" t="s" s="0">
        <v>8445</v>
      </c>
      <c r="AZ345" t="s" s="0">
        <v>110</v>
      </c>
      <c r="BA345" t="s" s="0">
        <v>115</v>
      </c>
      <c r="BB345" t="s" s="0">
        <v>137</v>
      </c>
      <c r="BC345" t="s" s="0">
        <v>82</v>
      </c>
      <c r="BD345" t="s" s="0">
        <v>82</v>
      </c>
      <c r="BE345" t="s" s="0">
        <v>82</v>
      </c>
      <c r="BF345" t="s" s="0">
        <v>82</v>
      </c>
      <c r="BG345" t="s" s="0">
        <v>82</v>
      </c>
      <c r="BH345" t="s" s="0">
        <v>82</v>
      </c>
      <c r="BI345" t="s" s="0">
        <v>8446</v>
      </c>
      <c r="BJ345" t="s" s="0">
        <v>8447</v>
      </c>
      <c r="BK345" t="s" s="686">
        <f>HYPERLINK("http://dx.doi.org/10.1002/cam4.7324","http://dx.doi.org/10.1002/cam4.7324")</f>
        <v>8448</v>
      </c>
      <c r="BL345" t="s" s="0">
        <v>82</v>
      </c>
      <c r="BM345" t="s" s="0">
        <v>82</v>
      </c>
      <c r="BN345" t="s" s="0">
        <v>154</v>
      </c>
      <c r="BO345" t="s" s="0">
        <v>4833</v>
      </c>
      <c r="BP345" t="s" s="0">
        <v>4833</v>
      </c>
      <c r="BQ345" t="s" s="0">
        <v>8449</v>
      </c>
      <c r="BR345" t="s" s="0">
        <v>8450</v>
      </c>
      <c r="BS345" t="s" s="0">
        <v>8451</v>
      </c>
      <c r="BT345" t="s" s="687">
        <f>HYPERLINK("https://www.webofscience.com/wos/woscc/full-record/WOS:001242654100001","View Record in Web of Science")</f>
        <v>120</v>
      </c>
      <c r="BU345" t="s" s="0">
        <v>121</v>
      </c>
      <c r="BV345" t="s" s="0">
        <v>82</v>
      </c>
      <c r="BW345" t="s" s="0">
        <v>82</v>
      </c>
      <c r="BX345" t="s" s="0">
        <v>122</v>
      </c>
    </row>
    <row r="346">
      <c r="A346" t="s" s="0">
        <v>77</v>
      </c>
      <c r="B346" t="s" s="0">
        <v>78</v>
      </c>
      <c r="C346" t="s" s="0">
        <v>221</v>
      </c>
      <c r="D346" t="s" s="0">
        <v>78</v>
      </c>
      <c r="E346" t="s" s="0">
        <v>8452</v>
      </c>
      <c r="F346" t="s" s="0">
        <v>8453</v>
      </c>
      <c r="G346" t="s" s="0">
        <v>8454</v>
      </c>
      <c r="H346" t="s" s="0">
        <v>82</v>
      </c>
      <c r="I346" t="s" s="0">
        <v>83</v>
      </c>
      <c r="J346" t="s" s="0">
        <v>8455</v>
      </c>
      <c r="K346" t="s" s="0">
        <v>8456</v>
      </c>
      <c r="L346" t="s" s="0">
        <v>82</v>
      </c>
      <c r="M346" t="s" s="0">
        <v>82</v>
      </c>
      <c r="N346" t="s" s="0">
        <v>82</v>
      </c>
      <c r="O346" t="s" s="0">
        <v>8457</v>
      </c>
      <c r="P346" t="s" s="0">
        <v>8458</v>
      </c>
      <c r="Q346" t="s" s="0">
        <v>91</v>
      </c>
      <c r="R346" t="s" s="0">
        <v>82</v>
      </c>
      <c r="S346" t="s" s="0">
        <v>82</v>
      </c>
      <c r="T346" t="s" s="0">
        <v>82</v>
      </c>
      <c r="U346" t="s" s="0">
        <v>82</v>
      </c>
      <c r="V346" t="s" s="0">
        <v>8459</v>
      </c>
      <c r="W346" t="s" s="0">
        <v>6517</v>
      </c>
      <c r="X346" t="s" s="0">
        <v>82</v>
      </c>
      <c r="Y346" t="s" s="0">
        <v>82</v>
      </c>
      <c r="Z346" t="s" s="0">
        <v>94</v>
      </c>
      <c r="AA346" t="s" s="0">
        <v>95</v>
      </c>
      <c r="AB346" t="s" s="0">
        <v>82</v>
      </c>
      <c r="AC346" t="s" s="0">
        <v>82</v>
      </c>
      <c r="AD346" t="s" s="0">
        <v>82</v>
      </c>
      <c r="AE346" t="s" s="0">
        <v>82</v>
      </c>
      <c r="AF346" t="s" s="0">
        <v>82</v>
      </c>
      <c r="AG346" t="s" s="0">
        <v>8460</v>
      </c>
      <c r="AH346" t="s" s="0">
        <v>8461</v>
      </c>
      <c r="AI346" t="s" s="0">
        <v>8462</v>
      </c>
      <c r="AJ346" t="s" s="0">
        <v>8463</v>
      </c>
      <c r="AK346" t="s" s="0">
        <v>82</v>
      </c>
      <c r="AL346" t="s" s="0">
        <v>974</v>
      </c>
      <c r="AM346" t="s" s="0">
        <v>137</v>
      </c>
      <c r="AN346" t="s" s="0">
        <v>149</v>
      </c>
      <c r="AO346" t="s" s="0">
        <v>78</v>
      </c>
      <c r="AP346" t="s" s="0">
        <v>138</v>
      </c>
      <c r="AQ346" t="s" s="0">
        <v>277</v>
      </c>
      <c r="AR346" t="s" s="0">
        <v>278</v>
      </c>
      <c r="AS346" t="s" s="0">
        <v>279</v>
      </c>
      <c r="AT346" t="s" s="0">
        <v>6522</v>
      </c>
      <c r="AU346" t="s" s="0">
        <v>82</v>
      </c>
      <c r="AV346" t="s" s="0">
        <v>82</v>
      </c>
      <c r="AW346" t="s" s="0">
        <v>6517</v>
      </c>
      <c r="AX346" t="s" s="0">
        <v>6523</v>
      </c>
      <c r="AY346" t="s" s="0">
        <v>6158</v>
      </c>
      <c r="AZ346" t="s" s="0">
        <v>408</v>
      </c>
      <c r="BA346" t="s" s="0">
        <v>2081</v>
      </c>
      <c r="BB346" t="s" s="0">
        <v>82</v>
      </c>
      <c r="BC346" t="s" s="0">
        <v>82</v>
      </c>
      <c r="BD346" t="s" s="0">
        <v>82</v>
      </c>
      <c r="BE346" t="s" s="0">
        <v>82</v>
      </c>
      <c r="BF346" t="s" s="0">
        <v>82</v>
      </c>
      <c r="BG346" t="s" s="0">
        <v>82</v>
      </c>
      <c r="BH346" t="s" s="0">
        <v>82</v>
      </c>
      <c r="BI346" t="s" s="0">
        <v>8464</v>
      </c>
      <c r="BJ346" t="s" s="0">
        <v>8465</v>
      </c>
      <c r="BK346" t="s" s="688">
        <f>HYPERLINK("http://dx.doi.org/10.1016/j.ebiom.2022.104209","http://dx.doi.org/10.1016/j.ebiom.2022.104209")</f>
        <v>8466</v>
      </c>
      <c r="BL346" t="s" s="0">
        <v>82</v>
      </c>
      <c r="BM346" t="s" s="0">
        <v>1482</v>
      </c>
      <c r="BN346" t="s" s="0">
        <v>323</v>
      </c>
      <c r="BO346" t="s" s="0">
        <v>6527</v>
      </c>
      <c r="BP346" t="s" s="0">
        <v>6528</v>
      </c>
      <c r="BQ346" t="s" s="0">
        <v>8467</v>
      </c>
      <c r="BR346" t="s" s="0">
        <v>8468</v>
      </c>
      <c r="BS346" t="s" s="0">
        <v>8469</v>
      </c>
      <c r="BT346" t="s" s="689">
        <f>HYPERLINK("https://www.webofscience.com/wos/woscc/full-record/WOS:000861176800012","View Record in Web of Science")</f>
        <v>120</v>
      </c>
      <c r="BU346" t="s" s="0">
        <v>121</v>
      </c>
      <c r="BV346" t="s" s="0">
        <v>82</v>
      </c>
      <c r="BW346" t="s" s="0">
        <v>82</v>
      </c>
      <c r="BX346" t="s" s="0">
        <v>122</v>
      </c>
    </row>
    <row r="347">
      <c r="A347" t="s" s="0">
        <v>78</v>
      </c>
      <c r="B347" t="s" s="0">
        <v>78</v>
      </c>
      <c r="C347" t="s" s="0">
        <v>447</v>
      </c>
      <c r="D347" t="s" s="0">
        <v>78</v>
      </c>
      <c r="E347" t="s" s="0">
        <v>8470</v>
      </c>
      <c r="F347" t="s" s="0">
        <v>8471</v>
      </c>
      <c r="G347" t="s" s="0">
        <v>8472</v>
      </c>
      <c r="H347" t="s" s="0">
        <v>82</v>
      </c>
      <c r="I347" t="s" s="0">
        <v>83</v>
      </c>
      <c r="J347" t="s" s="0">
        <v>8473</v>
      </c>
      <c r="K347" t="s" s="0">
        <v>8474</v>
      </c>
      <c r="L347" t="s" s="0">
        <v>8475</v>
      </c>
      <c r="M347" t="s" s="0">
        <v>8476</v>
      </c>
      <c r="N347" t="s" s="0">
        <v>8477</v>
      </c>
      <c r="O347" t="s" s="0">
        <v>8478</v>
      </c>
      <c r="P347" t="s" s="0">
        <v>8479</v>
      </c>
      <c r="Q347" t="s" s="0">
        <v>91</v>
      </c>
      <c r="R347" t="s" s="0">
        <v>82</v>
      </c>
      <c r="S347" t="s" s="0">
        <v>82</v>
      </c>
      <c r="T347" t="s" s="0">
        <v>82</v>
      </c>
      <c r="U347" t="s" s="0">
        <v>82</v>
      </c>
      <c r="V347" t="s" s="0">
        <v>8480</v>
      </c>
      <c r="W347" t="s" s="0">
        <v>6466</v>
      </c>
      <c r="X347" t="s" s="0">
        <v>82</v>
      </c>
      <c r="Y347" t="s" s="0">
        <v>82</v>
      </c>
      <c r="Z347" t="s" s="0">
        <v>94</v>
      </c>
      <c r="AA347" t="s" s="0">
        <v>95</v>
      </c>
      <c r="AB347" t="s" s="0">
        <v>82</v>
      </c>
      <c r="AC347" t="s" s="0">
        <v>82</v>
      </c>
      <c r="AD347" t="s" s="0">
        <v>82</v>
      </c>
      <c r="AE347" t="s" s="0">
        <v>82</v>
      </c>
      <c r="AF347" t="s" s="0">
        <v>82</v>
      </c>
      <c r="AG347" t="s" s="0">
        <v>8481</v>
      </c>
      <c r="AH347" t="s" s="0">
        <v>8482</v>
      </c>
      <c r="AI347" t="s" s="0">
        <v>8483</v>
      </c>
      <c r="AJ347" t="s" s="0">
        <v>8484</v>
      </c>
      <c r="AK347" t="s" s="0">
        <v>82</v>
      </c>
      <c r="AL347" t="s" s="0">
        <v>311</v>
      </c>
      <c r="AM347" t="s" s="0">
        <v>221</v>
      </c>
      <c r="AN347" t="s" s="0">
        <v>221</v>
      </c>
      <c r="AO347" t="s" s="0">
        <v>77</v>
      </c>
      <c r="AP347" t="s" s="0">
        <v>137</v>
      </c>
      <c r="AQ347" t="s" s="0">
        <v>312</v>
      </c>
      <c r="AR347" t="s" s="0">
        <v>313</v>
      </c>
      <c r="AS347" t="s" s="0">
        <v>314</v>
      </c>
      <c r="AT347" t="s" s="0">
        <v>82</v>
      </c>
      <c r="AU347" t="s" s="0">
        <v>6471</v>
      </c>
      <c r="AV347" t="s" s="0">
        <v>82</v>
      </c>
      <c r="AW347" t="s" s="0">
        <v>6472</v>
      </c>
      <c r="AX347" t="s" s="0">
        <v>6473</v>
      </c>
      <c r="AY347" t="s" s="0">
        <v>1631</v>
      </c>
      <c r="AZ347" t="s" s="0">
        <v>110</v>
      </c>
      <c r="BA347" t="s" s="0">
        <v>323</v>
      </c>
      <c r="BB347" t="s" s="0">
        <v>375</v>
      </c>
      <c r="BC347" t="s" s="0">
        <v>82</v>
      </c>
      <c r="BD347" t="s" s="0">
        <v>82</v>
      </c>
      <c r="BE347" t="s" s="0">
        <v>82</v>
      </c>
      <c r="BF347" t="s" s="0">
        <v>82</v>
      </c>
      <c r="BG347" t="s" s="0">
        <v>82</v>
      </c>
      <c r="BH347" t="s" s="0">
        <v>82</v>
      </c>
      <c r="BI347" t="s" s="0">
        <v>8485</v>
      </c>
      <c r="BJ347" t="s" s="0">
        <v>8486</v>
      </c>
      <c r="BK347" t="s" s="690">
        <f>HYPERLINK("http://dx.doi.org/10.3390/jpm14060587","http://dx.doi.org/10.3390/jpm14060587")</f>
        <v>8487</v>
      </c>
      <c r="BL347" t="s" s="0">
        <v>82</v>
      </c>
      <c r="BM347" t="s" s="0">
        <v>82</v>
      </c>
      <c r="BN347" t="s" s="0">
        <v>149</v>
      </c>
      <c r="BO347" t="s" s="0">
        <v>6371</v>
      </c>
      <c r="BP347" t="s" s="0">
        <v>6372</v>
      </c>
      <c r="BQ347" t="s" s="0">
        <v>8488</v>
      </c>
      <c r="BR347" t="s" s="0">
        <v>8489</v>
      </c>
      <c r="BS347" t="s" s="0">
        <v>8490</v>
      </c>
      <c r="BT347" t="s" s="691">
        <f>HYPERLINK("https://www.webofscience.com/wos/woscc/full-record/WOS:001256110700001","View Record in Web of Science")</f>
        <v>120</v>
      </c>
      <c r="BU347" t="s" s="0">
        <v>121</v>
      </c>
      <c r="BV347" t="s" s="0">
        <v>82</v>
      </c>
      <c r="BW347" t="s" s="0">
        <v>82</v>
      </c>
      <c r="BX347" t="s" s="0">
        <v>122</v>
      </c>
    </row>
    <row r="348">
      <c r="A348" t="s" s="0">
        <v>78</v>
      </c>
      <c r="B348" t="s" s="0">
        <v>78</v>
      </c>
      <c r="C348" t="s" s="0">
        <v>78</v>
      </c>
      <c r="D348" t="s" s="0">
        <v>78</v>
      </c>
      <c r="E348" t="s" s="0">
        <v>8491</v>
      </c>
      <c r="F348" t="s" s="0">
        <v>8492</v>
      </c>
      <c r="G348" t="s" s="0">
        <v>8493</v>
      </c>
      <c r="H348" t="s" s="0">
        <v>82</v>
      </c>
      <c r="I348" t="s" s="0">
        <v>83</v>
      </c>
      <c r="J348" t="s" s="0">
        <v>8494</v>
      </c>
      <c r="K348" t="s" s="0">
        <v>8495</v>
      </c>
      <c r="L348" t="s" s="0">
        <v>8496</v>
      </c>
      <c r="M348" t="s" s="0">
        <v>8497</v>
      </c>
      <c r="N348" t="s" s="0">
        <v>8498</v>
      </c>
      <c r="O348" t="s" s="0">
        <v>8499</v>
      </c>
      <c r="P348" t="s" s="0">
        <v>8500</v>
      </c>
      <c r="Q348" t="s" s="0">
        <v>91</v>
      </c>
      <c r="R348" t="s" s="0">
        <v>82</v>
      </c>
      <c r="S348" t="s" s="0">
        <v>82</v>
      </c>
      <c r="T348" t="s" s="0">
        <v>82</v>
      </c>
      <c r="U348" t="s" s="0">
        <v>82</v>
      </c>
      <c r="V348" t="s" s="0">
        <v>8501</v>
      </c>
      <c r="W348" t="s" s="0">
        <v>8502</v>
      </c>
      <c r="X348" t="s" s="0">
        <v>82</v>
      </c>
      <c r="Y348" t="s" s="0">
        <v>82</v>
      </c>
      <c r="Z348" t="s" s="0">
        <v>94</v>
      </c>
      <c r="AA348" t="s" s="0">
        <v>95</v>
      </c>
      <c r="AB348" t="s" s="0">
        <v>82</v>
      </c>
      <c r="AC348" t="s" s="0">
        <v>82</v>
      </c>
      <c r="AD348" t="s" s="0">
        <v>82</v>
      </c>
      <c r="AE348" t="s" s="0">
        <v>82</v>
      </c>
      <c r="AF348" t="s" s="0">
        <v>82</v>
      </c>
      <c r="AG348" t="s" s="0">
        <v>8503</v>
      </c>
      <c r="AH348" t="s" s="0">
        <v>8504</v>
      </c>
      <c r="AI348" t="s" s="0">
        <v>82</v>
      </c>
      <c r="AJ348" t="s" s="0">
        <v>82</v>
      </c>
      <c r="AK348" t="s" s="0">
        <v>82</v>
      </c>
      <c r="AL348" t="s" s="0">
        <v>399</v>
      </c>
      <c r="AM348" t="s" s="0">
        <v>78</v>
      </c>
      <c r="AN348" t="s" s="0">
        <v>78</v>
      </c>
      <c r="AO348" t="s" s="0">
        <v>78</v>
      </c>
      <c r="AP348" t="s" s="0">
        <v>78</v>
      </c>
      <c r="AQ348" t="s" s="0">
        <v>2051</v>
      </c>
      <c r="AR348" t="s" s="0">
        <v>203</v>
      </c>
      <c r="AS348" t="s" s="0">
        <v>2052</v>
      </c>
      <c r="AT348" t="s" s="0">
        <v>8505</v>
      </c>
      <c r="AU348" t="s" s="0">
        <v>8506</v>
      </c>
      <c r="AV348" t="s" s="0">
        <v>82</v>
      </c>
      <c r="AW348" t="s" s="0">
        <v>8507</v>
      </c>
      <c r="AX348" t="s" s="0">
        <v>8508</v>
      </c>
      <c r="AY348" t="s" s="0">
        <v>8509</v>
      </c>
      <c r="AZ348" t="s" s="0">
        <v>181</v>
      </c>
      <c r="BA348" t="s" s="0">
        <v>463</v>
      </c>
      <c r="BB348" t="s" s="0">
        <v>77</v>
      </c>
      <c r="BC348" t="s" s="0">
        <v>82</v>
      </c>
      <c r="BD348" t="s" s="0">
        <v>82</v>
      </c>
      <c r="BE348" t="s" s="0">
        <v>82</v>
      </c>
      <c r="BF348" t="s" s="0">
        <v>82</v>
      </c>
      <c r="BG348" t="s" s="0">
        <v>82</v>
      </c>
      <c r="BH348" t="s" s="0">
        <v>82</v>
      </c>
      <c r="BI348" t="s" s="0">
        <v>8510</v>
      </c>
      <c r="BJ348" t="s" s="0">
        <v>8511</v>
      </c>
      <c r="BK348" t="s" s="692">
        <f>HYPERLINK("http://dx.doi.org/10.1007/s10143-026-04403-w","http://dx.doi.org/10.1007/s10143-026-04403-w")</f>
        <v>8512</v>
      </c>
      <c r="BL348" t="s" s="0">
        <v>82</v>
      </c>
      <c r="BM348" t="s" s="0">
        <v>82</v>
      </c>
      <c r="BN348" t="s" s="0">
        <v>323</v>
      </c>
      <c r="BO348" t="s" s="0">
        <v>216</v>
      </c>
      <c r="BP348" t="s" s="0">
        <v>217</v>
      </c>
      <c r="BQ348" t="s" s="0">
        <v>8513</v>
      </c>
      <c r="BR348" t="s" s="0">
        <v>8514</v>
      </c>
      <c r="BS348" t="s" s="0">
        <v>8515</v>
      </c>
      <c r="BT348" t="s" s="693">
        <f>HYPERLINK("https://www.webofscience.com/wos/woscc/full-record/WOS:001836235700001","View Record in Web of Science")</f>
        <v>120</v>
      </c>
      <c r="BU348" t="s" s="0">
        <v>82</v>
      </c>
      <c r="BV348" t="s" s="0">
        <v>82</v>
      </c>
      <c r="BW348" t="s" s="0">
        <v>82</v>
      </c>
      <c r="BX348" t="s" s="0">
        <v>122</v>
      </c>
    </row>
    <row r="349">
      <c r="A349" t="s" s="0">
        <v>78</v>
      </c>
      <c r="B349" t="s" s="0">
        <v>78</v>
      </c>
      <c r="C349" t="s" s="0">
        <v>78</v>
      </c>
      <c r="D349" t="s" s="0">
        <v>78</v>
      </c>
      <c r="E349" t="s" s="0">
        <v>8516</v>
      </c>
      <c r="F349" t="s" s="0">
        <v>8517</v>
      </c>
      <c r="G349" t="s" s="0">
        <v>8518</v>
      </c>
      <c r="H349" t="s" s="0">
        <v>82</v>
      </c>
      <c r="I349" t="s" s="0">
        <v>83</v>
      </c>
      <c r="J349" t="s" s="0">
        <v>8519</v>
      </c>
      <c r="K349" t="s" s="0">
        <v>8520</v>
      </c>
      <c r="L349" t="s" s="0">
        <v>82</v>
      </c>
      <c r="M349" t="s" s="0">
        <v>82</v>
      </c>
      <c r="N349" t="s" s="0">
        <v>8521</v>
      </c>
      <c r="O349" t="s" s="0">
        <v>8522</v>
      </c>
      <c r="P349" t="s" s="0">
        <v>8523</v>
      </c>
      <c r="Q349" t="s" s="0">
        <v>91</v>
      </c>
      <c r="R349" t="s" s="0">
        <v>82</v>
      </c>
      <c r="S349" t="s" s="0">
        <v>82</v>
      </c>
      <c r="T349" t="s" s="0">
        <v>82</v>
      </c>
      <c r="U349" t="s" s="0">
        <v>82</v>
      </c>
      <c r="V349" t="s" s="0">
        <v>8524</v>
      </c>
      <c r="W349" t="s" s="0">
        <v>3586</v>
      </c>
      <c r="X349" t="s" s="0">
        <v>82</v>
      </c>
      <c r="Y349" t="s" s="0">
        <v>82</v>
      </c>
      <c r="Z349" t="s" s="0">
        <v>94</v>
      </c>
      <c r="AA349" t="s" s="0">
        <v>95</v>
      </c>
      <c r="AB349" t="s" s="0">
        <v>82</v>
      </c>
      <c r="AC349" t="s" s="0">
        <v>82</v>
      </c>
      <c r="AD349" t="s" s="0">
        <v>82</v>
      </c>
      <c r="AE349" t="s" s="0">
        <v>82</v>
      </c>
      <c r="AF349" t="s" s="0">
        <v>82</v>
      </c>
      <c r="AG349" t="s" s="0">
        <v>8525</v>
      </c>
      <c r="AH349" t="s" s="0">
        <v>8526</v>
      </c>
      <c r="AI349" t="s" s="0">
        <v>82</v>
      </c>
      <c r="AJ349" t="s" s="0">
        <v>8527</v>
      </c>
      <c r="AK349" t="s" s="0">
        <v>82</v>
      </c>
      <c r="AL349" t="s" s="0">
        <v>1161</v>
      </c>
      <c r="AM349" t="s" s="0">
        <v>78</v>
      </c>
      <c r="AN349" t="s" s="0">
        <v>78</v>
      </c>
      <c r="AO349" t="s" s="0">
        <v>78</v>
      </c>
      <c r="AP349" t="s" s="0">
        <v>78</v>
      </c>
      <c r="AQ349" t="s" s="0">
        <v>312</v>
      </c>
      <c r="AR349" t="s" s="0">
        <v>313</v>
      </c>
      <c r="AS349" t="s" s="0">
        <v>314</v>
      </c>
      <c r="AT349" t="s" s="0">
        <v>3591</v>
      </c>
      <c r="AU349" t="s" s="0">
        <v>3592</v>
      </c>
      <c r="AV349" t="s" s="0">
        <v>82</v>
      </c>
      <c r="AW349" t="s" s="0">
        <v>3586</v>
      </c>
      <c r="AX349" t="s" s="0">
        <v>3593</v>
      </c>
      <c r="AY349" t="s" s="0">
        <v>8528</v>
      </c>
      <c r="AZ349" t="s" s="0">
        <v>181</v>
      </c>
      <c r="BA349" t="s" s="0">
        <v>464</v>
      </c>
      <c r="BB349" t="s" s="0">
        <v>138</v>
      </c>
      <c r="BC349" t="s" s="0">
        <v>82</v>
      </c>
      <c r="BD349" t="s" s="0">
        <v>82</v>
      </c>
      <c r="BE349" t="s" s="0">
        <v>82</v>
      </c>
      <c r="BF349" t="s" s="0">
        <v>82</v>
      </c>
      <c r="BG349" t="s" s="0">
        <v>82</v>
      </c>
      <c r="BH349" t="s" s="0">
        <v>82</v>
      </c>
      <c r="BI349" t="s" s="0">
        <v>4274</v>
      </c>
      <c r="BJ349" t="s" s="0">
        <v>8529</v>
      </c>
      <c r="BK349" t="s" s="694">
        <f>HYPERLINK("http://dx.doi.org/10.3390/medicina62071356","http://dx.doi.org/10.3390/medicina62071356")</f>
        <v>8530</v>
      </c>
      <c r="BL349" t="s" s="0">
        <v>82</v>
      </c>
      <c r="BM349" t="s" s="0">
        <v>82</v>
      </c>
      <c r="BN349" t="s" s="0">
        <v>640</v>
      </c>
      <c r="BO349" t="s" s="0">
        <v>354</v>
      </c>
      <c r="BP349" t="s" s="0">
        <v>355</v>
      </c>
      <c r="BQ349" t="s" s="0">
        <v>8531</v>
      </c>
      <c r="BR349" t="s" s="0">
        <v>8532</v>
      </c>
      <c r="BS349" t="s" s="0">
        <v>8533</v>
      </c>
      <c r="BT349" t="s" s="695">
        <f>HYPERLINK("https://www.webofscience.com/wos/woscc/full-record/WOS:001832587400001","View Record in Web of Science")</f>
        <v>120</v>
      </c>
      <c r="BU349" t="s" s="0">
        <v>121</v>
      </c>
      <c r="BV349" t="s" s="0">
        <v>82</v>
      </c>
      <c r="BW349" t="s" s="0">
        <v>82</v>
      </c>
      <c r="BX349" t="s" s="0">
        <v>122</v>
      </c>
    </row>
    <row r="350">
      <c r="A350" t="s" s="0">
        <v>78</v>
      </c>
      <c r="B350" t="s" s="0">
        <v>78</v>
      </c>
      <c r="C350" t="s" s="0">
        <v>102</v>
      </c>
      <c r="D350" t="s" s="0">
        <v>78</v>
      </c>
      <c r="E350" t="s" s="0">
        <v>8534</v>
      </c>
      <c r="F350" t="s" s="0">
        <v>8535</v>
      </c>
      <c r="G350" t="s" s="0">
        <v>8536</v>
      </c>
      <c r="H350" t="s" s="0">
        <v>82</v>
      </c>
      <c r="I350" t="s" s="0">
        <v>83</v>
      </c>
      <c r="J350" t="s" s="0">
        <v>8537</v>
      </c>
      <c r="K350" t="s" s="0">
        <v>8538</v>
      </c>
      <c r="L350" t="s" s="0">
        <v>8539</v>
      </c>
      <c r="M350" t="s" s="0">
        <v>8540</v>
      </c>
      <c r="N350" t="s" s="0">
        <v>8541</v>
      </c>
      <c r="O350" t="s" s="0">
        <v>8542</v>
      </c>
      <c r="P350" t="s" s="0">
        <v>8543</v>
      </c>
      <c r="Q350" t="s" s="0">
        <v>91</v>
      </c>
      <c r="R350" t="s" s="0">
        <v>82</v>
      </c>
      <c r="S350" t="s" s="0">
        <v>82</v>
      </c>
      <c r="T350" t="s" s="0">
        <v>82</v>
      </c>
      <c r="U350" t="s" s="0">
        <v>82</v>
      </c>
      <c r="V350" t="s" s="0">
        <v>8544</v>
      </c>
      <c r="W350" t="s" s="0">
        <v>8545</v>
      </c>
      <c r="X350" t="s" s="0">
        <v>82</v>
      </c>
      <c r="Y350" t="s" s="0">
        <v>82</v>
      </c>
      <c r="Z350" t="s" s="0">
        <v>94</v>
      </c>
      <c r="AA350" t="s" s="0">
        <v>95</v>
      </c>
      <c r="AB350" t="s" s="0">
        <v>82</v>
      </c>
      <c r="AC350" t="s" s="0">
        <v>82</v>
      </c>
      <c r="AD350" t="s" s="0">
        <v>82</v>
      </c>
      <c r="AE350" t="s" s="0">
        <v>82</v>
      </c>
      <c r="AF350" t="s" s="0">
        <v>82</v>
      </c>
      <c r="AG350" t="s" s="0">
        <v>8546</v>
      </c>
      <c r="AH350" t="s" s="0">
        <v>8547</v>
      </c>
      <c r="AI350" t="s" s="0">
        <v>8548</v>
      </c>
      <c r="AJ350" t="s" s="0">
        <v>82</v>
      </c>
      <c r="AK350" t="s" s="0">
        <v>82</v>
      </c>
      <c r="AL350" t="s" s="0">
        <v>828</v>
      </c>
      <c r="AM350" t="s" s="0">
        <v>221</v>
      </c>
      <c r="AN350" t="s" s="0">
        <v>221</v>
      </c>
      <c r="AO350" t="s" s="0">
        <v>78</v>
      </c>
      <c r="AP350" t="s" s="0">
        <v>138</v>
      </c>
      <c r="AQ350" t="s" s="0">
        <v>6317</v>
      </c>
      <c r="AR350" t="s" s="0">
        <v>6318</v>
      </c>
      <c r="AS350" t="s" s="0">
        <v>6319</v>
      </c>
      <c r="AT350" t="s" s="0">
        <v>8549</v>
      </c>
      <c r="AU350" t="s" s="0">
        <v>8550</v>
      </c>
      <c r="AV350" t="s" s="0">
        <v>82</v>
      </c>
      <c r="AW350" t="s" s="0">
        <v>8551</v>
      </c>
      <c r="AX350" t="s" s="0">
        <v>8552</v>
      </c>
      <c r="AY350" t="s" s="0">
        <v>1394</v>
      </c>
      <c r="AZ350" t="s" s="0">
        <v>147</v>
      </c>
      <c r="BA350" t="s" s="0">
        <v>464</v>
      </c>
      <c r="BB350" t="s" s="0">
        <v>375</v>
      </c>
      <c r="BC350" t="s" s="0">
        <v>82</v>
      </c>
      <c r="BD350" t="s" s="0">
        <v>82</v>
      </c>
      <c r="BE350" t="s" s="0">
        <v>82</v>
      </c>
      <c r="BF350" t="s" s="0">
        <v>82</v>
      </c>
      <c r="BG350" t="s" s="0">
        <v>8553</v>
      </c>
      <c r="BH350" t="s" s="0">
        <v>6552</v>
      </c>
      <c r="BI350" t="s" s="0">
        <v>82</v>
      </c>
      <c r="BJ350" t="s" s="0">
        <v>8554</v>
      </c>
      <c r="BK350" t="s" s="696">
        <f>HYPERLINK("http://dx.doi.org/10.1007/s00592-024-02404-z","http://dx.doi.org/10.1007/s00592-024-02404-z")</f>
        <v>8555</v>
      </c>
      <c r="BL350" t="s" s="0">
        <v>82</v>
      </c>
      <c r="BM350" t="s" s="0">
        <v>1457</v>
      </c>
      <c r="BN350" t="s" s="0">
        <v>137</v>
      </c>
      <c r="BO350" t="s" s="0">
        <v>697</v>
      </c>
      <c r="BP350" t="s" s="0">
        <v>697</v>
      </c>
      <c r="BQ350" t="s" s="0">
        <v>8556</v>
      </c>
      <c r="BR350" t="s" s="0">
        <v>8557</v>
      </c>
      <c r="BS350" t="s" s="0">
        <v>8558</v>
      </c>
      <c r="BT350" t="s" s="697">
        <f>HYPERLINK("https://www.webofscience.com/wos/woscc/full-record/WOS:001352541600001","View Record in Web of Science")</f>
        <v>120</v>
      </c>
      <c r="BU350" t="s" s="0">
        <v>82</v>
      </c>
      <c r="BV350" t="s" s="0">
        <v>82</v>
      </c>
      <c r="BW350" t="s" s="0">
        <v>82</v>
      </c>
      <c r="BX350" t="s" s="0">
        <v>122</v>
      </c>
    </row>
    <row r="351">
      <c r="A351" t="s" s="0">
        <v>78</v>
      </c>
      <c r="B351" t="s" s="0">
        <v>78</v>
      </c>
      <c r="C351" t="s" s="0">
        <v>78</v>
      </c>
      <c r="D351" t="s" s="0">
        <v>78</v>
      </c>
      <c r="E351" t="s" s="0">
        <v>8559</v>
      </c>
      <c r="F351" t="s" s="0">
        <v>8560</v>
      </c>
      <c r="G351" t="s" s="0">
        <v>8561</v>
      </c>
      <c r="H351" t="s" s="0">
        <v>82</v>
      </c>
      <c r="I351" t="s" s="0">
        <v>83</v>
      </c>
      <c r="J351" t="s" s="0">
        <v>8562</v>
      </c>
      <c r="K351" t="s" s="0">
        <v>8563</v>
      </c>
      <c r="L351" t="s" s="0">
        <v>8564</v>
      </c>
      <c r="M351" t="s" s="0">
        <v>8565</v>
      </c>
      <c r="N351" t="s" s="0">
        <v>8566</v>
      </c>
      <c r="O351" t="s" s="0">
        <v>8567</v>
      </c>
      <c r="P351" t="s" s="0">
        <v>8568</v>
      </c>
      <c r="Q351" t="s" s="0">
        <v>91</v>
      </c>
      <c r="R351" t="s" s="0">
        <v>82</v>
      </c>
      <c r="S351" t="s" s="0">
        <v>82</v>
      </c>
      <c r="T351" t="s" s="0">
        <v>82</v>
      </c>
      <c r="U351" t="s" s="0">
        <v>82</v>
      </c>
      <c r="V351" t="s" s="0">
        <v>8569</v>
      </c>
      <c r="W351" t="s" s="0">
        <v>8570</v>
      </c>
      <c r="X351" t="s" s="0">
        <v>82</v>
      </c>
      <c r="Y351" t="s" s="0">
        <v>82</v>
      </c>
      <c r="Z351" t="s" s="0">
        <v>94</v>
      </c>
      <c r="AA351" t="s" s="0">
        <v>95</v>
      </c>
      <c r="AB351" t="s" s="0">
        <v>82</v>
      </c>
      <c r="AC351" t="s" s="0">
        <v>82</v>
      </c>
      <c r="AD351" t="s" s="0">
        <v>82</v>
      </c>
      <c r="AE351" t="s" s="0">
        <v>82</v>
      </c>
      <c r="AF351" t="s" s="0">
        <v>82</v>
      </c>
      <c r="AG351" t="s" s="0">
        <v>8571</v>
      </c>
      <c r="AH351" t="s" s="0">
        <v>8572</v>
      </c>
      <c r="AI351" t="s" s="0">
        <v>8573</v>
      </c>
      <c r="AJ351" t="s" s="0">
        <v>8574</v>
      </c>
      <c r="AK351" t="s" s="0">
        <v>82</v>
      </c>
      <c r="AL351" t="s" s="0">
        <v>463</v>
      </c>
      <c r="AM351" t="s" s="0">
        <v>102</v>
      </c>
      <c r="AN351" t="s" s="0">
        <v>221</v>
      </c>
      <c r="AO351" t="s" s="0">
        <v>77</v>
      </c>
      <c r="AP351" t="s" s="0">
        <v>447</v>
      </c>
      <c r="AQ351" t="s" s="0">
        <v>174</v>
      </c>
      <c r="AR351" t="s" s="0">
        <v>175</v>
      </c>
      <c r="AS351" t="s" s="0">
        <v>176</v>
      </c>
      <c r="AT351" t="s" s="0">
        <v>8575</v>
      </c>
      <c r="AU351" t="s" s="0">
        <v>8576</v>
      </c>
      <c r="AV351" t="s" s="0">
        <v>82</v>
      </c>
      <c r="AW351" t="s" s="0">
        <v>8570</v>
      </c>
      <c r="AX351" t="s" s="0">
        <v>8577</v>
      </c>
      <c r="AY351" t="s" s="0">
        <v>1371</v>
      </c>
      <c r="AZ351" t="s" s="0">
        <v>181</v>
      </c>
      <c r="BA351" t="s" s="0">
        <v>257</v>
      </c>
      <c r="BB351" t="s" s="0">
        <v>447</v>
      </c>
      <c r="BC351" t="s" s="0">
        <v>82</v>
      </c>
      <c r="BD351" t="s" s="0">
        <v>82</v>
      </c>
      <c r="BE351" t="s" s="0">
        <v>82</v>
      </c>
      <c r="BF351" t="s" s="0">
        <v>82</v>
      </c>
      <c r="BG351" t="s" s="0">
        <v>8578</v>
      </c>
      <c r="BH351" t="s" s="0">
        <v>8579</v>
      </c>
      <c r="BI351" t="s" s="0">
        <v>82</v>
      </c>
      <c r="BJ351" t="s" s="0">
        <v>8580</v>
      </c>
      <c r="BK351" t="s" s="698">
        <f>HYPERLINK("http://dx.doi.org/10.1111/anae.16777","http://dx.doi.org/10.1111/anae.16777")</f>
        <v>8581</v>
      </c>
      <c r="BL351" t="s" s="0">
        <v>82</v>
      </c>
      <c r="BM351" t="s" s="0">
        <v>497</v>
      </c>
      <c r="BN351" t="s" s="0">
        <v>149</v>
      </c>
      <c r="BO351" t="s" s="0">
        <v>729</v>
      </c>
      <c r="BP351" t="s" s="0">
        <v>729</v>
      </c>
      <c r="BQ351" t="s" s="0">
        <v>8582</v>
      </c>
      <c r="BR351" t="s" s="0">
        <v>8583</v>
      </c>
      <c r="BS351" t="s" s="0">
        <v>8584</v>
      </c>
      <c r="BT351" t="s" s="699">
        <f>HYPERLINK("https://www.webofscience.com/wos/woscc/full-record/WOS:001570591800001","View Record in Web of Science")</f>
        <v>120</v>
      </c>
      <c r="BU351" t="s" s="0">
        <v>256</v>
      </c>
      <c r="BV351" t="s" s="0">
        <v>82</v>
      </c>
      <c r="BW351" t="s" s="0">
        <v>82</v>
      </c>
      <c r="BX351" t="s" s="0">
        <v>122</v>
      </c>
    </row>
    <row r="352">
      <c r="A352" t="s" s="0">
        <v>78</v>
      </c>
      <c r="B352" t="s" s="0">
        <v>78</v>
      </c>
      <c r="C352" t="s" s="0">
        <v>447</v>
      </c>
      <c r="D352" t="s" s="0">
        <v>78</v>
      </c>
      <c r="E352" t="s" s="0">
        <v>8585</v>
      </c>
      <c r="F352" t="s" s="0">
        <v>8586</v>
      </c>
      <c r="G352" t="s" s="0">
        <v>8587</v>
      </c>
      <c r="H352" t="s" s="0">
        <v>82</v>
      </c>
      <c r="I352" t="s" s="0">
        <v>83</v>
      </c>
      <c r="J352" t="s" s="0">
        <v>8588</v>
      </c>
      <c r="K352" t="s" s="0">
        <v>8589</v>
      </c>
      <c r="L352" t="s" s="0">
        <v>82</v>
      </c>
      <c r="M352" t="s" s="0">
        <v>82</v>
      </c>
      <c r="N352" t="s" s="0">
        <v>82</v>
      </c>
      <c r="O352" t="s" s="0">
        <v>8590</v>
      </c>
      <c r="P352" t="s" s="0">
        <v>8591</v>
      </c>
      <c r="Q352" t="s" s="0">
        <v>91</v>
      </c>
      <c r="R352" t="s" s="0">
        <v>82</v>
      </c>
      <c r="S352" t="s" s="0">
        <v>82</v>
      </c>
      <c r="T352" t="s" s="0">
        <v>82</v>
      </c>
      <c r="U352" t="s" s="0">
        <v>82</v>
      </c>
      <c r="V352" t="s" s="0">
        <v>8592</v>
      </c>
      <c r="W352" t="s" s="0">
        <v>5498</v>
      </c>
      <c r="X352" t="s" s="0">
        <v>82</v>
      </c>
      <c r="Y352" t="s" s="0">
        <v>82</v>
      </c>
      <c r="Z352" t="s" s="0">
        <v>94</v>
      </c>
      <c r="AA352" t="s" s="0">
        <v>95</v>
      </c>
      <c r="AB352" t="s" s="0">
        <v>82</v>
      </c>
      <c r="AC352" t="s" s="0">
        <v>82</v>
      </c>
      <c r="AD352" t="s" s="0">
        <v>82</v>
      </c>
      <c r="AE352" t="s" s="0">
        <v>82</v>
      </c>
      <c r="AF352" t="s" s="0">
        <v>82</v>
      </c>
      <c r="AG352" t="s" s="0">
        <v>8593</v>
      </c>
      <c r="AH352" t="s" s="0">
        <v>8594</v>
      </c>
      <c r="AI352" t="s" s="0">
        <v>8595</v>
      </c>
      <c r="AJ352" t="s" s="0">
        <v>8596</v>
      </c>
      <c r="AK352" t="s" s="0">
        <v>82</v>
      </c>
      <c r="AL352" t="s" s="0">
        <v>890</v>
      </c>
      <c r="AM352" t="s" s="0">
        <v>149</v>
      </c>
      <c r="AN352" t="s" s="0">
        <v>149</v>
      </c>
      <c r="AO352" t="s" s="0">
        <v>77</v>
      </c>
      <c r="AP352" t="s" s="0">
        <v>136</v>
      </c>
      <c r="AQ352" t="s" s="0">
        <v>2602</v>
      </c>
      <c r="AR352" t="s" s="0">
        <v>2603</v>
      </c>
      <c r="AS352" t="s" s="0">
        <v>2604</v>
      </c>
      <c r="AT352" t="s" s="0">
        <v>5501</v>
      </c>
      <c r="AU352" t="s" s="0">
        <v>5502</v>
      </c>
      <c r="AV352" t="s" s="0">
        <v>82</v>
      </c>
      <c r="AW352" t="s" s="0">
        <v>5503</v>
      </c>
      <c r="AX352" t="s" s="0">
        <v>5504</v>
      </c>
      <c r="AY352" t="s" s="0">
        <v>8597</v>
      </c>
      <c r="AZ352" t="s" s="0">
        <v>147</v>
      </c>
      <c r="BA352" t="s" s="0">
        <v>311</v>
      </c>
      <c r="BB352" t="s" s="0">
        <v>102</v>
      </c>
      <c r="BC352" t="s" s="0">
        <v>82</v>
      </c>
      <c r="BD352" t="s" s="0">
        <v>82</v>
      </c>
      <c r="BE352" t="s" s="0">
        <v>82</v>
      </c>
      <c r="BF352" t="s" s="0">
        <v>82</v>
      </c>
      <c r="BG352" t="s" s="0">
        <v>82</v>
      </c>
      <c r="BH352" t="s" s="0">
        <v>82</v>
      </c>
      <c r="BI352" t="s" s="0">
        <v>8598</v>
      </c>
      <c r="BJ352" t="s" s="0">
        <v>8599</v>
      </c>
      <c r="BK352" t="s" s="700">
        <f>HYPERLINK("http://dx.doi.org/10.1007/s00784-025-06268-7","http://dx.doi.org/10.1007/s00784-025-06268-7")</f>
        <v>8600</v>
      </c>
      <c r="BL352" t="s" s="0">
        <v>82</v>
      </c>
      <c r="BM352" t="s" s="0">
        <v>82</v>
      </c>
      <c r="BN352" t="s" s="0">
        <v>136</v>
      </c>
      <c r="BO352" t="s" s="0">
        <v>3202</v>
      </c>
      <c r="BP352" t="s" s="0">
        <v>3202</v>
      </c>
      <c r="BQ352" t="s" s="0">
        <v>8601</v>
      </c>
      <c r="BR352" t="s" s="0">
        <v>8602</v>
      </c>
      <c r="BS352" t="s" s="0">
        <v>8603</v>
      </c>
      <c r="BT352" t="s" s="701">
        <f>HYPERLINK("https://www.webofscience.com/wos/woscc/full-record/WOS:001447007300001","View Record in Web of Science")</f>
        <v>120</v>
      </c>
      <c r="BU352" t="s" s="0">
        <v>82</v>
      </c>
      <c r="BV352" t="s" s="0">
        <v>82</v>
      </c>
      <c r="BW352" t="s" s="0">
        <v>82</v>
      </c>
      <c r="BX352" t="s" s="0">
        <v>122</v>
      </c>
    </row>
    <row r="353">
      <c r="A353" t="s" s="0">
        <v>78</v>
      </c>
      <c r="B353" t="s" s="0">
        <v>78</v>
      </c>
      <c r="C353" t="s" s="0">
        <v>78</v>
      </c>
      <c r="D353" t="s" s="0">
        <v>78</v>
      </c>
      <c r="E353" t="s" s="0">
        <v>8604</v>
      </c>
      <c r="F353" t="s" s="0">
        <v>8605</v>
      </c>
      <c r="G353" t="s" s="0">
        <v>8606</v>
      </c>
      <c r="H353" t="s" s="0">
        <v>82</v>
      </c>
      <c r="I353" t="s" s="0">
        <v>83</v>
      </c>
      <c r="J353" t="s" s="0">
        <v>8607</v>
      </c>
      <c r="K353" t="s" s="0">
        <v>8608</v>
      </c>
      <c r="L353" t="s" s="0">
        <v>82</v>
      </c>
      <c r="M353" t="s" s="0">
        <v>82</v>
      </c>
      <c r="N353" t="s" s="0">
        <v>82</v>
      </c>
      <c r="O353" t="s" s="0">
        <v>8609</v>
      </c>
      <c r="P353" t="s" s="0">
        <v>8610</v>
      </c>
      <c r="Q353" t="s" s="0">
        <v>91</v>
      </c>
      <c r="R353" t="s" s="0">
        <v>82</v>
      </c>
      <c r="S353" t="s" s="0">
        <v>82</v>
      </c>
      <c r="T353" t="s" s="0">
        <v>82</v>
      </c>
      <c r="U353" t="s" s="0">
        <v>82</v>
      </c>
      <c r="V353" t="s" s="0">
        <v>8611</v>
      </c>
      <c r="W353" t="s" s="0">
        <v>8612</v>
      </c>
      <c r="X353" t="s" s="0">
        <v>82</v>
      </c>
      <c r="Y353" t="s" s="0">
        <v>82</v>
      </c>
      <c r="Z353" t="s" s="0">
        <v>94</v>
      </c>
      <c r="AA353" t="s" s="0">
        <v>95</v>
      </c>
      <c r="AB353" t="s" s="0">
        <v>82</v>
      </c>
      <c r="AC353" t="s" s="0">
        <v>82</v>
      </c>
      <c r="AD353" t="s" s="0">
        <v>82</v>
      </c>
      <c r="AE353" t="s" s="0">
        <v>82</v>
      </c>
      <c r="AF353" t="s" s="0">
        <v>82</v>
      </c>
      <c r="AG353" t="s" s="0">
        <v>8613</v>
      </c>
      <c r="AH353" t="s" s="0">
        <v>8614</v>
      </c>
      <c r="AI353" t="s" s="0">
        <v>82</v>
      </c>
      <c r="AJ353" t="s" s="0">
        <v>82</v>
      </c>
      <c r="AK353" t="s" s="0">
        <v>82</v>
      </c>
      <c r="AL353" t="s" s="0">
        <v>349</v>
      </c>
      <c r="AM353" t="s" s="0">
        <v>77</v>
      </c>
      <c r="AN353" t="s" s="0">
        <v>77</v>
      </c>
      <c r="AO353" t="s" s="0">
        <v>78</v>
      </c>
      <c r="AP353" t="s" s="0">
        <v>78</v>
      </c>
      <c r="AQ353" t="s" s="0">
        <v>7779</v>
      </c>
      <c r="AR353" t="s" s="0">
        <v>7780</v>
      </c>
      <c r="AS353" t="s" s="0">
        <v>7781</v>
      </c>
      <c r="AT353" t="s" s="0">
        <v>8615</v>
      </c>
      <c r="AU353" t="s" s="0">
        <v>8616</v>
      </c>
      <c r="AV353" t="s" s="0">
        <v>82</v>
      </c>
      <c r="AW353" t="s" s="0">
        <v>8617</v>
      </c>
      <c r="AX353" t="s" s="0">
        <v>8618</v>
      </c>
      <c r="AY353" t="s" s="0">
        <v>502</v>
      </c>
      <c r="AZ353" t="s" s="0">
        <v>147</v>
      </c>
      <c r="BA353" t="s" s="0">
        <v>1279</v>
      </c>
      <c r="BB353" t="s" s="0">
        <v>136</v>
      </c>
      <c r="BC353" t="s" s="0">
        <v>82</v>
      </c>
      <c r="BD353" t="s" s="0">
        <v>82</v>
      </c>
      <c r="BE353" t="s" s="0">
        <v>82</v>
      </c>
      <c r="BF353" t="s" s="0">
        <v>82</v>
      </c>
      <c r="BG353" t="s" s="0">
        <v>8619</v>
      </c>
      <c r="BH353" t="s" s="0">
        <v>8620</v>
      </c>
      <c r="BI353" t="s" s="0">
        <v>82</v>
      </c>
      <c r="BJ353" t="s" s="0">
        <v>8621</v>
      </c>
      <c r="BK353" t="s" s="702">
        <f>HYPERLINK("http://dx.doi.org/10.21873/anticanres.17715","http://dx.doi.org/10.21873/anticanres.17715")</f>
        <v>8622</v>
      </c>
      <c r="BL353" t="s" s="0">
        <v>82</v>
      </c>
      <c r="BM353" t="s" s="0">
        <v>82</v>
      </c>
      <c r="BN353" t="s" s="0">
        <v>319</v>
      </c>
      <c r="BO353" t="s" s="0">
        <v>4833</v>
      </c>
      <c r="BP353" t="s" s="0">
        <v>4833</v>
      </c>
      <c r="BQ353" t="s" s="0">
        <v>8623</v>
      </c>
      <c r="BR353" t="s" s="0">
        <v>8624</v>
      </c>
      <c r="BS353" t="s" s="0">
        <v>8625</v>
      </c>
      <c r="BT353" t="s" s="703">
        <f>HYPERLINK("https://www.webofscience.com/wos/woscc/full-record/WOS:001659360200022","View Record in Web of Science")</f>
        <v>120</v>
      </c>
      <c r="BU353" t="s" s="0">
        <v>82</v>
      </c>
      <c r="BV353" t="s" s="0">
        <v>82</v>
      </c>
      <c r="BW353" t="s" s="0">
        <v>82</v>
      </c>
      <c r="BX353" t="s" s="0">
        <v>122</v>
      </c>
    </row>
    <row r="354">
      <c r="A354" t="s" s="0">
        <v>78</v>
      </c>
      <c r="B354" t="s" s="0">
        <v>78</v>
      </c>
      <c r="C354" t="s" s="0">
        <v>447</v>
      </c>
      <c r="D354" t="s" s="0">
        <v>78</v>
      </c>
      <c r="E354" t="s" s="0">
        <v>8626</v>
      </c>
      <c r="F354" t="s" s="0">
        <v>8627</v>
      </c>
      <c r="G354" t="s" s="0">
        <v>8628</v>
      </c>
      <c r="H354" t="s" s="0">
        <v>82</v>
      </c>
      <c r="I354" t="s" s="0">
        <v>589</v>
      </c>
      <c r="J354" t="s" s="0">
        <v>8629</v>
      </c>
      <c r="K354" t="s" s="0">
        <v>8630</v>
      </c>
      <c r="L354" t="s" s="0">
        <v>8631</v>
      </c>
      <c r="M354" t="s" s="0">
        <v>8631</v>
      </c>
      <c r="N354" t="s" s="0">
        <v>8632</v>
      </c>
      <c r="O354" t="s" s="0">
        <v>8633</v>
      </c>
      <c r="P354" t="s" s="0">
        <v>8634</v>
      </c>
      <c r="Q354" t="s" s="0">
        <v>91</v>
      </c>
      <c r="R354" t="s" s="0">
        <v>82</v>
      </c>
      <c r="S354" t="s" s="0">
        <v>82</v>
      </c>
      <c r="T354" t="s" s="0">
        <v>82</v>
      </c>
      <c r="U354" t="s" s="0">
        <v>82</v>
      </c>
      <c r="V354" t="s" s="0">
        <v>8635</v>
      </c>
      <c r="W354" t="s" s="0">
        <v>4291</v>
      </c>
      <c r="X354" t="s" s="0">
        <v>82</v>
      </c>
      <c r="Y354" t="s" s="0">
        <v>82</v>
      </c>
      <c r="Z354" t="s" s="0">
        <v>94</v>
      </c>
      <c r="AA354" t="s" s="0">
        <v>95</v>
      </c>
      <c r="AB354" t="s" s="0">
        <v>82</v>
      </c>
      <c r="AC354" t="s" s="0">
        <v>82</v>
      </c>
      <c r="AD354" t="s" s="0">
        <v>82</v>
      </c>
      <c r="AE354" t="s" s="0">
        <v>82</v>
      </c>
      <c r="AF354" t="s" s="0">
        <v>82</v>
      </c>
      <c r="AG354" t="s" s="0">
        <v>82</v>
      </c>
      <c r="AH354" t="s" s="0">
        <v>8636</v>
      </c>
      <c r="AI354" t="s" s="0">
        <v>8637</v>
      </c>
      <c r="AJ354" t="s" s="0">
        <v>8638</v>
      </c>
      <c r="AK354" t="s" s="0">
        <v>82</v>
      </c>
      <c r="AL354" t="s" s="0">
        <v>3031</v>
      </c>
      <c r="AM354" t="s" s="0">
        <v>149</v>
      </c>
      <c r="AN354" t="s" s="0">
        <v>323</v>
      </c>
      <c r="AO354" t="s" s="0">
        <v>77</v>
      </c>
      <c r="AP354" t="s" s="0">
        <v>149</v>
      </c>
      <c r="AQ354" t="s" s="0">
        <v>4295</v>
      </c>
      <c r="AR354" t="s" s="0">
        <v>4296</v>
      </c>
      <c r="AS354" t="s" s="0">
        <v>4297</v>
      </c>
      <c r="AT354" t="s" s="0">
        <v>82</v>
      </c>
      <c r="AU354" t="s" s="0">
        <v>4298</v>
      </c>
      <c r="AV354" t="s" s="0">
        <v>82</v>
      </c>
      <c r="AW354" t="s" s="0">
        <v>4291</v>
      </c>
      <c r="AX354" t="s" s="0">
        <v>4299</v>
      </c>
      <c r="AY354" t="s" s="0">
        <v>8639</v>
      </c>
      <c r="AZ354" t="s" s="0">
        <v>525</v>
      </c>
      <c r="BA354" t="s" s="0">
        <v>640</v>
      </c>
      <c r="BB354" t="s" s="0">
        <v>221</v>
      </c>
      <c r="BC354" t="s" s="0">
        <v>82</v>
      </c>
      <c r="BD354" t="s" s="0">
        <v>82</v>
      </c>
      <c r="BE354" t="s" s="0">
        <v>82</v>
      </c>
      <c r="BF354" t="s" s="0">
        <v>82</v>
      </c>
      <c r="BG354" t="s" s="0">
        <v>82</v>
      </c>
      <c r="BH354" t="s" s="0">
        <v>82</v>
      </c>
      <c r="BI354" t="s" s="0">
        <v>8640</v>
      </c>
      <c r="BJ354" t="s" s="0">
        <v>8641</v>
      </c>
      <c r="BK354" t="s" s="704">
        <f>HYPERLINK("http://dx.doi.org/10.1371/journal.pone.0250832","http://dx.doi.org/10.1371/journal.pone.0250832")</f>
        <v>8642</v>
      </c>
      <c r="BL354" t="s" s="0">
        <v>82</v>
      </c>
      <c r="BM354" t="s" s="0">
        <v>82</v>
      </c>
      <c r="BN354" t="s" s="0">
        <v>831</v>
      </c>
      <c r="BO354" t="s" s="0">
        <v>644</v>
      </c>
      <c r="BP354" t="s" s="0">
        <v>645</v>
      </c>
      <c r="BQ354" t="s" s="0">
        <v>8643</v>
      </c>
      <c r="BR354" t="s" s="0">
        <v>8644</v>
      </c>
      <c r="BS354" t="s" s="0">
        <v>8645</v>
      </c>
      <c r="BT354" t="s" s="705">
        <f>HYPERLINK("https://www.webofscience.com/wos/woscc/full-record/WOS:000664610500045","View Record in Web of Science")</f>
        <v>120</v>
      </c>
      <c r="BU354" t="s" s="0">
        <v>121</v>
      </c>
      <c r="BV354" t="s" s="0">
        <v>82</v>
      </c>
      <c r="BW354" t="s" s="0">
        <v>82</v>
      </c>
      <c r="BX354" t="s" s="0">
        <v>122</v>
      </c>
    </row>
    <row r="355">
      <c r="A355" t="s" s="0">
        <v>78</v>
      </c>
      <c r="B355" t="s" s="0">
        <v>78</v>
      </c>
      <c r="C355" t="s" s="0">
        <v>78</v>
      </c>
      <c r="D355" t="s" s="0">
        <v>78</v>
      </c>
      <c r="E355" t="s" s="0">
        <v>8646</v>
      </c>
      <c r="F355" t="s" s="0">
        <v>8647</v>
      </c>
      <c r="G355" t="s" s="0">
        <v>8648</v>
      </c>
      <c r="H355" t="s" s="0">
        <v>82</v>
      </c>
      <c r="I355" t="s" s="0">
        <v>83</v>
      </c>
      <c r="J355" t="s" s="0">
        <v>8649</v>
      </c>
      <c r="K355" t="s" s="0">
        <v>8650</v>
      </c>
      <c r="L355" t="s" s="0">
        <v>8651</v>
      </c>
      <c r="M355" t="s" s="0">
        <v>8652</v>
      </c>
      <c r="N355" t="s" s="0">
        <v>8653</v>
      </c>
      <c r="O355" t="s" s="0">
        <v>8654</v>
      </c>
      <c r="P355" t="s" s="0">
        <v>8655</v>
      </c>
      <c r="Q355" t="s" s="0">
        <v>91</v>
      </c>
      <c r="R355" t="s" s="0">
        <v>82</v>
      </c>
      <c r="S355" t="s" s="0">
        <v>82</v>
      </c>
      <c r="T355" t="s" s="0">
        <v>82</v>
      </c>
      <c r="U355" t="s" s="0">
        <v>82</v>
      </c>
      <c r="V355" t="s" s="0">
        <v>8656</v>
      </c>
      <c r="W355" t="s" s="0">
        <v>4704</v>
      </c>
      <c r="X355" t="s" s="0">
        <v>82</v>
      </c>
      <c r="Y355" t="s" s="0">
        <v>82</v>
      </c>
      <c r="Z355" t="s" s="0">
        <v>94</v>
      </c>
      <c r="AA355" t="s" s="0">
        <v>95</v>
      </c>
      <c r="AB355" t="s" s="0">
        <v>82</v>
      </c>
      <c r="AC355" t="s" s="0">
        <v>82</v>
      </c>
      <c r="AD355" t="s" s="0">
        <v>82</v>
      </c>
      <c r="AE355" t="s" s="0">
        <v>82</v>
      </c>
      <c r="AF355" t="s" s="0">
        <v>82</v>
      </c>
      <c r="AG355" t="s" s="0">
        <v>8657</v>
      </c>
      <c r="AH355" t="s" s="0">
        <v>82</v>
      </c>
      <c r="AI355" t="s" s="0">
        <v>8658</v>
      </c>
      <c r="AJ355" t="s" s="0">
        <v>8659</v>
      </c>
      <c r="AK355" t="s" s="0">
        <v>82</v>
      </c>
      <c r="AL355" t="s" s="0">
        <v>100</v>
      </c>
      <c r="AM355" t="s" s="0">
        <v>447</v>
      </c>
      <c r="AN355" t="s" s="0">
        <v>447</v>
      </c>
      <c r="AO355" t="s" s="0">
        <v>221</v>
      </c>
      <c r="AP355" t="s" s="0">
        <v>138</v>
      </c>
      <c r="AQ355" t="s" s="0">
        <v>400</v>
      </c>
      <c r="AR355" t="s" s="0">
        <v>401</v>
      </c>
      <c r="AS355" t="s" s="0">
        <v>402</v>
      </c>
      <c r="AT355" t="s" s="0">
        <v>4707</v>
      </c>
      <c r="AU355" t="s" s="0">
        <v>4708</v>
      </c>
      <c r="AV355" t="s" s="0">
        <v>82</v>
      </c>
      <c r="AW355" t="s" s="0">
        <v>4709</v>
      </c>
      <c r="AX355" t="s" s="0">
        <v>4710</v>
      </c>
      <c r="AY355" t="s" s="0">
        <v>1371</v>
      </c>
      <c r="AZ355" t="s" s="0">
        <v>181</v>
      </c>
      <c r="BA355" t="s" s="0">
        <v>5600</v>
      </c>
      <c r="BB355" t="s" s="0">
        <v>82</v>
      </c>
      <c r="BC355" t="s" s="0">
        <v>82</v>
      </c>
      <c r="BD355" t="s" s="0">
        <v>82</v>
      </c>
      <c r="BE355" t="s" s="0">
        <v>82</v>
      </c>
      <c r="BF355" t="s" s="0">
        <v>82</v>
      </c>
      <c r="BG355" t="s" s="0">
        <v>82</v>
      </c>
      <c r="BH355" t="s" s="0">
        <v>82</v>
      </c>
      <c r="BI355" t="s" s="0">
        <v>8660</v>
      </c>
      <c r="BJ355" t="s" s="0">
        <v>8661</v>
      </c>
      <c r="BK355" t="s" s="706">
        <f>HYPERLINK("http://dx.doi.org/10.1016/j.ijmedinf.2025.106160","http://dx.doi.org/10.1016/j.ijmedinf.2025.106160")</f>
        <v>8662</v>
      </c>
      <c r="BL355" t="s" s="0">
        <v>82</v>
      </c>
      <c r="BM355" t="s" s="0">
        <v>5604</v>
      </c>
      <c r="BN355" t="s" s="0">
        <v>319</v>
      </c>
      <c r="BO355" t="s" s="0">
        <v>4716</v>
      </c>
      <c r="BP355" t="s" s="0">
        <v>4717</v>
      </c>
      <c r="BQ355" t="s" s="0">
        <v>8663</v>
      </c>
      <c r="BR355" t="s" s="0">
        <v>8664</v>
      </c>
      <c r="BS355" t="s" s="0">
        <v>8665</v>
      </c>
      <c r="BT355" t="s" s="707">
        <f>HYPERLINK("https://www.webofscience.com/wos/woscc/full-record/WOS:001604464800001","View Record in Web of Science")</f>
        <v>120</v>
      </c>
      <c r="BU355" t="s" s="0">
        <v>82</v>
      </c>
      <c r="BV355" t="s" s="0">
        <v>82</v>
      </c>
      <c r="BW355" t="s" s="0">
        <v>82</v>
      </c>
      <c r="BX355" t="s" s="0">
        <v>122</v>
      </c>
    </row>
    <row r="356">
      <c r="A356" t="s" s="0">
        <v>78</v>
      </c>
      <c r="B356" t="s" s="0">
        <v>78</v>
      </c>
      <c r="C356" t="s" s="0">
        <v>77</v>
      </c>
      <c r="D356" t="s" s="0">
        <v>78</v>
      </c>
      <c r="E356" t="s" s="0">
        <v>8666</v>
      </c>
      <c r="F356" t="s" s="0">
        <v>8667</v>
      </c>
      <c r="G356" t="s" s="0">
        <v>8668</v>
      </c>
      <c r="H356" t="s" s="0">
        <v>82</v>
      </c>
      <c r="I356" t="s" s="0">
        <v>83</v>
      </c>
      <c r="J356" t="s" s="0">
        <v>8669</v>
      </c>
      <c r="K356" t="s" s="0">
        <v>8670</v>
      </c>
      <c r="L356" t="s" s="0">
        <v>8671</v>
      </c>
      <c r="M356" t="s" s="0">
        <v>8672</v>
      </c>
      <c r="N356" t="s" s="0">
        <v>8673</v>
      </c>
      <c r="O356" t="s" s="0">
        <v>8674</v>
      </c>
      <c r="P356" t="s" s="0">
        <v>8675</v>
      </c>
      <c r="Q356" t="s" s="0">
        <v>91</v>
      </c>
      <c r="R356" t="s" s="0">
        <v>82</v>
      </c>
      <c r="S356" t="s" s="0">
        <v>82</v>
      </c>
      <c r="T356" t="s" s="0">
        <v>82</v>
      </c>
      <c r="U356" t="s" s="0">
        <v>82</v>
      </c>
      <c r="V356" t="s" s="0">
        <v>8676</v>
      </c>
      <c r="W356" t="s" s="0">
        <v>8677</v>
      </c>
      <c r="X356" t="s" s="0">
        <v>82</v>
      </c>
      <c r="Y356" t="s" s="0">
        <v>82</v>
      </c>
      <c r="Z356" t="s" s="0">
        <v>94</v>
      </c>
      <c r="AA356" t="s" s="0">
        <v>95</v>
      </c>
      <c r="AB356" t="s" s="0">
        <v>82</v>
      </c>
      <c r="AC356" t="s" s="0">
        <v>82</v>
      </c>
      <c r="AD356" t="s" s="0">
        <v>82</v>
      </c>
      <c r="AE356" t="s" s="0">
        <v>82</v>
      </c>
      <c r="AF356" t="s" s="0">
        <v>82</v>
      </c>
      <c r="AG356" t="s" s="0">
        <v>82</v>
      </c>
      <c r="AH356" t="s" s="0">
        <v>8678</v>
      </c>
      <c r="AI356" t="s" s="0">
        <v>82</v>
      </c>
      <c r="AJ356" t="s" s="0">
        <v>82</v>
      </c>
      <c r="AK356" t="s" s="0">
        <v>82</v>
      </c>
      <c r="AL356" t="s" s="0">
        <v>239</v>
      </c>
      <c r="AM356" t="s" s="0">
        <v>138</v>
      </c>
      <c r="AN356" t="s" s="0">
        <v>138</v>
      </c>
      <c r="AO356" t="s" s="0">
        <v>78</v>
      </c>
      <c r="AP356" t="s" s="0">
        <v>77</v>
      </c>
      <c r="AQ356" t="s" s="0">
        <v>202</v>
      </c>
      <c r="AR356" t="s" s="0">
        <v>203</v>
      </c>
      <c r="AS356" t="s" s="0">
        <v>204</v>
      </c>
      <c r="AT356" t="s" s="0">
        <v>8679</v>
      </c>
      <c r="AU356" t="s" s="0">
        <v>8680</v>
      </c>
      <c r="AV356" t="s" s="0">
        <v>82</v>
      </c>
      <c r="AW356" t="s" s="0">
        <v>8677</v>
      </c>
      <c r="AX356" t="s" s="0">
        <v>8681</v>
      </c>
      <c r="AY356" t="s" s="0">
        <v>2217</v>
      </c>
      <c r="AZ356" t="s" s="0">
        <v>110</v>
      </c>
      <c r="BA356" t="s" s="0">
        <v>8682</v>
      </c>
      <c r="BB356" t="s" s="0">
        <v>82</v>
      </c>
      <c r="BC356" t="s" s="0">
        <v>82</v>
      </c>
      <c r="BD356" t="s" s="0">
        <v>82</v>
      </c>
      <c r="BE356" t="s" s="0">
        <v>82</v>
      </c>
      <c r="BF356" t="s" s="0">
        <v>82</v>
      </c>
      <c r="BG356" t="s" s="0">
        <v>755</v>
      </c>
      <c r="BH356" t="s" s="0">
        <v>1869</v>
      </c>
      <c r="BI356" t="s" s="0">
        <v>82</v>
      </c>
      <c r="BJ356" t="s" s="0">
        <v>8683</v>
      </c>
      <c r="BK356" t="s" s="708">
        <f>HYPERLINK("http://dx.doi.org/10.1016/j.urology.2024.08.071","http://dx.doi.org/10.1016/j.urology.2024.08.071")</f>
        <v>8684</v>
      </c>
      <c r="BL356" t="s" s="0">
        <v>82</v>
      </c>
      <c r="BM356" t="s" s="0">
        <v>2217</v>
      </c>
      <c r="BN356" t="s" s="0">
        <v>136</v>
      </c>
      <c r="BO356" t="s" s="0">
        <v>1197</v>
      </c>
      <c r="BP356" t="s" s="0">
        <v>1197</v>
      </c>
      <c r="BQ356" t="s" s="0">
        <v>8685</v>
      </c>
      <c r="BR356" t="s" s="0">
        <v>8686</v>
      </c>
      <c r="BS356" t="s" s="0">
        <v>8687</v>
      </c>
      <c r="BT356" t="s" s="709">
        <f>HYPERLINK("https://www.webofscience.com/wos/woscc/full-record/WOS:001373592800001","View Record in Web of Science")</f>
        <v>120</v>
      </c>
      <c r="BU356" t="s" s="0">
        <v>846</v>
      </c>
      <c r="BV356" t="s" s="0">
        <v>82</v>
      </c>
      <c r="BW356" t="s" s="0">
        <v>82</v>
      </c>
      <c r="BX356" t="s" s="0">
        <v>122</v>
      </c>
    </row>
    <row r="357">
      <c r="A357" t="s" s="0">
        <v>77</v>
      </c>
      <c r="B357" t="s" s="0">
        <v>78</v>
      </c>
      <c r="C357" t="s" s="0">
        <v>447</v>
      </c>
      <c r="D357" t="s" s="0">
        <v>78</v>
      </c>
      <c r="E357" t="s" s="0">
        <v>8688</v>
      </c>
      <c r="F357" t="s" s="0">
        <v>8689</v>
      </c>
      <c r="G357" t="s" s="0">
        <v>8690</v>
      </c>
      <c r="H357" t="s" s="0">
        <v>82</v>
      </c>
      <c r="I357" t="s" s="0">
        <v>83</v>
      </c>
      <c r="J357" t="s" s="0">
        <v>8691</v>
      </c>
      <c r="K357" t="s" s="0">
        <v>8692</v>
      </c>
      <c r="L357" t="s" s="0">
        <v>8693</v>
      </c>
      <c r="M357" t="s" s="0">
        <v>8693</v>
      </c>
      <c r="N357" t="s" s="0">
        <v>88</v>
      </c>
      <c r="O357" t="s" s="0">
        <v>8694</v>
      </c>
      <c r="P357" t="s" s="0">
        <v>8695</v>
      </c>
      <c r="Q357" t="s" s="0">
        <v>91</v>
      </c>
      <c r="R357" t="s" s="0">
        <v>82</v>
      </c>
      <c r="S357" t="s" s="0">
        <v>82</v>
      </c>
      <c r="T357" t="s" s="0">
        <v>82</v>
      </c>
      <c r="U357" t="s" s="0">
        <v>82</v>
      </c>
      <c r="V357" t="s" s="0">
        <v>8696</v>
      </c>
      <c r="W357" t="s" s="0">
        <v>3637</v>
      </c>
      <c r="X357" t="s" s="0">
        <v>82</v>
      </c>
      <c r="Y357" t="s" s="0">
        <v>82</v>
      </c>
      <c r="Z357" t="s" s="0">
        <v>94</v>
      </c>
      <c r="AA357" t="s" s="0">
        <v>95</v>
      </c>
      <c r="AB357" t="s" s="0">
        <v>82</v>
      </c>
      <c r="AC357" t="s" s="0">
        <v>82</v>
      </c>
      <c r="AD357" t="s" s="0">
        <v>82</v>
      </c>
      <c r="AE357" t="s" s="0">
        <v>82</v>
      </c>
      <c r="AF357" t="s" s="0">
        <v>82</v>
      </c>
      <c r="AG357" t="s" s="0">
        <v>8697</v>
      </c>
      <c r="AH357" t="s" s="0">
        <v>8698</v>
      </c>
      <c r="AI357" t="s" s="0">
        <v>8699</v>
      </c>
      <c r="AJ357" t="s" s="0">
        <v>8700</v>
      </c>
      <c r="AK357" t="s" s="0">
        <v>82</v>
      </c>
      <c r="AL357" t="s" s="0">
        <v>3171</v>
      </c>
      <c r="AM357" t="s" s="0">
        <v>221</v>
      </c>
      <c r="AN357" t="s" s="0">
        <v>138</v>
      </c>
      <c r="AO357" t="s" s="0">
        <v>77</v>
      </c>
      <c r="AP357" t="s" s="0">
        <v>349</v>
      </c>
      <c r="AQ357" t="s" s="0">
        <v>633</v>
      </c>
      <c r="AR357" t="s" s="0">
        <v>634</v>
      </c>
      <c r="AS357" t="s" s="0">
        <v>635</v>
      </c>
      <c r="AT357" t="s" s="0">
        <v>3642</v>
      </c>
      <c r="AU357" t="s" s="0">
        <v>82</v>
      </c>
      <c r="AV357" t="s" s="0">
        <v>82</v>
      </c>
      <c r="AW357" t="s" s="0">
        <v>3643</v>
      </c>
      <c r="AX357" t="s" s="0">
        <v>3644</v>
      </c>
      <c r="AY357" t="s" s="0">
        <v>8701</v>
      </c>
      <c r="AZ357" t="s" s="0">
        <v>110</v>
      </c>
      <c r="BA357" t="s" s="0">
        <v>323</v>
      </c>
      <c r="BB357" t="s" s="0">
        <v>77</v>
      </c>
      <c r="BC357" t="s" s="0">
        <v>82</v>
      </c>
      <c r="BD357" t="s" s="0">
        <v>82</v>
      </c>
      <c r="BE357" t="s" s="0">
        <v>82</v>
      </c>
      <c r="BF357" t="s" s="0">
        <v>82</v>
      </c>
      <c r="BG357" t="s" s="0">
        <v>82</v>
      </c>
      <c r="BH357" t="s" s="0">
        <v>82</v>
      </c>
      <c r="BI357" t="s" s="0">
        <v>8702</v>
      </c>
      <c r="BJ357" t="s" s="0">
        <v>8703</v>
      </c>
      <c r="BK357" t="s" s="710">
        <f>HYPERLINK("http://dx.doi.org/10.1038/s41598-024-77798-5","http://dx.doi.org/10.1038/s41598-024-77798-5")</f>
        <v>8704</v>
      </c>
      <c r="BL357" t="s" s="0">
        <v>82</v>
      </c>
      <c r="BM357" t="s" s="0">
        <v>82</v>
      </c>
      <c r="BN357" t="s" s="0">
        <v>149</v>
      </c>
      <c r="BO357" t="s" s="0">
        <v>644</v>
      </c>
      <c r="BP357" t="s" s="0">
        <v>645</v>
      </c>
      <c r="BQ357" t="s" s="0">
        <v>8705</v>
      </c>
      <c r="BR357" t="s" s="0">
        <v>8706</v>
      </c>
      <c r="BS357" t="s" s="0">
        <v>8707</v>
      </c>
      <c r="BT357" t="s" s="711">
        <f>HYPERLINK("https://www.webofscience.com/wos/woscc/full-record/WOS:001352623400016","View Record in Web of Science")</f>
        <v>120</v>
      </c>
      <c r="BU357" t="s" s="0">
        <v>121</v>
      </c>
      <c r="BV357" t="s" s="0">
        <v>82</v>
      </c>
      <c r="BW357" t="s" s="0">
        <v>82</v>
      </c>
      <c r="BX357" t="s" s="0">
        <v>122</v>
      </c>
    </row>
    <row r="358">
      <c r="A358" t="s" s="0">
        <v>78</v>
      </c>
      <c r="B358" t="s" s="0">
        <v>78</v>
      </c>
      <c r="C358" t="s" s="0">
        <v>78</v>
      </c>
      <c r="D358" t="s" s="0">
        <v>78</v>
      </c>
      <c r="E358" t="s" s="0">
        <v>8708</v>
      </c>
      <c r="F358" t="s" s="0">
        <v>8709</v>
      </c>
      <c r="G358" t="s" s="0">
        <v>8710</v>
      </c>
      <c r="H358" t="s" s="0">
        <v>82</v>
      </c>
      <c r="I358" t="s" s="0">
        <v>83</v>
      </c>
      <c r="J358" t="s" s="0">
        <v>8711</v>
      </c>
      <c r="K358" t="s" s="0">
        <v>8712</v>
      </c>
      <c r="L358" t="s" s="0">
        <v>82</v>
      </c>
      <c r="M358" t="s" s="0">
        <v>82</v>
      </c>
      <c r="N358" t="s" s="0">
        <v>82</v>
      </c>
      <c r="O358" t="s" s="0">
        <v>8713</v>
      </c>
      <c r="P358" t="s" s="0">
        <v>8714</v>
      </c>
      <c r="Q358" t="s" s="0">
        <v>91</v>
      </c>
      <c r="R358" t="s" s="0">
        <v>82</v>
      </c>
      <c r="S358" t="s" s="0">
        <v>82</v>
      </c>
      <c r="T358" t="s" s="0">
        <v>82</v>
      </c>
      <c r="U358" t="s" s="0">
        <v>82</v>
      </c>
      <c r="V358" t="s" s="0">
        <v>8715</v>
      </c>
      <c r="W358" t="s" s="0">
        <v>4291</v>
      </c>
      <c r="X358" t="s" s="0">
        <v>82</v>
      </c>
      <c r="Y358" t="s" s="0">
        <v>82</v>
      </c>
      <c r="Z358" t="s" s="0">
        <v>94</v>
      </c>
      <c r="AA358" t="s" s="0">
        <v>95</v>
      </c>
      <c r="AB358" t="s" s="0">
        <v>82</v>
      </c>
      <c r="AC358" t="s" s="0">
        <v>82</v>
      </c>
      <c r="AD358" t="s" s="0">
        <v>82</v>
      </c>
      <c r="AE358" t="s" s="0">
        <v>82</v>
      </c>
      <c r="AF358" t="s" s="0">
        <v>82</v>
      </c>
      <c r="AG358" t="s" s="0">
        <v>82</v>
      </c>
      <c r="AH358" t="s" s="0">
        <v>8716</v>
      </c>
      <c r="AI358" t="s" s="0">
        <v>8717</v>
      </c>
      <c r="AJ358" t="s" s="0">
        <v>8718</v>
      </c>
      <c r="AK358" t="s" s="0">
        <v>82</v>
      </c>
      <c r="AL358" t="s" s="0">
        <v>685</v>
      </c>
      <c r="AM358" t="s" s="0">
        <v>102</v>
      </c>
      <c r="AN358" t="s" s="0">
        <v>102</v>
      </c>
      <c r="AO358" t="s" s="0">
        <v>78</v>
      </c>
      <c r="AP358" t="s" s="0">
        <v>78</v>
      </c>
      <c r="AQ358" t="s" s="0">
        <v>4295</v>
      </c>
      <c r="AR358" t="s" s="0">
        <v>4296</v>
      </c>
      <c r="AS358" t="s" s="0">
        <v>4297</v>
      </c>
      <c r="AT358" t="s" s="0">
        <v>82</v>
      </c>
      <c r="AU358" t="s" s="0">
        <v>4298</v>
      </c>
      <c r="AV358" t="s" s="0">
        <v>82</v>
      </c>
      <c r="AW358" t="s" s="0">
        <v>4291</v>
      </c>
      <c r="AX358" t="s" s="0">
        <v>4299</v>
      </c>
      <c r="AY358" t="s" s="0">
        <v>8719</v>
      </c>
      <c r="AZ358" t="s" s="0">
        <v>147</v>
      </c>
      <c r="BA358" t="s" s="0">
        <v>173</v>
      </c>
      <c r="BB358" t="s" s="0">
        <v>319</v>
      </c>
      <c r="BC358" t="s" s="0">
        <v>82</v>
      </c>
      <c r="BD358" t="s" s="0">
        <v>82</v>
      </c>
      <c r="BE358" t="s" s="0">
        <v>82</v>
      </c>
      <c r="BF358" t="s" s="0">
        <v>82</v>
      </c>
      <c r="BG358" t="s" s="0">
        <v>82</v>
      </c>
      <c r="BH358" t="s" s="0">
        <v>82</v>
      </c>
      <c r="BI358" t="s" s="0">
        <v>8720</v>
      </c>
      <c r="BJ358" t="s" s="0">
        <v>8721</v>
      </c>
      <c r="BK358" t="s" s="712">
        <f>HYPERLINK("http://dx.doi.org/10.1371/journal.pone.0329668","http://dx.doi.org/10.1371/journal.pone.0329668")</f>
        <v>8722</v>
      </c>
      <c r="BL358" t="s" s="0">
        <v>82</v>
      </c>
      <c r="BM358" t="s" s="0">
        <v>82</v>
      </c>
      <c r="BN358" t="s" s="0">
        <v>149</v>
      </c>
      <c r="BO358" t="s" s="0">
        <v>644</v>
      </c>
      <c r="BP358" t="s" s="0">
        <v>645</v>
      </c>
      <c r="BQ358" t="s" s="0">
        <v>8723</v>
      </c>
      <c r="BR358" t="s" s="0">
        <v>8724</v>
      </c>
      <c r="BS358" t="s" s="0">
        <v>8725</v>
      </c>
      <c r="BT358" t="s" s="713">
        <f>HYPERLINK("https://www.webofscience.com/wos/woscc/full-record/WOS:001567079400032","View Record in Web of Science")</f>
        <v>120</v>
      </c>
      <c r="BU358" t="s" s="0">
        <v>121</v>
      </c>
      <c r="BV358" t="s" s="0">
        <v>82</v>
      </c>
      <c r="BW358" t="s" s="0">
        <v>82</v>
      </c>
      <c r="BX358" t="s" s="0">
        <v>122</v>
      </c>
    </row>
    <row r="359">
      <c r="A359" t="s" s="0">
        <v>78</v>
      </c>
      <c r="B359" t="s" s="0">
        <v>78</v>
      </c>
      <c r="C359" t="s" s="0">
        <v>77</v>
      </c>
      <c r="D359" t="s" s="0">
        <v>78</v>
      </c>
      <c r="E359" t="s" s="0">
        <v>8726</v>
      </c>
      <c r="F359" t="s" s="0">
        <v>8727</v>
      </c>
      <c r="G359" t="s" s="0">
        <v>8728</v>
      </c>
      <c r="H359" t="s" s="0">
        <v>82</v>
      </c>
      <c r="I359" t="s" s="0">
        <v>83</v>
      </c>
      <c r="J359" t="s" s="0">
        <v>8729</v>
      </c>
      <c r="K359" t="s" s="0">
        <v>8730</v>
      </c>
      <c r="L359" t="s" s="0">
        <v>82</v>
      </c>
      <c r="M359" t="s" s="0">
        <v>82</v>
      </c>
      <c r="N359" t="s" s="0">
        <v>82</v>
      </c>
      <c r="O359" t="s" s="0">
        <v>8731</v>
      </c>
      <c r="P359" t="s" s="0">
        <v>8732</v>
      </c>
      <c r="Q359" t="s" s="0">
        <v>91</v>
      </c>
      <c r="R359" t="s" s="0">
        <v>82</v>
      </c>
      <c r="S359" t="s" s="0">
        <v>82</v>
      </c>
      <c r="T359" t="s" s="0">
        <v>82</v>
      </c>
      <c r="U359" t="s" s="0">
        <v>82</v>
      </c>
      <c r="V359" t="s" s="0">
        <v>8733</v>
      </c>
      <c r="W359" t="s" s="0">
        <v>8734</v>
      </c>
      <c r="X359" t="s" s="0">
        <v>82</v>
      </c>
      <c r="Y359" t="s" s="0">
        <v>82</v>
      </c>
      <c r="Z359" t="s" s="0">
        <v>94</v>
      </c>
      <c r="AA359" t="s" s="0">
        <v>95</v>
      </c>
      <c r="AB359" t="s" s="0">
        <v>82</v>
      </c>
      <c r="AC359" t="s" s="0">
        <v>82</v>
      </c>
      <c r="AD359" t="s" s="0">
        <v>82</v>
      </c>
      <c r="AE359" t="s" s="0">
        <v>82</v>
      </c>
      <c r="AF359" t="s" s="0">
        <v>82</v>
      </c>
      <c r="AG359" t="s" s="0">
        <v>8735</v>
      </c>
      <c r="AH359" t="s" s="0">
        <v>8736</v>
      </c>
      <c r="AI359" t="s" s="0">
        <v>8737</v>
      </c>
      <c r="AJ359" t="s" s="0">
        <v>8738</v>
      </c>
      <c r="AK359" t="s" s="0">
        <v>82</v>
      </c>
      <c r="AL359" t="s" s="0">
        <v>1780</v>
      </c>
      <c r="AM359" t="s" s="0">
        <v>138</v>
      </c>
      <c r="AN359" t="s" s="0">
        <v>136</v>
      </c>
      <c r="AO359" t="s" s="0">
        <v>77</v>
      </c>
      <c r="AP359" t="s" s="0">
        <v>221</v>
      </c>
      <c r="AQ359" t="s" s="0">
        <v>8739</v>
      </c>
      <c r="AR359" t="s" s="0">
        <v>1134</v>
      </c>
      <c r="AS359" t="s" s="0">
        <v>8740</v>
      </c>
      <c r="AT359" t="s" s="0">
        <v>8741</v>
      </c>
      <c r="AU359" t="s" s="0">
        <v>8742</v>
      </c>
      <c r="AV359" t="s" s="0">
        <v>82</v>
      </c>
      <c r="AW359" t="s" s="0">
        <v>8743</v>
      </c>
      <c r="AX359" t="s" s="0">
        <v>8744</v>
      </c>
      <c r="AY359" t="s" s="0">
        <v>2939</v>
      </c>
      <c r="AZ359" t="s" s="0">
        <v>210</v>
      </c>
      <c r="BA359" t="s" s="0">
        <v>353</v>
      </c>
      <c r="BB359" t="s" s="0">
        <v>102</v>
      </c>
      <c r="BC359" t="s" s="0">
        <v>82</v>
      </c>
      <c r="BD359" t="s" s="0">
        <v>82</v>
      </c>
      <c r="BE359" t="s" s="0">
        <v>82</v>
      </c>
      <c r="BF359" t="s" s="0">
        <v>82</v>
      </c>
      <c r="BG359" t="s" s="0">
        <v>2530</v>
      </c>
      <c r="BH359" t="s" s="0">
        <v>5529</v>
      </c>
      <c r="BI359" t="s" s="0">
        <v>82</v>
      </c>
      <c r="BJ359" t="s" s="0">
        <v>8745</v>
      </c>
      <c r="BK359" t="s" s="714">
        <f>HYPERLINK("http://dx.doi.org/10.4048/jbc.2023.26.e14","http://dx.doi.org/10.4048/jbc.2023.26.e14")</f>
        <v>8746</v>
      </c>
      <c r="BL359" t="s" s="0">
        <v>82</v>
      </c>
      <c r="BM359" t="s" s="0">
        <v>82</v>
      </c>
      <c r="BN359" t="s" s="0">
        <v>245</v>
      </c>
      <c r="BO359" t="s" s="0">
        <v>4833</v>
      </c>
      <c r="BP359" t="s" s="0">
        <v>4833</v>
      </c>
      <c r="BQ359" t="s" s="0">
        <v>8747</v>
      </c>
      <c r="BR359" t="s" s="0">
        <v>8748</v>
      </c>
      <c r="BS359" t="s" s="0">
        <v>8749</v>
      </c>
      <c r="BT359" t="s" s="715">
        <f>HYPERLINK("https://www.webofscience.com/wos/woscc/full-record/WOS:001063483800004","View Record in Web of Science")</f>
        <v>120</v>
      </c>
      <c r="BU359" t="s" s="0">
        <v>121</v>
      </c>
      <c r="BV359" t="s" s="0">
        <v>82</v>
      </c>
      <c r="BW359" t="s" s="0">
        <v>82</v>
      </c>
      <c r="BX359" t="s" s="0">
        <v>122</v>
      </c>
    </row>
    <row r="360">
      <c r="A360" t="s" s="0">
        <v>78</v>
      </c>
      <c r="B360" t="s" s="0">
        <v>78</v>
      </c>
      <c r="C360" t="s" s="0">
        <v>102</v>
      </c>
      <c r="D360" t="s" s="0">
        <v>78</v>
      </c>
      <c r="E360" t="s" s="0">
        <v>8750</v>
      </c>
      <c r="F360" t="s" s="0">
        <v>8751</v>
      </c>
      <c r="G360" t="s" s="0">
        <v>8752</v>
      </c>
      <c r="H360" t="s" s="0">
        <v>82</v>
      </c>
      <c r="I360" t="s" s="0">
        <v>83</v>
      </c>
      <c r="J360" t="s" s="0">
        <v>8753</v>
      </c>
      <c r="K360" t="s" s="0">
        <v>4653</v>
      </c>
      <c r="L360" t="s" s="0">
        <v>82</v>
      </c>
      <c r="M360" t="s" s="0">
        <v>82</v>
      </c>
      <c r="N360" t="s" s="0">
        <v>82</v>
      </c>
      <c r="O360" t="s" s="0">
        <v>8754</v>
      </c>
      <c r="P360" t="s" s="0">
        <v>8755</v>
      </c>
      <c r="Q360" t="s" s="0">
        <v>91</v>
      </c>
      <c r="R360" t="s" s="0">
        <v>82</v>
      </c>
      <c r="S360" t="s" s="0">
        <v>82</v>
      </c>
      <c r="T360" t="s" s="0">
        <v>82</v>
      </c>
      <c r="U360" t="s" s="0">
        <v>82</v>
      </c>
      <c r="V360" t="s" s="0">
        <v>8756</v>
      </c>
      <c r="W360" t="s" s="0">
        <v>4358</v>
      </c>
      <c r="X360" t="s" s="0">
        <v>82</v>
      </c>
      <c r="Y360" t="s" s="0">
        <v>82</v>
      </c>
      <c r="Z360" t="s" s="0">
        <v>94</v>
      </c>
      <c r="AA360" t="s" s="0">
        <v>95</v>
      </c>
      <c r="AB360" t="s" s="0">
        <v>82</v>
      </c>
      <c r="AC360" t="s" s="0">
        <v>82</v>
      </c>
      <c r="AD360" t="s" s="0">
        <v>82</v>
      </c>
      <c r="AE360" t="s" s="0">
        <v>82</v>
      </c>
      <c r="AF360" t="s" s="0">
        <v>82</v>
      </c>
      <c r="AG360" t="s" s="0">
        <v>8757</v>
      </c>
      <c r="AH360" t="s" s="0">
        <v>8758</v>
      </c>
      <c r="AI360" t="s" s="0">
        <v>8759</v>
      </c>
      <c r="AJ360" t="s" s="0">
        <v>8760</v>
      </c>
      <c r="AK360" t="s" s="0">
        <v>82</v>
      </c>
      <c r="AL360" t="s" s="0">
        <v>1060</v>
      </c>
      <c r="AM360" t="s" s="0">
        <v>137</v>
      </c>
      <c r="AN360" t="s" s="0">
        <v>137</v>
      </c>
      <c r="AO360" t="s" s="0">
        <v>78</v>
      </c>
      <c r="AP360" t="s" s="0">
        <v>101</v>
      </c>
      <c r="AQ360" t="s" s="0">
        <v>1710</v>
      </c>
      <c r="AR360" t="s" s="0">
        <v>1711</v>
      </c>
      <c r="AS360" t="s" s="0">
        <v>1712</v>
      </c>
      <c r="AT360" t="s" s="0">
        <v>4362</v>
      </c>
      <c r="AU360" t="s" s="0">
        <v>4363</v>
      </c>
      <c r="AV360" t="s" s="0">
        <v>82</v>
      </c>
      <c r="AW360" t="s" s="0">
        <v>4364</v>
      </c>
      <c r="AX360" t="s" s="0">
        <v>4365</v>
      </c>
      <c r="AY360" t="s" s="0">
        <v>8761</v>
      </c>
      <c r="AZ360" t="s" s="0">
        <v>147</v>
      </c>
      <c r="BA360" t="s" s="0">
        <v>1780</v>
      </c>
      <c r="BB360" t="s" s="0">
        <v>82</v>
      </c>
      <c r="BC360" t="s" s="0">
        <v>82</v>
      </c>
      <c r="BD360" t="s" s="0">
        <v>82</v>
      </c>
      <c r="BE360" t="s" s="0">
        <v>82</v>
      </c>
      <c r="BF360" t="s" s="0">
        <v>82</v>
      </c>
      <c r="BG360" t="s" s="0">
        <v>82</v>
      </c>
      <c r="BH360" t="s" s="0">
        <v>82</v>
      </c>
      <c r="BI360" t="s" s="0">
        <v>8762</v>
      </c>
      <c r="BJ360" t="s" s="0">
        <v>8763</v>
      </c>
      <c r="BK360" t="s" s="716">
        <f>HYPERLINK("http://dx.doi.org/10.2196/55492","http://dx.doi.org/10.2196/55492")</f>
        <v>8764</v>
      </c>
      <c r="BL360" t="s" s="0">
        <v>82</v>
      </c>
      <c r="BM360" t="s" s="0">
        <v>82</v>
      </c>
      <c r="BN360" t="s" s="0">
        <v>1161</v>
      </c>
      <c r="BO360" t="s" s="0">
        <v>785</v>
      </c>
      <c r="BP360" t="s" s="0">
        <v>785</v>
      </c>
      <c r="BQ360" t="s" s="0">
        <v>8765</v>
      </c>
      <c r="BR360" t="s" s="0">
        <v>8766</v>
      </c>
      <c r="BS360" t="s" s="0">
        <v>8767</v>
      </c>
      <c r="BT360" t="s" s="717">
        <f>HYPERLINK("https://www.webofscience.com/wos/woscc/full-record/WOS:001462273100001","View Record in Web of Science")</f>
        <v>120</v>
      </c>
      <c r="BU360" t="s" s="0">
        <v>121</v>
      </c>
      <c r="BV360" t="s" s="0">
        <v>82</v>
      </c>
      <c r="BW360" t="s" s="0">
        <v>82</v>
      </c>
      <c r="BX360" t="s" s="0">
        <v>122</v>
      </c>
    </row>
    <row r="361">
      <c r="A361" t="s" s="0">
        <v>78</v>
      </c>
      <c r="B361" t="s" s="0">
        <v>78</v>
      </c>
      <c r="C361" t="s" s="0">
        <v>136</v>
      </c>
      <c r="D361" t="s" s="0">
        <v>78</v>
      </c>
      <c r="E361" t="s" s="0">
        <v>8768</v>
      </c>
      <c r="F361" t="s" s="0">
        <v>8769</v>
      </c>
      <c r="G361" t="s" s="0">
        <v>8770</v>
      </c>
      <c r="H361" t="s" s="0">
        <v>82</v>
      </c>
      <c r="I361" t="s" s="0">
        <v>83</v>
      </c>
      <c r="J361" t="s" s="0">
        <v>8771</v>
      </c>
      <c r="K361" t="s" s="0">
        <v>8772</v>
      </c>
      <c r="L361" t="s" s="0">
        <v>8773</v>
      </c>
      <c r="M361" t="s" s="0">
        <v>8773</v>
      </c>
      <c r="N361" t="s" s="0">
        <v>8774</v>
      </c>
      <c r="O361" t="s" s="0">
        <v>8775</v>
      </c>
      <c r="P361" t="s" s="0">
        <v>8776</v>
      </c>
      <c r="Q361" t="s" s="0">
        <v>91</v>
      </c>
      <c r="R361" t="s" s="0">
        <v>82</v>
      </c>
      <c r="S361" t="s" s="0">
        <v>82</v>
      </c>
      <c r="T361" t="s" s="0">
        <v>82</v>
      </c>
      <c r="U361" t="s" s="0">
        <v>82</v>
      </c>
      <c r="V361" t="s" s="0">
        <v>8777</v>
      </c>
      <c r="W361" t="s" s="0">
        <v>3264</v>
      </c>
      <c r="X361" t="s" s="0">
        <v>82</v>
      </c>
      <c r="Y361" t="s" s="0">
        <v>82</v>
      </c>
      <c r="Z361" t="s" s="0">
        <v>94</v>
      </c>
      <c r="AA361" t="s" s="0">
        <v>95</v>
      </c>
      <c r="AB361" t="s" s="0">
        <v>82</v>
      </c>
      <c r="AC361" t="s" s="0">
        <v>82</v>
      </c>
      <c r="AD361" t="s" s="0">
        <v>82</v>
      </c>
      <c r="AE361" t="s" s="0">
        <v>82</v>
      </c>
      <c r="AF361" t="s" s="0">
        <v>82</v>
      </c>
      <c r="AG361" t="s" s="0">
        <v>8778</v>
      </c>
      <c r="AH361" t="s" s="0">
        <v>8779</v>
      </c>
      <c r="AI361" t="s" s="0">
        <v>8780</v>
      </c>
      <c r="AJ361" t="s" s="0">
        <v>8781</v>
      </c>
      <c r="AK361" t="s" s="0">
        <v>82</v>
      </c>
      <c r="AL361" t="s" s="0">
        <v>1780</v>
      </c>
      <c r="AM361" t="s" s="0">
        <v>239</v>
      </c>
      <c r="AN361" t="s" s="0">
        <v>154</v>
      </c>
      <c r="AO361" t="s" s="0">
        <v>78</v>
      </c>
      <c r="AP361" t="s" s="0">
        <v>221</v>
      </c>
      <c r="AQ361" t="s" s="0">
        <v>277</v>
      </c>
      <c r="AR361" t="s" s="0">
        <v>278</v>
      </c>
      <c r="AS361" t="s" s="0">
        <v>279</v>
      </c>
      <c r="AT361" t="s" s="0">
        <v>82</v>
      </c>
      <c r="AU361" t="s" s="0">
        <v>3269</v>
      </c>
      <c r="AV361" t="s" s="0">
        <v>82</v>
      </c>
      <c r="AW361" t="s" s="0">
        <v>3270</v>
      </c>
      <c r="AX361" t="s" s="0">
        <v>3271</v>
      </c>
      <c r="AY361" t="s" s="0">
        <v>4076</v>
      </c>
      <c r="AZ361" t="s" s="0">
        <v>210</v>
      </c>
      <c r="BA361" t="s" s="0">
        <v>375</v>
      </c>
      <c r="BB361" t="s" s="0">
        <v>221</v>
      </c>
      <c r="BC361" t="s" s="0">
        <v>82</v>
      </c>
      <c r="BD361" t="s" s="0">
        <v>82</v>
      </c>
      <c r="BE361" t="s" s="0">
        <v>82</v>
      </c>
      <c r="BF361" t="s" s="0">
        <v>82</v>
      </c>
      <c r="BG361" t="s" s="0">
        <v>8782</v>
      </c>
      <c r="BH361" t="s" s="0">
        <v>8783</v>
      </c>
      <c r="BI361" t="s" s="0">
        <v>82</v>
      </c>
      <c r="BJ361" t="s" s="0">
        <v>8784</v>
      </c>
      <c r="BK361" t="s" s="718">
        <f>HYPERLINK("http://dx.doi.org/10.1016/j.euo.2023.02.006","http://dx.doi.org/10.1016/j.euo.2023.02.006")</f>
        <v>8785</v>
      </c>
      <c r="BL361" t="s" s="0">
        <v>82</v>
      </c>
      <c r="BM361" t="s" s="0">
        <v>4076</v>
      </c>
      <c r="BN361" t="s" s="0">
        <v>138</v>
      </c>
      <c r="BO361" t="s" s="0">
        <v>3276</v>
      </c>
      <c r="BP361" t="s" s="0">
        <v>3276</v>
      </c>
      <c r="BQ361" t="s" s="0">
        <v>8786</v>
      </c>
      <c r="BR361" t="s" s="0">
        <v>8787</v>
      </c>
      <c r="BS361" t="s" s="0">
        <v>8788</v>
      </c>
      <c r="BT361" t="s" s="719">
        <f>HYPERLINK("https://www.webofscience.com/wos/woscc/full-record/WOS:001110900800001","View Record in Web of Science")</f>
        <v>120</v>
      </c>
      <c r="BU361" t="s" s="0">
        <v>82</v>
      </c>
      <c r="BV361" t="s" s="0">
        <v>82</v>
      </c>
      <c r="BW361" t="s" s="0">
        <v>82</v>
      </c>
      <c r="BX361" t="s" s="0">
        <v>122</v>
      </c>
    </row>
    <row r="362">
      <c r="A362" t="s" s="0">
        <v>78</v>
      </c>
      <c r="B362" t="s" s="0">
        <v>78</v>
      </c>
      <c r="C362" t="s" s="0">
        <v>78</v>
      </c>
      <c r="D362" t="s" s="0">
        <v>78</v>
      </c>
      <c r="E362" t="s" s="0">
        <v>8789</v>
      </c>
      <c r="F362" t="s" s="0">
        <v>8790</v>
      </c>
      <c r="G362" t="s" s="0">
        <v>8791</v>
      </c>
      <c r="H362" t="s" s="0">
        <v>82</v>
      </c>
      <c r="I362" t="s" s="0">
        <v>83</v>
      </c>
      <c r="J362" t="s" s="0">
        <v>8792</v>
      </c>
      <c r="K362" t="s" s="0">
        <v>7151</v>
      </c>
      <c r="L362" t="s" s="0">
        <v>8793</v>
      </c>
      <c r="M362" t="s" s="0">
        <v>8794</v>
      </c>
      <c r="N362" t="s" s="0">
        <v>8795</v>
      </c>
      <c r="O362" t="s" s="0">
        <v>8796</v>
      </c>
      <c r="P362" t="s" s="0">
        <v>8797</v>
      </c>
      <c r="Q362" t="s" s="0">
        <v>91</v>
      </c>
      <c r="R362" t="s" s="0">
        <v>82</v>
      </c>
      <c r="S362" t="s" s="0">
        <v>82</v>
      </c>
      <c r="T362" t="s" s="0">
        <v>82</v>
      </c>
      <c r="U362" t="s" s="0">
        <v>82</v>
      </c>
      <c r="V362" t="s" s="0">
        <v>8798</v>
      </c>
      <c r="W362" t="s" s="0">
        <v>8799</v>
      </c>
      <c r="X362" t="s" s="0">
        <v>82</v>
      </c>
      <c r="Y362" t="s" s="0">
        <v>82</v>
      </c>
      <c r="Z362" t="s" s="0">
        <v>94</v>
      </c>
      <c r="AA362" t="s" s="0">
        <v>95</v>
      </c>
      <c r="AB362" t="s" s="0">
        <v>82</v>
      </c>
      <c r="AC362" t="s" s="0">
        <v>82</v>
      </c>
      <c r="AD362" t="s" s="0">
        <v>82</v>
      </c>
      <c r="AE362" t="s" s="0">
        <v>82</v>
      </c>
      <c r="AF362" t="s" s="0">
        <v>82</v>
      </c>
      <c r="AG362" t="s" s="0">
        <v>8800</v>
      </c>
      <c r="AH362" t="s" s="0">
        <v>82</v>
      </c>
      <c r="AI362" t="s" s="0">
        <v>8801</v>
      </c>
      <c r="AJ362" t="s" s="0">
        <v>8802</v>
      </c>
      <c r="AK362" t="s" s="0">
        <v>82</v>
      </c>
      <c r="AL362" t="s" s="0">
        <v>374</v>
      </c>
      <c r="AM362" t="s" s="0">
        <v>77</v>
      </c>
      <c r="AN362" t="s" s="0">
        <v>77</v>
      </c>
      <c r="AO362" t="s" s="0">
        <v>77</v>
      </c>
      <c r="AP362" t="s" s="0">
        <v>77</v>
      </c>
      <c r="AQ362" t="s" s="0">
        <v>174</v>
      </c>
      <c r="AR362" t="s" s="0">
        <v>175</v>
      </c>
      <c r="AS362" t="s" s="0">
        <v>176</v>
      </c>
      <c r="AT362" t="s" s="0">
        <v>8803</v>
      </c>
      <c r="AU362" t="s" s="0">
        <v>8804</v>
      </c>
      <c r="AV362" t="s" s="0">
        <v>82</v>
      </c>
      <c r="AW362" t="s" s="0">
        <v>8805</v>
      </c>
      <c r="AX362" t="s" s="0">
        <v>8806</v>
      </c>
      <c r="AY362" t="s" s="0">
        <v>8807</v>
      </c>
      <c r="AZ362" t="s" s="0">
        <v>147</v>
      </c>
      <c r="BA362" t="s" s="0">
        <v>1026</v>
      </c>
      <c r="BB362" t="s" s="0">
        <v>101</v>
      </c>
      <c r="BC362" t="s" s="0">
        <v>82</v>
      </c>
      <c r="BD362" t="s" s="0">
        <v>82</v>
      </c>
      <c r="BE362" t="s" s="0">
        <v>82</v>
      </c>
      <c r="BF362" t="s" s="0">
        <v>82</v>
      </c>
      <c r="BG362" t="s" s="0">
        <v>82</v>
      </c>
      <c r="BH362" t="s" s="0">
        <v>82</v>
      </c>
      <c r="BI362" t="s" s="0">
        <v>8808</v>
      </c>
      <c r="BJ362" t="s" s="0">
        <v>8809</v>
      </c>
      <c r="BK362" t="s" s="720">
        <f>HYPERLINK("http://dx.doi.org/10.1002/hbm.70141","http://dx.doi.org/10.1002/hbm.70141")</f>
        <v>8810</v>
      </c>
      <c r="BL362" t="s" s="0">
        <v>82</v>
      </c>
      <c r="BM362" t="s" s="0">
        <v>82</v>
      </c>
      <c r="BN362" t="s" s="0">
        <v>137</v>
      </c>
      <c r="BO362" t="s" s="0">
        <v>8811</v>
      </c>
      <c r="BP362" t="s" s="0">
        <v>1693</v>
      </c>
      <c r="BQ362" t="s" s="0">
        <v>8812</v>
      </c>
      <c r="BR362" t="s" s="0">
        <v>8813</v>
      </c>
      <c r="BS362" t="s" s="0">
        <v>8814</v>
      </c>
      <c r="BT362" t="s" s="721">
        <f>HYPERLINK("https://www.webofscience.com/wos/woscc/full-record/WOS:001418047500001","View Record in Web of Science")</f>
        <v>120</v>
      </c>
      <c r="BU362" t="s" s="0">
        <v>121</v>
      </c>
      <c r="BV362" t="s" s="0">
        <v>82</v>
      </c>
      <c r="BW362" t="s" s="0">
        <v>82</v>
      </c>
      <c r="BX362" t="s" s="0">
        <v>122</v>
      </c>
    </row>
    <row r="363">
      <c r="A363" t="s" s="0">
        <v>78</v>
      </c>
      <c r="B363" t="s" s="0">
        <v>78</v>
      </c>
      <c r="C363" t="s" s="0">
        <v>245</v>
      </c>
      <c r="D363" t="s" s="0">
        <v>78</v>
      </c>
      <c r="E363" t="s" s="0">
        <v>8815</v>
      </c>
      <c r="F363" t="s" s="0">
        <v>8816</v>
      </c>
      <c r="G363" t="s" s="0">
        <v>8817</v>
      </c>
      <c r="H363" t="s" s="0">
        <v>82</v>
      </c>
      <c r="I363" t="s" s="0">
        <v>83</v>
      </c>
      <c r="J363" t="s" s="0">
        <v>8818</v>
      </c>
      <c r="K363" t="s" s="0">
        <v>8819</v>
      </c>
      <c r="L363" t="s" s="0">
        <v>8820</v>
      </c>
      <c r="M363" t="s" s="0">
        <v>8821</v>
      </c>
      <c r="N363" t="s" s="0">
        <v>8822</v>
      </c>
      <c r="O363" t="s" s="0">
        <v>8823</v>
      </c>
      <c r="P363" t="s" s="0">
        <v>8824</v>
      </c>
      <c r="Q363" t="s" s="0">
        <v>91</v>
      </c>
      <c r="R363" t="s" s="0">
        <v>82</v>
      </c>
      <c r="S363" t="s" s="0">
        <v>82</v>
      </c>
      <c r="T363" t="s" s="0">
        <v>82</v>
      </c>
      <c r="U363" t="s" s="0">
        <v>82</v>
      </c>
      <c r="V363" t="s" s="0">
        <v>8825</v>
      </c>
      <c r="W363" t="s" s="0">
        <v>8826</v>
      </c>
      <c r="X363" t="s" s="0">
        <v>82</v>
      </c>
      <c r="Y363" t="s" s="0">
        <v>82</v>
      </c>
      <c r="Z363" t="s" s="0">
        <v>94</v>
      </c>
      <c r="AA363" t="s" s="0">
        <v>95</v>
      </c>
      <c r="AB363" t="s" s="0">
        <v>82</v>
      </c>
      <c r="AC363" t="s" s="0">
        <v>82</v>
      </c>
      <c r="AD363" t="s" s="0">
        <v>82</v>
      </c>
      <c r="AE363" t="s" s="0">
        <v>82</v>
      </c>
      <c r="AF363" t="s" s="0">
        <v>82</v>
      </c>
      <c r="AG363" t="s" s="0">
        <v>8827</v>
      </c>
      <c r="AH363" t="s" s="0">
        <v>8828</v>
      </c>
      <c r="AI363" t="s" s="0">
        <v>8829</v>
      </c>
      <c r="AJ363" t="s" s="0">
        <v>8830</v>
      </c>
      <c r="AK363" t="s" s="0">
        <v>82</v>
      </c>
      <c r="AL363" t="s" s="0">
        <v>1279</v>
      </c>
      <c r="AM363" t="s" s="0">
        <v>148</v>
      </c>
      <c r="AN363" t="s" s="0">
        <v>685</v>
      </c>
      <c r="AO363" t="s" s="0">
        <v>78</v>
      </c>
      <c r="AP363" t="s" s="0">
        <v>375</v>
      </c>
      <c r="AQ363" t="s" s="0">
        <v>277</v>
      </c>
      <c r="AR363" t="s" s="0">
        <v>278</v>
      </c>
      <c r="AS363" t="s" s="0">
        <v>279</v>
      </c>
      <c r="AT363" t="s" s="0">
        <v>8831</v>
      </c>
      <c r="AU363" t="s" s="0">
        <v>8832</v>
      </c>
      <c r="AV363" t="s" s="0">
        <v>82</v>
      </c>
      <c r="AW363" t="s" s="0">
        <v>8833</v>
      </c>
      <c r="AX363" t="s" s="0">
        <v>8834</v>
      </c>
      <c r="AY363" t="s" s="0">
        <v>668</v>
      </c>
      <c r="AZ363" t="s" s="0">
        <v>110</v>
      </c>
      <c r="BA363" t="s" s="0">
        <v>149</v>
      </c>
      <c r="BB363" t="s" s="0">
        <v>102</v>
      </c>
      <c r="BC363" t="s" s="0">
        <v>82</v>
      </c>
      <c r="BD363" t="s" s="0">
        <v>82</v>
      </c>
      <c r="BE363" t="s" s="0">
        <v>82</v>
      </c>
      <c r="BF363" t="s" s="0">
        <v>82</v>
      </c>
      <c r="BG363" t="s" s="0">
        <v>82</v>
      </c>
      <c r="BH363" t="s" s="0">
        <v>82</v>
      </c>
      <c r="BI363" t="s" s="0">
        <v>82</v>
      </c>
      <c r="BJ363" t="s" s="0">
        <v>8835</v>
      </c>
      <c r="BK363" t="s" s="722">
        <f>HYPERLINK("http://dx.doi.org/10.1016/j.jaip.2023.12.031","http://dx.doi.org/10.1016/j.jaip.2023.12.031")</f>
        <v>8836</v>
      </c>
      <c r="BL363" t="s" s="0">
        <v>82</v>
      </c>
      <c r="BM363" t="s" s="0">
        <v>668</v>
      </c>
      <c r="BN363" t="s" s="0">
        <v>245</v>
      </c>
      <c r="BO363" t="s" s="0">
        <v>8837</v>
      </c>
      <c r="BP363" t="s" s="0">
        <v>8837</v>
      </c>
      <c r="BQ363" t="s" s="0">
        <v>8838</v>
      </c>
      <c r="BR363" t="s" s="0">
        <v>8839</v>
      </c>
      <c r="BS363" t="s" s="0">
        <v>8840</v>
      </c>
      <c r="BT363" t="s" s="723">
        <f>HYPERLINK("https://www.webofscience.com/wos/woscc/full-record/WOS:001224895300001","View Record in Web of Science")</f>
        <v>120</v>
      </c>
      <c r="BU363" t="s" s="0">
        <v>82</v>
      </c>
      <c r="BV363" t="s" s="0">
        <v>82</v>
      </c>
      <c r="BW363" t="s" s="0">
        <v>82</v>
      </c>
      <c r="BX363" t="s" s="0">
        <v>122</v>
      </c>
    </row>
    <row r="364">
      <c r="A364" t="s" s="0">
        <v>101</v>
      </c>
      <c r="B364" t="s" s="0">
        <v>78</v>
      </c>
      <c r="C364" t="s" s="0">
        <v>101</v>
      </c>
      <c r="D364" t="s" s="0">
        <v>77</v>
      </c>
      <c r="E364" t="s" s="0">
        <v>8841</v>
      </c>
      <c r="F364" t="s" s="0">
        <v>8842</v>
      </c>
      <c r="G364" t="s" s="0">
        <v>8843</v>
      </c>
      <c r="H364" t="s" s="0">
        <v>82</v>
      </c>
      <c r="I364" t="s" s="0">
        <v>83</v>
      </c>
      <c r="J364" t="s" s="0">
        <v>8844</v>
      </c>
      <c r="K364" t="s" s="0">
        <v>82</v>
      </c>
      <c r="L364" t="s" s="0">
        <v>8845</v>
      </c>
      <c r="M364" t="s" s="0">
        <v>8846</v>
      </c>
      <c r="N364" t="s" s="0">
        <v>8847</v>
      </c>
      <c r="O364" t="s" s="0">
        <v>8848</v>
      </c>
      <c r="P364" t="s" s="0">
        <v>8849</v>
      </c>
      <c r="Q364" t="s" s="0">
        <v>91</v>
      </c>
      <c r="R364" t="s" s="0">
        <v>82</v>
      </c>
      <c r="S364" t="s" s="0">
        <v>82</v>
      </c>
      <c r="T364" t="s" s="0">
        <v>82</v>
      </c>
      <c r="U364" t="s" s="0">
        <v>82</v>
      </c>
      <c r="V364" t="s" s="0">
        <v>8850</v>
      </c>
      <c r="W364" t="s" s="0">
        <v>1677</v>
      </c>
      <c r="X364" t="s" s="0">
        <v>82</v>
      </c>
      <c r="Y364" t="s" s="0">
        <v>82</v>
      </c>
      <c r="Z364" t="s" s="0">
        <v>94</v>
      </c>
      <c r="AA364" t="s" s="0">
        <v>95</v>
      </c>
      <c r="AB364" t="s" s="0">
        <v>82</v>
      </c>
      <c r="AC364" t="s" s="0">
        <v>82</v>
      </c>
      <c r="AD364" t="s" s="0">
        <v>82</v>
      </c>
      <c r="AE364" t="s" s="0">
        <v>82</v>
      </c>
      <c r="AF364" t="s" s="0">
        <v>82</v>
      </c>
      <c r="AG364" t="s" s="0">
        <v>82</v>
      </c>
      <c r="AH364" t="s" s="0">
        <v>8851</v>
      </c>
      <c r="AI364" t="s" s="0">
        <v>82</v>
      </c>
      <c r="AJ364" t="s" s="0">
        <v>8852</v>
      </c>
      <c r="AK364" t="s" s="0">
        <v>82</v>
      </c>
      <c r="AL364" t="s" s="0">
        <v>353</v>
      </c>
      <c r="AM364" t="s" s="0">
        <v>353</v>
      </c>
      <c r="AN364" t="s" s="0">
        <v>1186</v>
      </c>
      <c r="AO364" t="s" s="0">
        <v>447</v>
      </c>
      <c r="AP364" t="s" s="0">
        <v>137</v>
      </c>
      <c r="AQ364" t="s" s="0">
        <v>1681</v>
      </c>
      <c r="AR364" t="s" s="0">
        <v>1682</v>
      </c>
      <c r="AS364" t="s" s="0">
        <v>1683</v>
      </c>
      <c r="AT364" t="s" s="0">
        <v>1684</v>
      </c>
      <c r="AU364" t="s" s="0">
        <v>1685</v>
      </c>
      <c r="AV364" t="s" s="0">
        <v>82</v>
      </c>
      <c r="AW364" t="s" s="0">
        <v>1686</v>
      </c>
      <c r="AX364" t="s" s="0">
        <v>1687</v>
      </c>
      <c r="AY364" t="s" s="0">
        <v>6158</v>
      </c>
      <c r="AZ364" t="s" s="0">
        <v>408</v>
      </c>
      <c r="BA364" t="s" s="0">
        <v>1526</v>
      </c>
      <c r="BB364" t="s" s="0">
        <v>319</v>
      </c>
      <c r="BC364" t="s" s="0">
        <v>82</v>
      </c>
      <c r="BD364" t="s" s="0">
        <v>82</v>
      </c>
      <c r="BE364" t="s" s="0">
        <v>82</v>
      </c>
      <c r="BF364" t="s" s="0">
        <v>82</v>
      </c>
      <c r="BG364" t="s" s="0">
        <v>8853</v>
      </c>
      <c r="BH364" t="s" s="0">
        <v>8854</v>
      </c>
      <c r="BI364" t="s" s="0">
        <v>82</v>
      </c>
      <c r="BJ364" t="s" s="0">
        <v>8855</v>
      </c>
      <c r="BK364" t="s" s="724">
        <f>HYPERLINK("http://dx.doi.org/10.3174/ajnr.A7616","http://dx.doi.org/10.3174/ajnr.A7616")</f>
        <v>8856</v>
      </c>
      <c r="BL364" t="s" s="0">
        <v>82</v>
      </c>
      <c r="BM364" t="s" s="0">
        <v>82</v>
      </c>
      <c r="BN364" t="s" s="0">
        <v>138</v>
      </c>
      <c r="BO364" t="s" s="0">
        <v>1692</v>
      </c>
      <c r="BP364" t="s" s="0">
        <v>1693</v>
      </c>
      <c r="BQ364" t="s" s="0">
        <v>8857</v>
      </c>
      <c r="BR364" t="s" s="0">
        <v>8858</v>
      </c>
      <c r="BS364" t="s" s="0">
        <v>8859</v>
      </c>
      <c r="BT364" t="s" s="725">
        <f>HYPERLINK("https://www.webofscience.com/wos/woscc/full-record/WOS:000914913300016","View Record in Web of Science")</f>
        <v>120</v>
      </c>
      <c r="BU364" t="s" s="0">
        <v>256</v>
      </c>
      <c r="BV364" t="s" s="0">
        <v>82</v>
      </c>
      <c r="BW364" t="s" s="0">
        <v>82</v>
      </c>
      <c r="BX364" t="s" s="0">
        <v>122</v>
      </c>
    </row>
    <row r="365">
      <c r="A365" t="s" s="0">
        <v>78</v>
      </c>
      <c r="B365" t="s" s="0">
        <v>78</v>
      </c>
      <c r="C365" t="s" s="0">
        <v>78</v>
      </c>
      <c r="D365" t="s" s="0">
        <v>78</v>
      </c>
      <c r="E365" t="s" s="0">
        <v>8860</v>
      </c>
      <c r="F365" t="s" s="0">
        <v>8861</v>
      </c>
      <c r="G365" t="s" s="0">
        <v>8862</v>
      </c>
      <c r="H365" t="s" s="0">
        <v>82</v>
      </c>
      <c r="I365" t="s" s="0">
        <v>83</v>
      </c>
      <c r="J365" t="s" s="0">
        <v>8863</v>
      </c>
      <c r="K365" t="s" s="0">
        <v>8864</v>
      </c>
      <c r="L365" t="s" s="0">
        <v>8865</v>
      </c>
      <c r="M365" t="s" s="0">
        <v>8865</v>
      </c>
      <c r="N365" t="s" s="0">
        <v>88</v>
      </c>
      <c r="O365" t="s" s="0">
        <v>8866</v>
      </c>
      <c r="P365" t="s" s="0">
        <v>8867</v>
      </c>
      <c r="Q365" t="s" s="0">
        <v>91</v>
      </c>
      <c r="R365" t="s" s="0">
        <v>82</v>
      </c>
      <c r="S365" t="s" s="0">
        <v>82</v>
      </c>
      <c r="T365" t="s" s="0">
        <v>82</v>
      </c>
      <c r="U365" t="s" s="0">
        <v>82</v>
      </c>
      <c r="V365" t="s" s="0">
        <v>8868</v>
      </c>
      <c r="W365" t="s" s="0">
        <v>8869</v>
      </c>
      <c r="X365" t="s" s="0">
        <v>82</v>
      </c>
      <c r="Y365" t="s" s="0">
        <v>82</v>
      </c>
      <c r="Z365" t="s" s="0">
        <v>94</v>
      </c>
      <c r="AA365" t="s" s="0">
        <v>95</v>
      </c>
      <c r="AB365" t="s" s="0">
        <v>82</v>
      </c>
      <c r="AC365" t="s" s="0">
        <v>82</v>
      </c>
      <c r="AD365" t="s" s="0">
        <v>82</v>
      </c>
      <c r="AE365" t="s" s="0">
        <v>82</v>
      </c>
      <c r="AF365" t="s" s="0">
        <v>82</v>
      </c>
      <c r="AG365" t="s" s="0">
        <v>8870</v>
      </c>
      <c r="AH365" t="s" s="0">
        <v>8871</v>
      </c>
      <c r="AI365" t="s" s="0">
        <v>8872</v>
      </c>
      <c r="AJ365" t="s" s="0">
        <v>8873</v>
      </c>
      <c r="AK365" t="s" s="0">
        <v>82</v>
      </c>
      <c r="AL365" t="s" s="0">
        <v>100</v>
      </c>
      <c r="AM365" t="s" s="0">
        <v>102</v>
      </c>
      <c r="AN365" t="s" s="0">
        <v>102</v>
      </c>
      <c r="AO365" t="s" s="0">
        <v>447</v>
      </c>
      <c r="AP365" t="s" s="0">
        <v>101</v>
      </c>
      <c r="AQ365" t="s" s="0">
        <v>103</v>
      </c>
      <c r="AR365" t="s" s="0">
        <v>104</v>
      </c>
      <c r="AS365" t="s" s="0">
        <v>105</v>
      </c>
      <c r="AT365" t="s" s="0">
        <v>8874</v>
      </c>
      <c r="AU365" t="s" s="0">
        <v>82</v>
      </c>
      <c r="AV365" t="s" s="0">
        <v>82</v>
      </c>
      <c r="AW365" t="s" s="0">
        <v>8875</v>
      </c>
      <c r="AX365" t="s" s="0">
        <v>8876</v>
      </c>
      <c r="AY365" t="s" s="0">
        <v>8877</v>
      </c>
      <c r="AZ365" t="s" s="0">
        <v>147</v>
      </c>
      <c r="BA365" t="s" s="0">
        <v>173</v>
      </c>
      <c r="BB365" t="s" s="0">
        <v>77</v>
      </c>
      <c r="BC365" t="s" s="0">
        <v>82</v>
      </c>
      <c r="BD365" t="s" s="0">
        <v>82</v>
      </c>
      <c r="BE365" t="s" s="0">
        <v>82</v>
      </c>
      <c r="BF365" t="s" s="0">
        <v>82</v>
      </c>
      <c r="BG365" t="s" s="0">
        <v>82</v>
      </c>
      <c r="BH365" t="s" s="0">
        <v>82</v>
      </c>
      <c r="BI365" t="s" s="0">
        <v>2080</v>
      </c>
      <c r="BJ365" t="s" s="0">
        <v>8878</v>
      </c>
      <c r="BK365" t="s" s="726">
        <f>HYPERLINK("http://dx.doi.org/10.1186/s13017-025-00650-2","http://dx.doi.org/10.1186/s13017-025-00650-2")</f>
        <v>8879</v>
      </c>
      <c r="BL365" t="s" s="0">
        <v>82</v>
      </c>
      <c r="BM365" t="s" s="0">
        <v>82</v>
      </c>
      <c r="BN365" t="s" s="0">
        <v>349</v>
      </c>
      <c r="BO365" t="s" s="0">
        <v>8880</v>
      </c>
      <c r="BP365" t="s" s="0">
        <v>8880</v>
      </c>
      <c r="BQ365" t="s" s="0">
        <v>8881</v>
      </c>
      <c r="BR365" t="s" s="0">
        <v>8882</v>
      </c>
      <c r="BS365" t="s" s="0">
        <v>8883</v>
      </c>
      <c r="BT365" t="s" s="727">
        <f>HYPERLINK("https://www.webofscience.com/wos/woscc/full-record/WOS:001594090600002","View Record in Web of Science")</f>
        <v>120</v>
      </c>
      <c r="BU365" t="s" s="0">
        <v>121</v>
      </c>
      <c r="BV365" t="s" s="0">
        <v>82</v>
      </c>
      <c r="BW365" t="s" s="0">
        <v>82</v>
      </c>
      <c r="BX365" t="s" s="0">
        <v>122</v>
      </c>
    </row>
    <row r="366">
      <c r="A366" t="s" s="0">
        <v>78</v>
      </c>
      <c r="B366" t="s" s="0">
        <v>78</v>
      </c>
      <c r="C366" t="s" s="0">
        <v>101</v>
      </c>
      <c r="D366" t="s" s="0">
        <v>78</v>
      </c>
      <c r="E366" t="s" s="0">
        <v>8884</v>
      </c>
      <c r="F366" t="s" s="0">
        <v>8885</v>
      </c>
      <c r="G366" t="s" s="0">
        <v>8886</v>
      </c>
      <c r="H366" t="s" s="0">
        <v>82</v>
      </c>
      <c r="I366" t="s" s="0">
        <v>83</v>
      </c>
      <c r="J366" t="s" s="0">
        <v>8887</v>
      </c>
      <c r="K366" t="s" s="0">
        <v>5173</v>
      </c>
      <c r="L366" t="s" s="0">
        <v>8888</v>
      </c>
      <c r="M366" t="s" s="0">
        <v>8889</v>
      </c>
      <c r="N366" t="s" s="0">
        <v>8890</v>
      </c>
      <c r="O366" t="s" s="0">
        <v>8891</v>
      </c>
      <c r="P366" t="s" s="0">
        <v>8892</v>
      </c>
      <c r="Q366" t="s" s="0">
        <v>91</v>
      </c>
      <c r="R366" t="s" s="0">
        <v>82</v>
      </c>
      <c r="S366" t="s" s="0">
        <v>82</v>
      </c>
      <c r="T366" t="s" s="0">
        <v>82</v>
      </c>
      <c r="U366" t="s" s="0">
        <v>82</v>
      </c>
      <c r="V366" t="s" s="0">
        <v>8893</v>
      </c>
      <c r="W366" t="s" s="0">
        <v>8894</v>
      </c>
      <c r="X366" t="s" s="0">
        <v>82</v>
      </c>
      <c r="Y366" t="s" s="0">
        <v>82</v>
      </c>
      <c r="Z366" t="s" s="0">
        <v>94</v>
      </c>
      <c r="AA366" t="s" s="0">
        <v>95</v>
      </c>
      <c r="AB366" t="s" s="0">
        <v>82</v>
      </c>
      <c r="AC366" t="s" s="0">
        <v>82</v>
      </c>
      <c r="AD366" t="s" s="0">
        <v>82</v>
      </c>
      <c r="AE366" t="s" s="0">
        <v>82</v>
      </c>
      <c r="AF366" t="s" s="0">
        <v>82</v>
      </c>
      <c r="AG366" t="s" s="0">
        <v>8895</v>
      </c>
      <c r="AH366" t="s" s="0">
        <v>8896</v>
      </c>
      <c r="AI366" t="s" s="0">
        <v>5179</v>
      </c>
      <c r="AJ366" t="s" s="0">
        <v>5180</v>
      </c>
      <c r="AK366" t="s" s="0">
        <v>82</v>
      </c>
      <c r="AL366" t="s" s="0">
        <v>1658</v>
      </c>
      <c r="AM366" t="s" s="0">
        <v>349</v>
      </c>
      <c r="AN366" t="s" s="0">
        <v>239</v>
      </c>
      <c r="AO366" t="s" s="0">
        <v>447</v>
      </c>
      <c r="AP366" t="s" s="0">
        <v>319</v>
      </c>
      <c r="AQ366" t="s" s="0">
        <v>5760</v>
      </c>
      <c r="AR366" t="s" s="0">
        <v>5761</v>
      </c>
      <c r="AS366" t="s" s="0">
        <v>5762</v>
      </c>
      <c r="AT366" t="s" s="0">
        <v>8897</v>
      </c>
      <c r="AU366" t="s" s="0">
        <v>8898</v>
      </c>
      <c r="AV366" t="s" s="0">
        <v>82</v>
      </c>
      <c r="AW366" t="s" s="0">
        <v>8899</v>
      </c>
      <c r="AX366" t="s" s="0">
        <v>8900</v>
      </c>
      <c r="AY366" t="s" s="0">
        <v>7141</v>
      </c>
      <c r="AZ366" t="s" s="0">
        <v>110</v>
      </c>
      <c r="BA366" t="s" s="0">
        <v>323</v>
      </c>
      <c r="BB366" t="s" s="0">
        <v>77</v>
      </c>
      <c r="BC366" t="s" s="0">
        <v>82</v>
      </c>
      <c r="BD366" t="s" s="0">
        <v>82</v>
      </c>
      <c r="BE366" t="s" s="0">
        <v>82</v>
      </c>
      <c r="BF366" t="s" s="0">
        <v>82</v>
      </c>
      <c r="BG366" t="s" s="0">
        <v>82</v>
      </c>
      <c r="BH366" t="s" s="0">
        <v>82</v>
      </c>
      <c r="BI366" t="s" s="0">
        <v>82</v>
      </c>
      <c r="BJ366" t="s" s="0">
        <v>8901</v>
      </c>
      <c r="BK366" t="s" s="728">
        <f>HYPERLINK("http://dx.doi.org/10.21037/qims-23-791","http://dx.doi.org/10.21037/qims-23-791")</f>
        <v>8902</v>
      </c>
      <c r="BL366" t="s" s="0">
        <v>82</v>
      </c>
      <c r="BM366" t="s" s="0">
        <v>4076</v>
      </c>
      <c r="BN366" t="s" s="0">
        <v>273</v>
      </c>
      <c r="BO366" t="s" s="0">
        <v>414</v>
      </c>
      <c r="BP366" t="s" s="0">
        <v>414</v>
      </c>
      <c r="BQ366" t="s" s="0">
        <v>8903</v>
      </c>
      <c r="BR366" t="s" s="0">
        <v>8904</v>
      </c>
      <c r="BS366" t="s" s="0">
        <v>8905</v>
      </c>
      <c r="BT366" t="s" s="729">
        <f>HYPERLINK("https://www.webofscience.com/wos/woscc/full-record/WOS:001097467500001","View Record in Web of Science")</f>
        <v>120</v>
      </c>
      <c r="BU366" t="s" s="0">
        <v>121</v>
      </c>
      <c r="BV366" t="s" s="0">
        <v>82</v>
      </c>
      <c r="BW366" t="s" s="0">
        <v>82</v>
      </c>
      <c r="BX366" t="s" s="0">
        <v>122</v>
      </c>
    </row>
    <row r="367">
      <c r="A367" t="s" s="0">
        <v>78</v>
      </c>
      <c r="B367" t="s" s="0">
        <v>78</v>
      </c>
      <c r="C367" t="s" s="0">
        <v>149</v>
      </c>
      <c r="D367" t="s" s="0">
        <v>78</v>
      </c>
      <c r="E367" t="s" s="0">
        <v>8906</v>
      </c>
      <c r="F367" t="s" s="0">
        <v>8907</v>
      </c>
      <c r="G367" t="s" s="0">
        <v>8908</v>
      </c>
      <c r="H367" t="s" s="0">
        <v>82</v>
      </c>
      <c r="I367" t="s" s="0">
        <v>83</v>
      </c>
      <c r="J367" t="s" s="0">
        <v>8909</v>
      </c>
      <c r="K367" t="s" s="0">
        <v>8910</v>
      </c>
      <c r="L367" t="s" s="0">
        <v>8911</v>
      </c>
      <c r="M367" t="s" s="0">
        <v>8912</v>
      </c>
      <c r="N367" t="s" s="0">
        <v>8913</v>
      </c>
      <c r="O367" t="s" s="0">
        <v>8914</v>
      </c>
      <c r="P367" t="s" s="0">
        <v>8915</v>
      </c>
      <c r="Q367" t="s" s="0">
        <v>91</v>
      </c>
      <c r="R367" t="s" s="0">
        <v>82</v>
      </c>
      <c r="S367" t="s" s="0">
        <v>8916</v>
      </c>
      <c r="T367" t="s" s="0">
        <v>82</v>
      </c>
      <c r="U367" t="s" s="0">
        <v>82</v>
      </c>
      <c r="V367" t="s" s="0">
        <v>8917</v>
      </c>
      <c r="W367" t="s" s="0">
        <v>269</v>
      </c>
      <c r="X367" t="s" s="0">
        <v>82</v>
      </c>
      <c r="Y367" t="s" s="0">
        <v>82</v>
      </c>
      <c r="Z367" t="s" s="0">
        <v>94</v>
      </c>
      <c r="AA367" t="s" s="0">
        <v>95</v>
      </c>
      <c r="AB367" t="s" s="0">
        <v>82</v>
      </c>
      <c r="AC367" t="s" s="0">
        <v>82</v>
      </c>
      <c r="AD367" t="s" s="0">
        <v>82</v>
      </c>
      <c r="AE367" t="s" s="0">
        <v>82</v>
      </c>
      <c r="AF367" t="s" s="0">
        <v>82</v>
      </c>
      <c r="AG367" t="s" s="0">
        <v>82</v>
      </c>
      <c r="AH367" t="s" s="0">
        <v>82</v>
      </c>
      <c r="AI367" t="s" s="0">
        <v>8918</v>
      </c>
      <c r="AJ367" t="s" s="0">
        <v>8919</v>
      </c>
      <c r="AK367" t="s" s="0">
        <v>82</v>
      </c>
      <c r="AL367" t="s" s="0">
        <v>344</v>
      </c>
      <c r="AM367" t="s" s="0">
        <v>1526</v>
      </c>
      <c r="AN367" t="s" s="0">
        <v>1279</v>
      </c>
      <c r="AO367" t="s" s="0">
        <v>78</v>
      </c>
      <c r="AP367" t="s" s="0">
        <v>136</v>
      </c>
      <c r="AQ367" t="s" s="0">
        <v>277</v>
      </c>
      <c r="AR367" t="s" s="0">
        <v>278</v>
      </c>
      <c r="AS367" t="s" s="0">
        <v>279</v>
      </c>
      <c r="AT367" t="s" s="0">
        <v>82</v>
      </c>
      <c r="AU367" t="s" s="0">
        <v>280</v>
      </c>
      <c r="AV367" t="s" s="0">
        <v>82</v>
      </c>
      <c r="AW367" t="s" s="0">
        <v>281</v>
      </c>
      <c r="AX367" t="s" s="0">
        <v>282</v>
      </c>
      <c r="AY367" t="s" s="0">
        <v>2658</v>
      </c>
      <c r="AZ367" t="s" s="0">
        <v>408</v>
      </c>
      <c r="BA367" t="s" s="0">
        <v>102</v>
      </c>
      <c r="BB367" t="s" s="0">
        <v>102</v>
      </c>
      <c r="BC367" t="s" s="0">
        <v>82</v>
      </c>
      <c r="BD367" t="s" s="0">
        <v>82</v>
      </c>
      <c r="BE367" t="s" s="0">
        <v>82</v>
      </c>
      <c r="BF367" t="s" s="0">
        <v>82</v>
      </c>
      <c r="BG367" t="s" s="0">
        <v>82</v>
      </c>
      <c r="BH367" t="s" s="0">
        <v>82</v>
      </c>
      <c r="BI367" t="s" s="0">
        <v>82</v>
      </c>
      <c r="BJ367" t="s" s="0">
        <v>8920</v>
      </c>
      <c r="BK367" t="s" s="730">
        <f>HYPERLINK("http://dx.doi.org/10.1016/S2589-7500(21)00272-7","http://dx.doi.org/10.1016/S2589-7500(21)00272-7")</f>
        <v>8921</v>
      </c>
      <c r="BL367" t="s" s="0">
        <v>82</v>
      </c>
      <c r="BM367" t="s" s="0">
        <v>413</v>
      </c>
      <c r="BN367" t="s" s="0">
        <v>115</v>
      </c>
      <c r="BO367" t="s" s="0">
        <v>289</v>
      </c>
      <c r="BP367" t="s" s="0">
        <v>290</v>
      </c>
      <c r="BQ367" t="s" s="0">
        <v>8922</v>
      </c>
      <c r="BR367" t="s" s="0">
        <v>8923</v>
      </c>
      <c r="BS367" t="s" s="0">
        <v>8924</v>
      </c>
      <c r="BT367" t="s" s="731">
        <f>HYPERLINK("https://www.webofscience.com/wos/woscc/full-record/WOS:000820134400012","View Record in Web of Science")</f>
        <v>120</v>
      </c>
      <c r="BU367" t="s" s="0">
        <v>121</v>
      </c>
      <c r="BV367" t="s" s="0">
        <v>82</v>
      </c>
      <c r="BW367" t="s" s="0">
        <v>82</v>
      </c>
      <c r="BX367" t="s" s="0">
        <v>122</v>
      </c>
    </row>
    <row r="368">
      <c r="A368" t="s" s="0">
        <v>78</v>
      </c>
      <c r="B368" t="s" s="0">
        <v>78</v>
      </c>
      <c r="C368" t="s" s="0">
        <v>77</v>
      </c>
      <c r="D368" t="s" s="0">
        <v>78</v>
      </c>
      <c r="E368" t="s" s="0">
        <v>8925</v>
      </c>
      <c r="F368" t="s" s="0">
        <v>8926</v>
      </c>
      <c r="G368" t="s" s="0">
        <v>8927</v>
      </c>
      <c r="H368" t="s" s="0">
        <v>82</v>
      </c>
      <c r="I368" t="s" s="0">
        <v>83</v>
      </c>
      <c r="J368" t="s" s="0">
        <v>8928</v>
      </c>
      <c r="K368" t="s" s="0">
        <v>3115</v>
      </c>
      <c r="L368" t="s" s="0">
        <v>82</v>
      </c>
      <c r="M368" t="s" s="0">
        <v>82</v>
      </c>
      <c r="N368" t="s" s="0">
        <v>82</v>
      </c>
      <c r="O368" t="s" s="0">
        <v>8929</v>
      </c>
      <c r="P368" t="s" s="0">
        <v>1990</v>
      </c>
      <c r="Q368" t="s" s="0">
        <v>91</v>
      </c>
      <c r="R368" t="s" s="0">
        <v>82</v>
      </c>
      <c r="S368" t="s" s="0">
        <v>82</v>
      </c>
      <c r="T368" t="s" s="0">
        <v>82</v>
      </c>
      <c r="U368" t="s" s="0">
        <v>82</v>
      </c>
      <c r="V368" t="s" s="0">
        <v>8930</v>
      </c>
      <c r="W368" t="s" s="0">
        <v>1992</v>
      </c>
      <c r="X368" t="s" s="0">
        <v>82</v>
      </c>
      <c r="Y368" t="s" s="0">
        <v>82</v>
      </c>
      <c r="Z368" t="s" s="0">
        <v>94</v>
      </c>
      <c r="AA368" t="s" s="0">
        <v>95</v>
      </c>
      <c r="AB368" t="s" s="0">
        <v>82</v>
      </c>
      <c r="AC368" t="s" s="0">
        <v>82</v>
      </c>
      <c r="AD368" t="s" s="0">
        <v>82</v>
      </c>
      <c r="AE368" t="s" s="0">
        <v>82</v>
      </c>
      <c r="AF368" t="s" s="0">
        <v>82</v>
      </c>
      <c r="AG368" t="s" s="0">
        <v>8931</v>
      </c>
      <c r="AH368" t="s" s="0">
        <v>8932</v>
      </c>
      <c r="AI368" t="s" s="0">
        <v>8933</v>
      </c>
      <c r="AJ368" t="s" s="0">
        <v>8934</v>
      </c>
      <c r="AK368" t="s" s="0">
        <v>82</v>
      </c>
      <c r="AL368" t="s" s="0">
        <v>831</v>
      </c>
      <c r="AM368" t="s" s="0">
        <v>154</v>
      </c>
      <c r="AN368" t="s" s="0">
        <v>148</v>
      </c>
      <c r="AO368" t="s" s="0">
        <v>77</v>
      </c>
      <c r="AP368" t="s" s="0">
        <v>77</v>
      </c>
      <c r="AQ368" t="s" s="0">
        <v>1996</v>
      </c>
      <c r="AR368" t="s" s="0">
        <v>1997</v>
      </c>
      <c r="AS368" t="s" s="0">
        <v>1998</v>
      </c>
      <c r="AT368" t="s" s="0">
        <v>1999</v>
      </c>
      <c r="AU368" t="s" s="0">
        <v>2000</v>
      </c>
      <c r="AV368" t="s" s="0">
        <v>82</v>
      </c>
      <c r="AW368" t="s" s="0">
        <v>2001</v>
      </c>
      <c r="AX368" t="s" s="0">
        <v>2002</v>
      </c>
      <c r="AY368" t="s" s="0">
        <v>4032</v>
      </c>
      <c r="AZ368" t="s" s="0">
        <v>110</v>
      </c>
      <c r="BA368" t="s" s="0">
        <v>2003</v>
      </c>
      <c r="BB368" t="s" s="0">
        <v>101</v>
      </c>
      <c r="BC368" t="s" s="0">
        <v>82</v>
      </c>
      <c r="BD368" t="s" s="0">
        <v>82</v>
      </c>
      <c r="BE368" t="s" s="0">
        <v>82</v>
      </c>
      <c r="BF368" t="s" s="0">
        <v>82</v>
      </c>
      <c r="BG368" t="s" s="0">
        <v>82</v>
      </c>
      <c r="BH368" t="s" s="0">
        <v>82</v>
      </c>
      <c r="BI368" t="s" s="0">
        <v>8935</v>
      </c>
      <c r="BJ368" t="s" s="0">
        <v>8936</v>
      </c>
      <c r="BK368" t="s" s="732">
        <f>HYPERLINK("http://dx.doi.org/10.2214/AJR.24.31067","http://dx.doi.org/10.2214/AJR.24.31067")</f>
        <v>8937</v>
      </c>
      <c r="BL368" t="s" s="0">
        <v>82</v>
      </c>
      <c r="BM368" t="s" s="0">
        <v>82</v>
      </c>
      <c r="BN368" t="s" s="0">
        <v>115</v>
      </c>
      <c r="BO368" t="s" s="0">
        <v>414</v>
      </c>
      <c r="BP368" t="s" s="0">
        <v>414</v>
      </c>
      <c r="BQ368" t="s" s="0">
        <v>8938</v>
      </c>
      <c r="BR368" t="s" s="0">
        <v>8939</v>
      </c>
      <c r="BS368" t="s" s="0">
        <v>8940</v>
      </c>
      <c r="BT368" t="s" s="733">
        <f>HYPERLINK("https://www.webofscience.com/wos/woscc/full-record/WOS:001370090800013","View Record in Web of Science")</f>
        <v>120</v>
      </c>
      <c r="BU368" t="s" s="0">
        <v>82</v>
      </c>
      <c r="BV368" t="s" s="0">
        <v>82</v>
      </c>
      <c r="BW368" t="s" s="0">
        <v>82</v>
      </c>
      <c r="BX368" t="s" s="0">
        <v>122</v>
      </c>
    </row>
    <row r="369">
      <c r="A369" t="s" s="0">
        <v>78</v>
      </c>
      <c r="B369" t="s" s="0">
        <v>78</v>
      </c>
      <c r="C369" t="s" s="0">
        <v>78</v>
      </c>
      <c r="D369" t="s" s="0">
        <v>78</v>
      </c>
      <c r="E369" t="s" s="0">
        <v>8941</v>
      </c>
      <c r="F369" t="s" s="0">
        <v>8942</v>
      </c>
      <c r="G369" t="s" s="0">
        <v>8943</v>
      </c>
      <c r="H369" t="s" s="0">
        <v>82</v>
      </c>
      <c r="I369" t="s" s="0">
        <v>83</v>
      </c>
      <c r="J369" t="s" s="0">
        <v>8944</v>
      </c>
      <c r="K369" t="s" s="0">
        <v>8945</v>
      </c>
      <c r="L369" t="s" s="0">
        <v>82</v>
      </c>
      <c r="M369" t="s" s="0">
        <v>82</v>
      </c>
      <c r="N369" t="s" s="0">
        <v>82</v>
      </c>
      <c r="O369" t="s" s="0">
        <v>8946</v>
      </c>
      <c r="P369" t="s" s="0">
        <v>8947</v>
      </c>
      <c r="Q369" t="s" s="0">
        <v>91</v>
      </c>
      <c r="R369" t="s" s="0">
        <v>82</v>
      </c>
      <c r="S369" t="s" s="0">
        <v>82</v>
      </c>
      <c r="T369" t="s" s="0">
        <v>82</v>
      </c>
      <c r="U369" t="s" s="0">
        <v>82</v>
      </c>
      <c r="V369" t="s" s="0">
        <v>8948</v>
      </c>
      <c r="W369" t="s" s="0">
        <v>8395</v>
      </c>
      <c r="X369" t="s" s="0">
        <v>82</v>
      </c>
      <c r="Y369" t="s" s="0">
        <v>82</v>
      </c>
      <c r="Z369" t="s" s="0">
        <v>94</v>
      </c>
      <c r="AA369" t="s" s="0">
        <v>95</v>
      </c>
      <c r="AB369" t="s" s="0">
        <v>82</v>
      </c>
      <c r="AC369" t="s" s="0">
        <v>82</v>
      </c>
      <c r="AD369" t="s" s="0">
        <v>82</v>
      </c>
      <c r="AE369" t="s" s="0">
        <v>82</v>
      </c>
      <c r="AF369" t="s" s="0">
        <v>82</v>
      </c>
      <c r="AG369" t="s" s="0">
        <v>8949</v>
      </c>
      <c r="AH369" t="s" s="0">
        <v>82</v>
      </c>
      <c r="AI369" t="s" s="0">
        <v>82</v>
      </c>
      <c r="AJ369" t="s" s="0">
        <v>8950</v>
      </c>
      <c r="AK369" t="s" s="0">
        <v>82</v>
      </c>
      <c r="AL369" t="s" s="0">
        <v>1320</v>
      </c>
      <c r="AM369" t="s" s="0">
        <v>78</v>
      </c>
      <c r="AN369" t="s" s="0">
        <v>78</v>
      </c>
      <c r="AO369" t="s" s="0">
        <v>78</v>
      </c>
      <c r="AP369" t="s" s="0">
        <v>77</v>
      </c>
      <c r="AQ369" t="s" s="0">
        <v>103</v>
      </c>
      <c r="AR369" t="s" s="0">
        <v>104</v>
      </c>
      <c r="AS369" t="s" s="0">
        <v>105</v>
      </c>
      <c r="AT369" t="s" s="0">
        <v>82</v>
      </c>
      <c r="AU369" t="s" s="0">
        <v>8400</v>
      </c>
      <c r="AV369" t="s" s="0">
        <v>82</v>
      </c>
      <c r="AW369" t="s" s="0">
        <v>8401</v>
      </c>
      <c r="AX369" t="s" s="0">
        <v>8402</v>
      </c>
      <c r="AY369" t="s" s="0">
        <v>8951</v>
      </c>
      <c r="AZ369" t="s" s="0">
        <v>147</v>
      </c>
      <c r="BA369" t="s" s="0">
        <v>111</v>
      </c>
      <c r="BB369" t="s" s="0">
        <v>77</v>
      </c>
      <c r="BC369" t="s" s="0">
        <v>82</v>
      </c>
      <c r="BD369" t="s" s="0">
        <v>82</v>
      </c>
      <c r="BE369" t="s" s="0">
        <v>82</v>
      </c>
      <c r="BF369" t="s" s="0">
        <v>82</v>
      </c>
      <c r="BG369" t="s" s="0">
        <v>82</v>
      </c>
      <c r="BH369" t="s" s="0">
        <v>82</v>
      </c>
      <c r="BI369" t="s" s="0">
        <v>2556</v>
      </c>
      <c r="BJ369" t="s" s="0">
        <v>8952</v>
      </c>
      <c r="BK369" t="s" s="734">
        <f>HYPERLINK("http://dx.doi.org/10.1186/s12911-025-03158-6","http://dx.doi.org/10.1186/s12911-025-03158-6")</f>
        <v>8953</v>
      </c>
      <c r="BL369" t="s" s="0">
        <v>82</v>
      </c>
      <c r="BM369" t="s" s="0">
        <v>82</v>
      </c>
      <c r="BN369" t="s" s="0">
        <v>137</v>
      </c>
      <c r="BO369" t="s" s="0">
        <v>1815</v>
      </c>
      <c r="BP369" t="s" s="0">
        <v>1815</v>
      </c>
      <c r="BQ369" t="s" s="0">
        <v>8954</v>
      </c>
      <c r="BR369" t="s" s="0">
        <v>8955</v>
      </c>
      <c r="BS369" t="s" s="0">
        <v>8956</v>
      </c>
      <c r="BT369" t="s" s="735">
        <f>HYPERLINK("https://www.webofscience.com/wos/woscc/full-record/WOS:001560541000001","View Record in Web of Science")</f>
        <v>120</v>
      </c>
      <c r="BU369" t="s" s="0">
        <v>121</v>
      </c>
      <c r="BV369" t="s" s="0">
        <v>82</v>
      </c>
      <c r="BW369" t="s" s="0">
        <v>82</v>
      </c>
      <c r="BX369" t="s" s="0">
        <v>122</v>
      </c>
    </row>
    <row r="370">
      <c r="A370" t="s" s="0">
        <v>447</v>
      </c>
      <c r="B370" t="s" s="0">
        <v>78</v>
      </c>
      <c r="C370" t="s" s="0">
        <v>399</v>
      </c>
      <c r="D370" t="s" s="0">
        <v>78</v>
      </c>
      <c r="E370" t="s" s="0">
        <v>8957</v>
      </c>
      <c r="F370" t="s" s="0">
        <v>8958</v>
      </c>
      <c r="G370" t="s" s="0">
        <v>8959</v>
      </c>
      <c r="H370" t="s" s="0">
        <v>82</v>
      </c>
      <c r="I370" t="s" s="0">
        <v>83</v>
      </c>
      <c r="J370" t="s" s="0">
        <v>8909</v>
      </c>
      <c r="K370" t="s" s="0">
        <v>8910</v>
      </c>
      <c r="L370" t="s" s="0">
        <v>8960</v>
      </c>
      <c r="M370" t="s" s="0">
        <v>8961</v>
      </c>
      <c r="N370" t="s" s="0">
        <v>8962</v>
      </c>
      <c r="O370" t="s" s="0">
        <v>8963</v>
      </c>
      <c r="P370" t="s" s="0">
        <v>8964</v>
      </c>
      <c r="Q370" t="s" s="0">
        <v>91</v>
      </c>
      <c r="R370" t="s" s="0">
        <v>82</v>
      </c>
      <c r="S370" t="s" s="0">
        <v>82</v>
      </c>
      <c r="T370" t="s" s="0">
        <v>82</v>
      </c>
      <c r="U370" t="s" s="0">
        <v>82</v>
      </c>
      <c r="V370" t="s" s="0">
        <v>8965</v>
      </c>
      <c r="W370" t="s" s="0">
        <v>269</v>
      </c>
      <c r="X370" t="s" s="0">
        <v>82</v>
      </c>
      <c r="Y370" t="s" s="0">
        <v>82</v>
      </c>
      <c r="Z370" t="s" s="0">
        <v>94</v>
      </c>
      <c r="AA370" t="s" s="0">
        <v>95</v>
      </c>
      <c r="AB370" t="s" s="0">
        <v>82</v>
      </c>
      <c r="AC370" t="s" s="0">
        <v>82</v>
      </c>
      <c r="AD370" t="s" s="0">
        <v>82</v>
      </c>
      <c r="AE370" t="s" s="0">
        <v>82</v>
      </c>
      <c r="AF370" t="s" s="0">
        <v>82</v>
      </c>
      <c r="AG370" t="s" s="0">
        <v>82</v>
      </c>
      <c r="AH370" t="s" s="0">
        <v>396</v>
      </c>
      <c r="AI370" t="s" s="0">
        <v>8966</v>
      </c>
      <c r="AJ370" t="s" s="0">
        <v>8967</v>
      </c>
      <c r="AK370" t="s" s="0">
        <v>82</v>
      </c>
      <c r="AL370" t="s" s="0">
        <v>399</v>
      </c>
      <c r="AM370" t="s" s="0">
        <v>2081</v>
      </c>
      <c r="AN370" t="s" s="0">
        <v>6791</v>
      </c>
      <c r="AO370" t="s" s="0">
        <v>78</v>
      </c>
      <c r="AP370" t="s" s="0">
        <v>1780</v>
      </c>
      <c r="AQ370" t="s" s="0">
        <v>277</v>
      </c>
      <c r="AR370" t="s" s="0">
        <v>278</v>
      </c>
      <c r="AS370" t="s" s="0">
        <v>279</v>
      </c>
      <c r="AT370" t="s" s="0">
        <v>82</v>
      </c>
      <c r="AU370" t="s" s="0">
        <v>280</v>
      </c>
      <c r="AV370" t="s" s="0">
        <v>82</v>
      </c>
      <c r="AW370" t="s" s="0">
        <v>281</v>
      </c>
      <c r="AX370" t="s" s="0">
        <v>282</v>
      </c>
      <c r="AY370" t="s" s="0">
        <v>8968</v>
      </c>
      <c r="AZ370" t="s" s="0">
        <v>525</v>
      </c>
      <c r="BA370" t="s" s="0">
        <v>101</v>
      </c>
      <c r="BB370" t="s" s="0">
        <v>447</v>
      </c>
      <c r="BC370" t="s" s="0">
        <v>82</v>
      </c>
      <c r="BD370" t="s" s="0">
        <v>82</v>
      </c>
      <c r="BE370" t="s" s="0">
        <v>82</v>
      </c>
      <c r="BF370" t="s" s="0">
        <v>82</v>
      </c>
      <c r="BG370" t="s" s="0">
        <v>8969</v>
      </c>
      <c r="BH370" t="s" s="0">
        <v>8970</v>
      </c>
      <c r="BI370" t="s" s="0">
        <v>82</v>
      </c>
      <c r="BJ370" t="s" s="0">
        <v>8971</v>
      </c>
      <c r="BK370" t="s" s="736">
        <f>HYPERLINK("http://dx.doi.org/10.1016/S2589-7500(20)30274-0","http://dx.doi.org/10.1016/S2589-7500(20)30274-0")</f>
        <v>8972</v>
      </c>
      <c r="BL370" t="s" s="0">
        <v>82</v>
      </c>
      <c r="BM370" t="s" s="0">
        <v>3505</v>
      </c>
      <c r="BN370" t="s" s="0">
        <v>245</v>
      </c>
      <c r="BO370" t="s" s="0">
        <v>289</v>
      </c>
      <c r="BP370" t="s" s="0">
        <v>290</v>
      </c>
      <c r="BQ370" t="s" s="0">
        <v>8973</v>
      </c>
      <c r="BR370" t="s" s="0">
        <v>8974</v>
      </c>
      <c r="BS370" t="s" s="0">
        <v>8975</v>
      </c>
      <c r="BT370" t="s" s="737">
        <f>HYPERLINK("https://www.webofscience.com/wos/woscc/full-record/WOS:000614629400006","View Record in Web of Science")</f>
        <v>120</v>
      </c>
      <c r="BU370" t="s" s="0">
        <v>121</v>
      </c>
      <c r="BV370" t="s" s="0">
        <v>82</v>
      </c>
      <c r="BW370" t="s" s="0">
        <v>82</v>
      </c>
      <c r="BX370" t="s" s="0">
        <v>122</v>
      </c>
    </row>
    <row r="371">
      <c r="A371" t="s" s="0">
        <v>78</v>
      </c>
      <c r="B371" t="s" s="0">
        <v>78</v>
      </c>
      <c r="C371" t="s" s="0">
        <v>221</v>
      </c>
      <c r="D371" t="s" s="0">
        <v>78</v>
      </c>
      <c r="E371" t="s" s="0">
        <v>8976</v>
      </c>
      <c r="F371" t="s" s="0">
        <v>8977</v>
      </c>
      <c r="G371" t="s" s="0">
        <v>8978</v>
      </c>
      <c r="H371" t="s" s="0">
        <v>82</v>
      </c>
      <c r="I371" t="s" s="0">
        <v>83</v>
      </c>
      <c r="J371" t="s" s="0">
        <v>8979</v>
      </c>
      <c r="K371" t="s" s="0">
        <v>8980</v>
      </c>
      <c r="L371" t="s" s="0">
        <v>8981</v>
      </c>
      <c r="M371" t="s" s="0">
        <v>8982</v>
      </c>
      <c r="N371" t="s" s="0">
        <v>8983</v>
      </c>
      <c r="O371" t="s" s="0">
        <v>8984</v>
      </c>
      <c r="P371" t="s" s="0">
        <v>8693</v>
      </c>
      <c r="Q371" t="s" s="0">
        <v>91</v>
      </c>
      <c r="R371" t="s" s="0">
        <v>82</v>
      </c>
      <c r="S371" t="s" s="0">
        <v>82</v>
      </c>
      <c r="T371" t="s" s="0">
        <v>82</v>
      </c>
      <c r="U371" t="s" s="0">
        <v>82</v>
      </c>
      <c r="V371" t="s" s="0">
        <v>8985</v>
      </c>
      <c r="W371" t="s" s="0">
        <v>8986</v>
      </c>
      <c r="X371" t="s" s="0">
        <v>82</v>
      </c>
      <c r="Y371" t="s" s="0">
        <v>82</v>
      </c>
      <c r="Z371" t="s" s="0">
        <v>94</v>
      </c>
      <c r="AA371" t="s" s="0">
        <v>95</v>
      </c>
      <c r="AB371" t="s" s="0">
        <v>82</v>
      </c>
      <c r="AC371" t="s" s="0">
        <v>82</v>
      </c>
      <c r="AD371" t="s" s="0">
        <v>82</v>
      </c>
      <c r="AE371" t="s" s="0">
        <v>82</v>
      </c>
      <c r="AF371" t="s" s="0">
        <v>82</v>
      </c>
      <c r="AG371" t="s" s="0">
        <v>8987</v>
      </c>
      <c r="AH371" t="s" s="0">
        <v>8988</v>
      </c>
      <c r="AI371" t="s" s="0">
        <v>8989</v>
      </c>
      <c r="AJ371" t="s" s="0">
        <v>8990</v>
      </c>
      <c r="AK371" t="s" s="0">
        <v>82</v>
      </c>
      <c r="AL371" t="s" s="0">
        <v>1186</v>
      </c>
      <c r="AM371" t="s" s="0">
        <v>138</v>
      </c>
      <c r="AN371" t="s" s="0">
        <v>136</v>
      </c>
      <c r="AO371" t="s" s="0">
        <v>77</v>
      </c>
      <c r="AP371" t="s" s="0">
        <v>319</v>
      </c>
      <c r="AQ371" t="s" s="0">
        <v>600</v>
      </c>
      <c r="AR371" t="s" s="0">
        <v>601</v>
      </c>
      <c r="AS371" t="s" s="0">
        <v>602</v>
      </c>
      <c r="AT371" t="s" s="0">
        <v>8991</v>
      </c>
      <c r="AU371" t="s" s="0">
        <v>8992</v>
      </c>
      <c r="AV371" t="s" s="0">
        <v>82</v>
      </c>
      <c r="AW371" t="s" s="0">
        <v>8993</v>
      </c>
      <c r="AX371" t="s" s="0">
        <v>8994</v>
      </c>
      <c r="AY371" t="s" s="0">
        <v>804</v>
      </c>
      <c r="AZ371" t="s" s="0">
        <v>210</v>
      </c>
      <c r="BA371" t="s" s="0">
        <v>829</v>
      </c>
      <c r="BB371" t="s" s="0">
        <v>101</v>
      </c>
      <c r="BC371" t="s" s="0">
        <v>82</v>
      </c>
      <c r="BD371" t="s" s="0">
        <v>82</v>
      </c>
      <c r="BE371" t="s" s="0">
        <v>82</v>
      </c>
      <c r="BF371" t="s" s="0">
        <v>82</v>
      </c>
      <c r="BG371" t="s" s="0">
        <v>82</v>
      </c>
      <c r="BH371" t="s" s="0">
        <v>82</v>
      </c>
      <c r="BI371" t="s" s="0">
        <v>8995</v>
      </c>
      <c r="BJ371" t="s" s="0">
        <v>8996</v>
      </c>
      <c r="BK371" t="s" s="738">
        <f>HYPERLINK("http://dx.doi.org/10.1016/j.rbmo.2023.05.014","http://dx.doi.org/10.1016/j.rbmo.2023.05.014")</f>
        <v>8997</v>
      </c>
      <c r="BL371" t="s" s="0">
        <v>82</v>
      </c>
      <c r="BM371" t="s" s="0">
        <v>804</v>
      </c>
      <c r="BN371" t="s" s="0">
        <v>136</v>
      </c>
      <c r="BO371" t="s" s="0">
        <v>8998</v>
      </c>
      <c r="BP371" t="s" s="0">
        <v>8998</v>
      </c>
      <c r="BQ371" t="s" s="0">
        <v>8999</v>
      </c>
      <c r="BR371" t="s" s="0">
        <v>9000</v>
      </c>
      <c r="BS371" t="s" s="0">
        <v>9001</v>
      </c>
      <c r="BT371" t="s" s="739">
        <f>HYPERLINK("https://www.webofscience.com/wos/woscc/full-record/WOS:001074108500001","View Record in Web of Science")</f>
        <v>120</v>
      </c>
      <c r="BU371" t="s" s="0">
        <v>82</v>
      </c>
      <c r="BV371" t="s" s="0">
        <v>82</v>
      </c>
      <c r="BW371" t="s" s="0">
        <v>82</v>
      </c>
      <c r="BX371" t="s" s="0">
        <v>122</v>
      </c>
    </row>
    <row r="372">
      <c r="A372" t="s" s="0">
        <v>78</v>
      </c>
      <c r="B372" t="s" s="0">
        <v>78</v>
      </c>
      <c r="C372" t="s" s="0">
        <v>102</v>
      </c>
      <c r="D372" t="s" s="0">
        <v>78</v>
      </c>
      <c r="E372" t="s" s="0">
        <v>9002</v>
      </c>
      <c r="F372" t="s" s="0">
        <v>9003</v>
      </c>
      <c r="G372" t="s" s="0">
        <v>9004</v>
      </c>
      <c r="H372" t="s" s="0">
        <v>82</v>
      </c>
      <c r="I372" t="s" s="0">
        <v>83</v>
      </c>
      <c r="J372" t="s" s="0">
        <v>9005</v>
      </c>
      <c r="K372" t="s" s="0">
        <v>9006</v>
      </c>
      <c r="L372" t="s" s="0">
        <v>9007</v>
      </c>
      <c r="M372" t="s" s="0">
        <v>9008</v>
      </c>
      <c r="N372" t="s" s="0">
        <v>9009</v>
      </c>
      <c r="O372" t="s" s="0">
        <v>9010</v>
      </c>
      <c r="P372" t="s" s="0">
        <v>9011</v>
      </c>
      <c r="Q372" t="s" s="0">
        <v>91</v>
      </c>
      <c r="R372" t="s" s="0">
        <v>82</v>
      </c>
      <c r="S372" t="s" s="0">
        <v>9012</v>
      </c>
      <c r="T372" t="s" s="0">
        <v>82</v>
      </c>
      <c r="U372" t="s" s="0">
        <v>82</v>
      </c>
      <c r="V372" t="s" s="0">
        <v>9013</v>
      </c>
      <c r="W372" t="s" s="0">
        <v>9014</v>
      </c>
      <c r="X372" t="s" s="0">
        <v>82</v>
      </c>
      <c r="Y372" t="s" s="0">
        <v>82</v>
      </c>
      <c r="Z372" t="s" s="0">
        <v>94</v>
      </c>
      <c r="AA372" t="s" s="0">
        <v>95</v>
      </c>
      <c r="AB372" t="s" s="0">
        <v>82</v>
      </c>
      <c r="AC372" t="s" s="0">
        <v>82</v>
      </c>
      <c r="AD372" t="s" s="0">
        <v>82</v>
      </c>
      <c r="AE372" t="s" s="0">
        <v>82</v>
      </c>
      <c r="AF372" t="s" s="0">
        <v>82</v>
      </c>
      <c r="AG372" t="s" s="0">
        <v>9015</v>
      </c>
      <c r="AH372" t="s" s="0">
        <v>9016</v>
      </c>
      <c r="AI372" t="s" s="0">
        <v>9017</v>
      </c>
      <c r="AJ372" t="s" s="0">
        <v>9018</v>
      </c>
      <c r="AK372" t="s" s="0">
        <v>82</v>
      </c>
      <c r="AL372" t="s" s="0">
        <v>273</v>
      </c>
      <c r="AM372" t="s" s="0">
        <v>640</v>
      </c>
      <c r="AN372" t="s" s="0">
        <v>1320</v>
      </c>
      <c r="AO372" t="s" s="0">
        <v>77</v>
      </c>
      <c r="AP372" t="s" s="0">
        <v>375</v>
      </c>
      <c r="AQ372" t="s" s="0">
        <v>491</v>
      </c>
      <c r="AR372" t="s" s="0">
        <v>492</v>
      </c>
      <c r="AS372" t="s" s="0">
        <v>493</v>
      </c>
      <c r="AT372" t="s" s="0">
        <v>9019</v>
      </c>
      <c r="AU372" t="s" s="0">
        <v>9020</v>
      </c>
      <c r="AV372" t="s" s="0">
        <v>82</v>
      </c>
      <c r="AW372" t="s" s="0">
        <v>9021</v>
      </c>
      <c r="AX372" t="s" s="0">
        <v>9022</v>
      </c>
      <c r="AY372" t="s" s="0">
        <v>9023</v>
      </c>
      <c r="AZ372" t="s" s="0">
        <v>110</v>
      </c>
      <c r="BA372" t="s" s="0">
        <v>4777</v>
      </c>
      <c r="BB372" t="s" s="0">
        <v>9024</v>
      </c>
      <c r="BC372" t="s" s="0">
        <v>82</v>
      </c>
      <c r="BD372" t="s" s="0">
        <v>82</v>
      </c>
      <c r="BE372" t="s" s="0">
        <v>82</v>
      </c>
      <c r="BF372" t="s" s="0">
        <v>82</v>
      </c>
      <c r="BG372" t="s" s="0">
        <v>9025</v>
      </c>
      <c r="BH372" t="s" s="0">
        <v>210</v>
      </c>
      <c r="BI372" t="s" s="0">
        <v>82</v>
      </c>
      <c r="BJ372" t="s" s="0">
        <v>9026</v>
      </c>
      <c r="BK372" t="s" s="740">
        <f>HYPERLINK("http://dx.doi.org/10.1093/bjr/tqae191","http://dx.doi.org/10.1093/bjr/tqae191")</f>
        <v>9027</v>
      </c>
      <c r="BL372" t="s" s="0">
        <v>82</v>
      </c>
      <c r="BM372" t="s" s="0">
        <v>4032</v>
      </c>
      <c r="BN372" t="s" s="0">
        <v>319</v>
      </c>
      <c r="BO372" t="s" s="0">
        <v>414</v>
      </c>
      <c r="BP372" t="s" s="0">
        <v>414</v>
      </c>
      <c r="BQ372" t="s" s="0">
        <v>9028</v>
      </c>
      <c r="BR372" t="s" s="0">
        <v>9029</v>
      </c>
      <c r="BS372" t="s" s="0">
        <v>9030</v>
      </c>
      <c r="BT372" t="s" s="741">
        <f>HYPERLINK("https://www.webofscience.com/wos/woscc/full-record/WOS:001322107400001","View Record in Web of Science")</f>
        <v>120</v>
      </c>
      <c r="BU372" t="s" s="0">
        <v>2198</v>
      </c>
      <c r="BV372" t="s" s="0">
        <v>82</v>
      </c>
      <c r="BW372" t="s" s="0">
        <v>82</v>
      </c>
      <c r="BX372" t="s" s="0">
        <v>122</v>
      </c>
    </row>
    <row r="373">
      <c r="A373" t="s" s="0">
        <v>77</v>
      </c>
      <c r="B373" t="s" s="0">
        <v>78</v>
      </c>
      <c r="C373" t="s" s="0">
        <v>221</v>
      </c>
      <c r="D373" t="s" s="0">
        <v>78</v>
      </c>
      <c r="E373" t="s" s="0">
        <v>9031</v>
      </c>
      <c r="F373" t="s" s="0">
        <v>9032</v>
      </c>
      <c r="G373" t="s" s="0">
        <v>9033</v>
      </c>
      <c r="H373" t="s" s="0">
        <v>82</v>
      </c>
      <c r="I373" t="s" s="0">
        <v>83</v>
      </c>
      <c r="J373" t="s" s="0">
        <v>9034</v>
      </c>
      <c r="K373" t="s" s="0">
        <v>9035</v>
      </c>
      <c r="L373" t="s" s="0">
        <v>9036</v>
      </c>
      <c r="M373" t="s" s="0">
        <v>9037</v>
      </c>
      <c r="N373" t="s" s="0">
        <v>9038</v>
      </c>
      <c r="O373" t="s" s="0">
        <v>9039</v>
      </c>
      <c r="P373" t="s" s="0">
        <v>9040</v>
      </c>
      <c r="Q373" t="s" s="0">
        <v>91</v>
      </c>
      <c r="R373" t="s" s="0">
        <v>82</v>
      </c>
      <c r="S373" t="s" s="0">
        <v>82</v>
      </c>
      <c r="T373" t="s" s="0">
        <v>82</v>
      </c>
      <c r="U373" t="s" s="0">
        <v>82</v>
      </c>
      <c r="V373" t="s" s="0">
        <v>9041</v>
      </c>
      <c r="W373" t="s" s="0">
        <v>9042</v>
      </c>
      <c r="X373" t="s" s="0">
        <v>82</v>
      </c>
      <c r="Y373" t="s" s="0">
        <v>82</v>
      </c>
      <c r="Z373" t="s" s="0">
        <v>94</v>
      </c>
      <c r="AA373" t="s" s="0">
        <v>95</v>
      </c>
      <c r="AB373" t="s" s="0">
        <v>82</v>
      </c>
      <c r="AC373" t="s" s="0">
        <v>82</v>
      </c>
      <c r="AD373" t="s" s="0">
        <v>82</v>
      </c>
      <c r="AE373" t="s" s="0">
        <v>82</v>
      </c>
      <c r="AF373" t="s" s="0">
        <v>82</v>
      </c>
      <c r="AG373" t="s" s="0">
        <v>9043</v>
      </c>
      <c r="AH373" t="s" s="0">
        <v>9044</v>
      </c>
      <c r="AI373" t="s" s="0">
        <v>82</v>
      </c>
      <c r="AJ373" t="s" s="0">
        <v>82</v>
      </c>
      <c r="AK373" t="s" s="0">
        <v>82</v>
      </c>
      <c r="AL373" t="s" s="0">
        <v>890</v>
      </c>
      <c r="AM373" t="s" s="0">
        <v>323</v>
      </c>
      <c r="AN373" t="s" s="0">
        <v>640</v>
      </c>
      <c r="AO373" t="s" s="0">
        <v>447</v>
      </c>
      <c r="AP373" t="s" s="0">
        <v>239</v>
      </c>
      <c r="AQ373" t="s" s="0">
        <v>103</v>
      </c>
      <c r="AR373" t="s" s="0">
        <v>104</v>
      </c>
      <c r="AS373" t="s" s="0">
        <v>105</v>
      </c>
      <c r="AT373" t="s" s="0">
        <v>9045</v>
      </c>
      <c r="AU373" t="s" s="0">
        <v>82</v>
      </c>
      <c r="AV373" t="s" s="0">
        <v>82</v>
      </c>
      <c r="AW373" t="s" s="0">
        <v>9046</v>
      </c>
      <c r="AX373" t="s" s="0">
        <v>9047</v>
      </c>
      <c r="AY373" t="s" s="0">
        <v>9048</v>
      </c>
      <c r="AZ373" t="s" s="0">
        <v>408</v>
      </c>
      <c r="BA373" t="s" s="0">
        <v>148</v>
      </c>
      <c r="BB373" t="s" s="0">
        <v>77</v>
      </c>
      <c r="BC373" t="s" s="0">
        <v>82</v>
      </c>
      <c r="BD373" t="s" s="0">
        <v>82</v>
      </c>
      <c r="BE373" t="s" s="0">
        <v>82</v>
      </c>
      <c r="BF373" t="s" s="0">
        <v>82</v>
      </c>
      <c r="BG373" t="s" s="0">
        <v>82</v>
      </c>
      <c r="BH373" t="s" s="0">
        <v>82</v>
      </c>
      <c r="BI373" t="s" s="0">
        <v>1279</v>
      </c>
      <c r="BJ373" t="s" s="0">
        <v>9049</v>
      </c>
      <c r="BK373" t="s" s="742">
        <f>HYPERLINK("http://dx.doi.org/10.1186/s12880-022-00772-y","http://dx.doi.org/10.1186/s12880-022-00772-y")</f>
        <v>9050</v>
      </c>
      <c r="BL373" t="s" s="0">
        <v>82</v>
      </c>
      <c r="BM373" t="s" s="0">
        <v>82</v>
      </c>
      <c r="BN373" t="s" s="0">
        <v>319</v>
      </c>
      <c r="BO373" t="s" s="0">
        <v>414</v>
      </c>
      <c r="BP373" t="s" s="0">
        <v>414</v>
      </c>
      <c r="BQ373" t="s" s="0">
        <v>9051</v>
      </c>
      <c r="BR373" t="s" s="0">
        <v>9052</v>
      </c>
      <c r="BS373" t="s" s="0">
        <v>9053</v>
      </c>
      <c r="BT373" t="s" s="743">
        <f>HYPERLINK("https://www.webofscience.com/wos/woscc/full-record/WOS:000768844600002","View Record in Web of Science")</f>
        <v>120</v>
      </c>
      <c r="BU373" t="s" s="0">
        <v>121</v>
      </c>
      <c r="BV373" t="s" s="0">
        <v>82</v>
      </c>
      <c r="BW373" t="s" s="0">
        <v>82</v>
      </c>
      <c r="BX373" t="s" s="0">
        <v>122</v>
      </c>
    </row>
    <row r="374">
      <c r="A374" t="s" s="0">
        <v>447</v>
      </c>
      <c r="B374" t="s" s="0">
        <v>78</v>
      </c>
      <c r="C374" t="s" s="0">
        <v>78</v>
      </c>
      <c r="D374" t="s" s="0">
        <v>78</v>
      </c>
      <c r="E374" t="s" s="0">
        <v>9054</v>
      </c>
      <c r="F374" t="s" s="0">
        <v>9055</v>
      </c>
      <c r="G374" t="s" s="0">
        <v>9056</v>
      </c>
      <c r="H374" t="s" s="0">
        <v>82</v>
      </c>
      <c r="I374" t="s" s="0">
        <v>83</v>
      </c>
      <c r="J374" t="s" s="0">
        <v>9057</v>
      </c>
      <c r="K374" t="s" s="0">
        <v>9058</v>
      </c>
      <c r="L374" t="s" s="0">
        <v>9059</v>
      </c>
      <c r="M374" t="s" s="0">
        <v>9060</v>
      </c>
      <c r="N374" t="s" s="0">
        <v>9061</v>
      </c>
      <c r="O374" t="s" s="0">
        <v>9062</v>
      </c>
      <c r="P374" t="s" s="0">
        <v>8693</v>
      </c>
      <c r="Q374" t="s" s="0">
        <v>91</v>
      </c>
      <c r="R374" t="s" s="0">
        <v>82</v>
      </c>
      <c r="S374" t="s" s="0">
        <v>82</v>
      </c>
      <c r="T374" t="s" s="0">
        <v>82</v>
      </c>
      <c r="U374" t="s" s="0">
        <v>82</v>
      </c>
      <c r="V374" t="s" s="0">
        <v>9063</v>
      </c>
      <c r="W374" t="s" s="0">
        <v>9064</v>
      </c>
      <c r="X374" t="s" s="0">
        <v>82</v>
      </c>
      <c r="Y374" t="s" s="0">
        <v>82</v>
      </c>
      <c r="Z374" t="s" s="0">
        <v>94</v>
      </c>
      <c r="AA374" t="s" s="0">
        <v>95</v>
      </c>
      <c r="AB374" t="s" s="0">
        <v>82</v>
      </c>
      <c r="AC374" t="s" s="0">
        <v>82</v>
      </c>
      <c r="AD374" t="s" s="0">
        <v>82</v>
      </c>
      <c r="AE374" t="s" s="0">
        <v>82</v>
      </c>
      <c r="AF374" t="s" s="0">
        <v>82</v>
      </c>
      <c r="AG374" t="s" s="0">
        <v>9065</v>
      </c>
      <c r="AH374" t="s" s="0">
        <v>9066</v>
      </c>
      <c r="AI374" t="s" s="0">
        <v>9067</v>
      </c>
      <c r="AJ374" t="s" s="0">
        <v>9068</v>
      </c>
      <c r="AK374" t="s" s="0">
        <v>82</v>
      </c>
      <c r="AL374" t="s" s="0">
        <v>745</v>
      </c>
      <c r="AM374" t="s" s="0">
        <v>136</v>
      </c>
      <c r="AN374" t="s" s="0">
        <v>149</v>
      </c>
      <c r="AO374" t="s" s="0">
        <v>78</v>
      </c>
      <c r="AP374" t="s" s="0">
        <v>831</v>
      </c>
      <c r="AQ374" t="s" s="0">
        <v>6317</v>
      </c>
      <c r="AR374" t="s" s="0">
        <v>6318</v>
      </c>
      <c r="AS374" t="s" s="0">
        <v>6319</v>
      </c>
      <c r="AT374" t="s" s="0">
        <v>9069</v>
      </c>
      <c r="AU374" t="s" s="0">
        <v>9070</v>
      </c>
      <c r="AV374" t="s" s="0">
        <v>82</v>
      </c>
      <c r="AW374" t="s" s="0">
        <v>9071</v>
      </c>
      <c r="AX374" t="s" s="0">
        <v>9072</v>
      </c>
      <c r="AY374" t="s" s="0">
        <v>804</v>
      </c>
      <c r="AZ374" t="s" s="0">
        <v>210</v>
      </c>
      <c r="BA374" t="s" s="0">
        <v>9073</v>
      </c>
      <c r="BB374" t="s" s="0">
        <v>319</v>
      </c>
      <c r="BC374" t="s" s="0">
        <v>82</v>
      </c>
      <c r="BD374" t="s" s="0">
        <v>82</v>
      </c>
      <c r="BE374" t="s" s="0">
        <v>82</v>
      </c>
      <c r="BF374" t="s" s="0">
        <v>82</v>
      </c>
      <c r="BG374" t="s" s="0">
        <v>9074</v>
      </c>
      <c r="BH374" t="s" s="0">
        <v>9075</v>
      </c>
      <c r="BI374" t="s" s="0">
        <v>82</v>
      </c>
      <c r="BJ374" t="s" s="0">
        <v>9076</v>
      </c>
      <c r="BK374" t="s" s="744">
        <f>HYPERLINK("http://dx.doi.org/10.1007/s11547-023-01683-w","http://dx.doi.org/10.1007/s11547-023-01683-w")</f>
        <v>9077</v>
      </c>
      <c r="BL374" t="s" s="0">
        <v>82</v>
      </c>
      <c r="BM374" t="s" s="0">
        <v>810</v>
      </c>
      <c r="BN374" t="s" s="0">
        <v>115</v>
      </c>
      <c r="BO374" t="s" s="0">
        <v>414</v>
      </c>
      <c r="BP374" t="s" s="0">
        <v>414</v>
      </c>
      <c r="BQ374" t="s" s="0">
        <v>9078</v>
      </c>
      <c r="BR374" t="s" s="0">
        <v>9079</v>
      </c>
      <c r="BS374" t="s" s="0">
        <v>9080</v>
      </c>
      <c r="BT374" t="s" s="745">
        <f>HYPERLINK("https://www.webofscience.com/wos/woscc/full-record/WOS:001031580400002","View Record in Web of Science")</f>
        <v>120</v>
      </c>
      <c r="BU374" t="s" s="0">
        <v>82</v>
      </c>
      <c r="BV374" t="s" s="0">
        <v>82</v>
      </c>
      <c r="BW374" t="s" s="0">
        <v>82</v>
      </c>
      <c r="BX374" t="s" s="0">
        <v>122</v>
      </c>
    </row>
    <row r="375">
      <c r="A375" t="s" s="0">
        <v>102</v>
      </c>
      <c r="B375" t="s" s="0">
        <v>78</v>
      </c>
      <c r="C375" t="s" s="0">
        <v>1026</v>
      </c>
      <c r="D375" t="s" s="0">
        <v>78</v>
      </c>
      <c r="E375" t="s" s="0">
        <v>9081</v>
      </c>
      <c r="F375" t="s" s="0">
        <v>9082</v>
      </c>
      <c r="G375" t="s" s="0">
        <v>9083</v>
      </c>
      <c r="H375" t="s" s="0">
        <v>82</v>
      </c>
      <c r="I375" t="s" s="0">
        <v>83</v>
      </c>
      <c r="J375" t="s" s="0">
        <v>9084</v>
      </c>
      <c r="K375" t="s" s="0">
        <v>9085</v>
      </c>
      <c r="L375" t="s" s="0">
        <v>9086</v>
      </c>
      <c r="M375" t="s" s="0">
        <v>9086</v>
      </c>
      <c r="N375" t="s" s="0">
        <v>9086</v>
      </c>
      <c r="O375" t="s" s="0">
        <v>9087</v>
      </c>
      <c r="P375" t="s" s="0">
        <v>9088</v>
      </c>
      <c r="Q375" t="s" s="0">
        <v>91</v>
      </c>
      <c r="R375" t="s" s="0">
        <v>82</v>
      </c>
      <c r="S375" t="s" s="0">
        <v>82</v>
      </c>
      <c r="T375" t="s" s="0">
        <v>82</v>
      </c>
      <c r="U375" t="s" s="0">
        <v>82</v>
      </c>
      <c r="V375" t="s" s="0">
        <v>9089</v>
      </c>
      <c r="W375" t="s" s="0">
        <v>269</v>
      </c>
      <c r="X375" t="s" s="0">
        <v>82</v>
      </c>
      <c r="Y375" t="s" s="0">
        <v>82</v>
      </c>
      <c r="Z375" t="s" s="0">
        <v>94</v>
      </c>
      <c r="AA375" t="s" s="0">
        <v>95</v>
      </c>
      <c r="AB375" t="s" s="0">
        <v>82</v>
      </c>
      <c r="AC375" t="s" s="0">
        <v>82</v>
      </c>
      <c r="AD375" t="s" s="0">
        <v>82</v>
      </c>
      <c r="AE375" t="s" s="0">
        <v>82</v>
      </c>
      <c r="AF375" t="s" s="0">
        <v>82</v>
      </c>
      <c r="AG375" t="s" s="0">
        <v>82</v>
      </c>
      <c r="AH375" t="s" s="0">
        <v>9090</v>
      </c>
      <c r="AI375" t="s" s="0">
        <v>9091</v>
      </c>
      <c r="AJ375" t="s" s="0">
        <v>9092</v>
      </c>
      <c r="AK375" t="s" s="0">
        <v>82</v>
      </c>
      <c r="AL375" t="s" s="0">
        <v>828</v>
      </c>
      <c r="AM375" t="s" s="0">
        <v>2089</v>
      </c>
      <c r="AN375" t="s" s="0">
        <v>5455</v>
      </c>
      <c r="AO375" t="s" s="0">
        <v>77</v>
      </c>
      <c r="AP375" t="s" s="0">
        <v>238</v>
      </c>
      <c r="AQ375" t="s" s="0">
        <v>277</v>
      </c>
      <c r="AR375" t="s" s="0">
        <v>278</v>
      </c>
      <c r="AS375" t="s" s="0">
        <v>279</v>
      </c>
      <c r="AT375" t="s" s="0">
        <v>82</v>
      </c>
      <c r="AU375" t="s" s="0">
        <v>280</v>
      </c>
      <c r="AV375" t="s" s="0">
        <v>82</v>
      </c>
      <c r="AW375" t="s" s="0">
        <v>281</v>
      </c>
      <c r="AX375" t="s" s="0">
        <v>282</v>
      </c>
      <c r="AY375" t="s" s="0">
        <v>7719</v>
      </c>
      <c r="AZ375" t="s" s="0">
        <v>1035</v>
      </c>
      <c r="BA375" t="s" s="0">
        <v>447</v>
      </c>
      <c r="BB375" t="s" s="0">
        <v>375</v>
      </c>
      <c r="BC375" t="s" s="0">
        <v>82</v>
      </c>
      <c r="BD375" t="s" s="0">
        <v>82</v>
      </c>
      <c r="BE375" t="s" s="0">
        <v>82</v>
      </c>
      <c r="BF375" t="s" s="0">
        <v>82</v>
      </c>
      <c r="BG375" t="s" s="0">
        <v>9093</v>
      </c>
      <c r="BH375" t="s" s="0">
        <v>9094</v>
      </c>
      <c r="BI375" t="s" s="0">
        <v>82</v>
      </c>
      <c r="BJ375" t="s" s="0">
        <v>82</v>
      </c>
      <c r="BK375" t="s" s="0">
        <v>82</v>
      </c>
      <c r="BL375" t="s" s="0">
        <v>82</v>
      </c>
      <c r="BM375" t="s" s="0">
        <v>82</v>
      </c>
      <c r="BN375" t="s" s="0">
        <v>137</v>
      </c>
      <c r="BO375" t="s" s="0">
        <v>289</v>
      </c>
      <c r="BP375" t="s" s="0">
        <v>290</v>
      </c>
      <c r="BQ375" t="s" s="0">
        <v>9095</v>
      </c>
      <c r="BR375" t="s" s="0">
        <v>9096</v>
      </c>
      <c r="BS375" t="s" s="0">
        <v>9097</v>
      </c>
      <c r="BT375" t="s" s="746">
        <f>HYPERLINK("https://www.webofscience.com/wos/woscc/full-record/WOS:000535366700015","View Record in Web of Science")</f>
        <v>120</v>
      </c>
      <c r="BU375" t="s" s="0">
        <v>1008</v>
      </c>
      <c r="BV375" t="s" s="0">
        <v>82</v>
      </c>
      <c r="BW375" t="s" s="0">
        <v>82</v>
      </c>
      <c r="BX375" t="s" s="0">
        <v>122</v>
      </c>
    </row>
    <row r="376">
      <c r="A376" t="s" s="0">
        <v>78</v>
      </c>
      <c r="B376" t="s" s="0">
        <v>78</v>
      </c>
      <c r="C376" t="s" s="0">
        <v>78</v>
      </c>
      <c r="D376" t="s" s="0">
        <v>78</v>
      </c>
      <c r="E376" t="s" s="0">
        <v>9098</v>
      </c>
      <c r="F376" t="s" s="0">
        <v>9099</v>
      </c>
      <c r="G376" t="s" s="0">
        <v>9100</v>
      </c>
      <c r="H376" t="s" s="0">
        <v>82</v>
      </c>
      <c r="I376" t="s" s="0">
        <v>83</v>
      </c>
      <c r="J376" t="s" s="0">
        <v>9101</v>
      </c>
      <c r="K376" t="s" s="0">
        <v>9102</v>
      </c>
      <c r="L376" t="s" s="0">
        <v>9103</v>
      </c>
      <c r="M376" t="s" s="0">
        <v>9104</v>
      </c>
      <c r="N376" t="s" s="0">
        <v>9105</v>
      </c>
      <c r="O376" t="s" s="0">
        <v>9106</v>
      </c>
      <c r="P376" t="s" s="0">
        <v>9107</v>
      </c>
      <c r="Q376" t="s" s="0">
        <v>91</v>
      </c>
      <c r="R376" t="s" s="0">
        <v>82</v>
      </c>
      <c r="S376" t="s" s="0">
        <v>82</v>
      </c>
      <c r="T376" t="s" s="0">
        <v>82</v>
      </c>
      <c r="U376" t="s" s="0">
        <v>82</v>
      </c>
      <c r="V376" t="s" s="0">
        <v>9108</v>
      </c>
      <c r="W376" t="s" s="0">
        <v>9109</v>
      </c>
      <c r="X376" t="s" s="0">
        <v>82</v>
      </c>
      <c r="Y376" t="s" s="0">
        <v>82</v>
      </c>
      <c r="Z376" t="s" s="0">
        <v>94</v>
      </c>
      <c r="AA376" t="s" s="0">
        <v>95</v>
      </c>
      <c r="AB376" t="s" s="0">
        <v>82</v>
      </c>
      <c r="AC376" t="s" s="0">
        <v>82</v>
      </c>
      <c r="AD376" t="s" s="0">
        <v>82</v>
      </c>
      <c r="AE376" t="s" s="0">
        <v>82</v>
      </c>
      <c r="AF376" t="s" s="0">
        <v>82</v>
      </c>
      <c r="AG376" t="s" s="0">
        <v>9110</v>
      </c>
      <c r="AH376" t="s" s="0">
        <v>82</v>
      </c>
      <c r="AI376" t="s" s="0">
        <v>9111</v>
      </c>
      <c r="AJ376" t="s" s="0">
        <v>82</v>
      </c>
      <c r="AK376" t="s" s="0">
        <v>82</v>
      </c>
      <c r="AL376" t="s" s="0">
        <v>273</v>
      </c>
      <c r="AM376" t="s" s="0">
        <v>77</v>
      </c>
      <c r="AN376" t="s" s="0">
        <v>77</v>
      </c>
      <c r="AO376" t="s" s="0">
        <v>221</v>
      </c>
      <c r="AP376" t="s" s="0">
        <v>221</v>
      </c>
      <c r="AQ376" t="s" s="0">
        <v>832</v>
      </c>
      <c r="AR376" t="s" s="0">
        <v>833</v>
      </c>
      <c r="AS376" t="s" s="0">
        <v>834</v>
      </c>
      <c r="AT376" t="s" s="0">
        <v>9112</v>
      </c>
      <c r="AU376" t="s" s="0">
        <v>9113</v>
      </c>
      <c r="AV376" t="s" s="0">
        <v>82</v>
      </c>
      <c r="AW376" t="s" s="0">
        <v>9109</v>
      </c>
      <c r="AX376" t="s" s="0">
        <v>9109</v>
      </c>
      <c r="AY376" t="s" s="0">
        <v>9114</v>
      </c>
      <c r="AZ376" t="s" s="0">
        <v>181</v>
      </c>
      <c r="BA376" t="s" s="0">
        <v>4998</v>
      </c>
      <c r="BB376" t="s" s="0">
        <v>319</v>
      </c>
      <c r="BC376" t="s" s="0">
        <v>82</v>
      </c>
      <c r="BD376" t="s" s="0">
        <v>82</v>
      </c>
      <c r="BE376" t="s" s="0">
        <v>82</v>
      </c>
      <c r="BF376" t="s" s="0">
        <v>82</v>
      </c>
      <c r="BG376" t="s" s="0">
        <v>9115</v>
      </c>
      <c r="BH376" t="s" s="0">
        <v>9116</v>
      </c>
      <c r="BI376" t="s" s="0">
        <v>82</v>
      </c>
      <c r="BJ376" t="s" s="0">
        <v>9117</v>
      </c>
      <c r="BK376" t="s" s="747">
        <f>HYPERLINK("http://dx.doi.org/10.1097/BRS.0000000000005639","http://dx.doi.org/10.1097/BRS.0000000000005639")</f>
        <v>9118</v>
      </c>
      <c r="BL376" t="s" s="0">
        <v>82</v>
      </c>
      <c r="BM376" t="s" s="0">
        <v>82</v>
      </c>
      <c r="BN376" t="s" s="0">
        <v>149</v>
      </c>
      <c r="BO376" t="s" s="0">
        <v>2062</v>
      </c>
      <c r="BP376" t="s" s="0">
        <v>2063</v>
      </c>
      <c r="BQ376" t="s" s="0">
        <v>9119</v>
      </c>
      <c r="BR376" t="s" s="0">
        <v>9120</v>
      </c>
      <c r="BS376" t="s" s="0">
        <v>9121</v>
      </c>
      <c r="BT376" t="s" s="748">
        <f>HYPERLINK("https://www.webofscience.com/wos/woscc/full-record/WOS:001736060200003","View Record in Web of Science")</f>
        <v>120</v>
      </c>
      <c r="BU376" t="s" s="0">
        <v>1265</v>
      </c>
      <c r="BV376" t="s" s="0">
        <v>82</v>
      </c>
      <c r="BW376" t="s" s="0">
        <v>82</v>
      </c>
      <c r="BX376" t="s" s="0">
        <v>122</v>
      </c>
    </row>
    <row r="377">
      <c r="A377" t="s" s="0">
        <v>101</v>
      </c>
      <c r="B377" t="s" s="0">
        <v>78</v>
      </c>
      <c r="C377" t="s" s="0">
        <v>447</v>
      </c>
      <c r="D377" t="s" s="0">
        <v>78</v>
      </c>
      <c r="E377" t="s" s="0">
        <v>9122</v>
      </c>
      <c r="F377" t="s" s="0">
        <v>9123</v>
      </c>
      <c r="G377" t="s" s="0">
        <v>9124</v>
      </c>
      <c r="H377" t="s" s="0">
        <v>82</v>
      </c>
      <c r="I377" t="s" s="0">
        <v>83</v>
      </c>
      <c r="J377" t="s" s="0">
        <v>9125</v>
      </c>
      <c r="K377" t="s" s="0">
        <v>9126</v>
      </c>
      <c r="L377" t="s" s="0">
        <v>9127</v>
      </c>
      <c r="M377" t="s" s="0">
        <v>9128</v>
      </c>
      <c r="N377" t="s" s="0">
        <v>9129</v>
      </c>
      <c r="O377" t="s" s="0">
        <v>9130</v>
      </c>
      <c r="P377" t="s" s="0">
        <v>9131</v>
      </c>
      <c r="Q377" t="s" s="0">
        <v>91</v>
      </c>
      <c r="R377" t="s" s="0">
        <v>82</v>
      </c>
      <c r="S377" t="s" s="0">
        <v>82</v>
      </c>
      <c r="T377" t="s" s="0">
        <v>82</v>
      </c>
      <c r="U377" t="s" s="0">
        <v>82</v>
      </c>
      <c r="V377" t="s" s="0">
        <v>9132</v>
      </c>
      <c r="W377" t="s" s="0">
        <v>6517</v>
      </c>
      <c r="X377" t="s" s="0">
        <v>82</v>
      </c>
      <c r="Y377" t="s" s="0">
        <v>82</v>
      </c>
      <c r="Z377" t="s" s="0">
        <v>94</v>
      </c>
      <c r="AA377" t="s" s="0">
        <v>95</v>
      </c>
      <c r="AB377" t="s" s="0">
        <v>82</v>
      </c>
      <c r="AC377" t="s" s="0">
        <v>82</v>
      </c>
      <c r="AD377" t="s" s="0">
        <v>82</v>
      </c>
      <c r="AE377" t="s" s="0">
        <v>82</v>
      </c>
      <c r="AF377" t="s" s="0">
        <v>82</v>
      </c>
      <c r="AG377" t="s" s="0">
        <v>9133</v>
      </c>
      <c r="AH377" t="s" s="0">
        <v>9134</v>
      </c>
      <c r="AI377" t="s" s="0">
        <v>9135</v>
      </c>
      <c r="AJ377" t="s" s="0">
        <v>9136</v>
      </c>
      <c r="AK377" t="s" s="0">
        <v>82</v>
      </c>
      <c r="AL377" t="s" s="0">
        <v>1161</v>
      </c>
      <c r="AM377" t="s" s="0">
        <v>311</v>
      </c>
      <c r="AN377" t="s" s="0">
        <v>374</v>
      </c>
      <c r="AO377" t="s" s="0">
        <v>78</v>
      </c>
      <c r="AP377" t="s" s="0">
        <v>154</v>
      </c>
      <c r="AQ377" t="s" s="0">
        <v>277</v>
      </c>
      <c r="AR377" t="s" s="0">
        <v>278</v>
      </c>
      <c r="AS377" t="s" s="0">
        <v>279</v>
      </c>
      <c r="AT377" t="s" s="0">
        <v>6522</v>
      </c>
      <c r="AU377" t="s" s="0">
        <v>82</v>
      </c>
      <c r="AV377" t="s" s="0">
        <v>82</v>
      </c>
      <c r="AW377" t="s" s="0">
        <v>6517</v>
      </c>
      <c r="AX377" t="s" s="0">
        <v>6523</v>
      </c>
      <c r="AY377" t="s" s="0">
        <v>728</v>
      </c>
      <c r="AZ377" t="s" s="0">
        <v>210</v>
      </c>
      <c r="BA377" t="s" s="0">
        <v>6451</v>
      </c>
      <c r="BB377" t="s" s="0">
        <v>82</v>
      </c>
      <c r="BC377" t="s" s="0">
        <v>82</v>
      </c>
      <c r="BD377" t="s" s="0">
        <v>82</v>
      </c>
      <c r="BE377" t="s" s="0">
        <v>82</v>
      </c>
      <c r="BF377" t="s" s="0">
        <v>82</v>
      </c>
      <c r="BG377" t="s" s="0">
        <v>82</v>
      </c>
      <c r="BH377" t="s" s="0">
        <v>82</v>
      </c>
      <c r="BI377" t="s" s="0">
        <v>9137</v>
      </c>
      <c r="BJ377" t="s" s="0">
        <v>9138</v>
      </c>
      <c r="BK377" t="s" s="749">
        <f>HYPERLINK("http://dx.doi.org/10.1016/j.ebiom.2022.104422","http://dx.doi.org/10.1016/j.ebiom.2022.104422")</f>
        <v>9139</v>
      </c>
      <c r="BL377" t="s" s="0">
        <v>82</v>
      </c>
      <c r="BM377" t="s" s="0">
        <v>3032</v>
      </c>
      <c r="BN377" t="s" s="0">
        <v>349</v>
      </c>
      <c r="BO377" t="s" s="0">
        <v>6527</v>
      </c>
      <c r="BP377" t="s" s="0">
        <v>6528</v>
      </c>
      <c r="BQ377" t="s" s="0">
        <v>9140</v>
      </c>
      <c r="BR377" t="s" s="0">
        <v>9141</v>
      </c>
      <c r="BS377" t="s" s="0">
        <v>9142</v>
      </c>
      <c r="BT377" t="s" s="750">
        <f>HYPERLINK("https://www.webofscience.com/wos/woscc/full-record/WOS:000911497700001","View Record in Web of Science")</f>
        <v>120</v>
      </c>
      <c r="BU377" t="s" s="0">
        <v>121</v>
      </c>
      <c r="BV377" t="s" s="0">
        <v>82</v>
      </c>
      <c r="BW377" t="s" s="0">
        <v>82</v>
      </c>
      <c r="BX377" t="s" s="0">
        <v>122</v>
      </c>
    </row>
    <row r="378">
      <c r="A378" t="s" s="0">
        <v>78</v>
      </c>
      <c r="B378" t="s" s="0">
        <v>78</v>
      </c>
      <c r="C378" t="s" s="0">
        <v>77</v>
      </c>
      <c r="D378" t="s" s="0">
        <v>78</v>
      </c>
      <c r="E378" t="s" s="0">
        <v>9143</v>
      </c>
      <c r="F378" t="s" s="0">
        <v>9144</v>
      </c>
      <c r="G378" t="s" s="0">
        <v>9145</v>
      </c>
      <c r="H378" t="s" s="0">
        <v>82</v>
      </c>
      <c r="I378" t="s" s="0">
        <v>83</v>
      </c>
      <c r="J378" t="s" s="0">
        <v>9146</v>
      </c>
      <c r="K378" t="s" s="0">
        <v>9147</v>
      </c>
      <c r="L378" t="s" s="0">
        <v>82</v>
      </c>
      <c r="M378" t="s" s="0">
        <v>82</v>
      </c>
      <c r="N378" t="s" s="0">
        <v>82</v>
      </c>
      <c r="O378" t="s" s="0">
        <v>9148</v>
      </c>
      <c r="P378" t="s" s="0">
        <v>9149</v>
      </c>
      <c r="Q378" t="s" s="0">
        <v>91</v>
      </c>
      <c r="R378" t="s" s="0">
        <v>82</v>
      </c>
      <c r="S378" t="s" s="0">
        <v>82</v>
      </c>
      <c r="T378" t="s" s="0">
        <v>82</v>
      </c>
      <c r="U378" t="s" s="0">
        <v>82</v>
      </c>
      <c r="V378" t="s" s="0">
        <v>9150</v>
      </c>
      <c r="W378" t="s" s="0">
        <v>4111</v>
      </c>
      <c r="X378" t="s" s="0">
        <v>82</v>
      </c>
      <c r="Y378" t="s" s="0">
        <v>82</v>
      </c>
      <c r="Z378" t="s" s="0">
        <v>94</v>
      </c>
      <c r="AA378" t="s" s="0">
        <v>95</v>
      </c>
      <c r="AB378" t="s" s="0">
        <v>82</v>
      </c>
      <c r="AC378" t="s" s="0">
        <v>82</v>
      </c>
      <c r="AD378" t="s" s="0">
        <v>82</v>
      </c>
      <c r="AE378" t="s" s="0">
        <v>82</v>
      </c>
      <c r="AF378" t="s" s="0">
        <v>82</v>
      </c>
      <c r="AG378" t="s" s="0">
        <v>9151</v>
      </c>
      <c r="AH378" t="s" s="0">
        <v>9152</v>
      </c>
      <c r="AI378" t="s" s="0">
        <v>9153</v>
      </c>
      <c r="AJ378" t="s" s="0">
        <v>82</v>
      </c>
      <c r="AK378" t="s" s="0">
        <v>82</v>
      </c>
      <c r="AL378" t="s" s="0">
        <v>148</v>
      </c>
      <c r="AM378" t="s" s="0">
        <v>137</v>
      </c>
      <c r="AN378" t="s" s="0">
        <v>137</v>
      </c>
      <c r="AO378" t="s" s="0">
        <v>77</v>
      </c>
      <c r="AP378" t="s" s="0">
        <v>101</v>
      </c>
      <c r="AQ378" t="s" s="0">
        <v>2051</v>
      </c>
      <c r="AR378" t="s" s="0">
        <v>203</v>
      </c>
      <c r="AS378" t="s" s="0">
        <v>2052</v>
      </c>
      <c r="AT378" t="s" s="0">
        <v>4116</v>
      </c>
      <c r="AU378" t="s" s="0">
        <v>4117</v>
      </c>
      <c r="AV378" t="s" s="0">
        <v>82</v>
      </c>
      <c r="AW378" t="s" s="0">
        <v>4118</v>
      </c>
      <c r="AX378" t="s" s="0">
        <v>4119</v>
      </c>
      <c r="AY378" t="s" s="0">
        <v>376</v>
      </c>
      <c r="AZ378" t="s" s="0">
        <v>110</v>
      </c>
      <c r="BA378" t="s" s="0">
        <v>463</v>
      </c>
      <c r="BB378" t="s" s="0">
        <v>221</v>
      </c>
      <c r="BC378" t="s" s="0">
        <v>82</v>
      </c>
      <c r="BD378" t="s" s="0">
        <v>82</v>
      </c>
      <c r="BE378" t="s" s="0">
        <v>82</v>
      </c>
      <c r="BF378" t="s" s="0">
        <v>82</v>
      </c>
      <c r="BG378" t="s" s="0">
        <v>9154</v>
      </c>
      <c r="BH378" t="s" s="0">
        <v>9155</v>
      </c>
      <c r="BI378" t="s" s="0">
        <v>82</v>
      </c>
      <c r="BJ378" t="s" s="0">
        <v>9156</v>
      </c>
      <c r="BK378" t="s" s="751">
        <f>HYPERLINK("http://dx.doi.org/10.1007/s00261-024-04280-1","http://dx.doi.org/10.1007/s00261-024-04280-1")</f>
        <v>9157</v>
      </c>
      <c r="BL378" t="s" s="0">
        <v>82</v>
      </c>
      <c r="BM378" t="s" s="0">
        <v>668</v>
      </c>
      <c r="BN378" t="s" s="0">
        <v>137</v>
      </c>
      <c r="BO378" t="s" s="0">
        <v>414</v>
      </c>
      <c r="BP378" t="s" s="0">
        <v>414</v>
      </c>
      <c r="BQ378" t="s" s="0">
        <v>9158</v>
      </c>
      <c r="BR378" t="s" s="0">
        <v>9159</v>
      </c>
      <c r="BS378" t="s" s="0">
        <v>9160</v>
      </c>
      <c r="BT378" t="s" s="752">
        <f>HYPERLINK("https://www.webofscience.com/wos/woscc/full-record/WOS:001207088700004","View Record in Web of Science")</f>
        <v>120</v>
      </c>
      <c r="BU378" t="s" s="0">
        <v>82</v>
      </c>
      <c r="BV378" t="s" s="0">
        <v>82</v>
      </c>
      <c r="BW378" t="s" s="0">
        <v>82</v>
      </c>
      <c r="BX378" t="s" s="0">
        <v>122</v>
      </c>
    </row>
    <row r="379">
      <c r="A379" t="s" s="0">
        <v>78</v>
      </c>
      <c r="B379" t="s" s="0">
        <v>78</v>
      </c>
      <c r="C379" t="s" s="0">
        <v>78</v>
      </c>
      <c r="D379" t="s" s="0">
        <v>78</v>
      </c>
      <c r="E379" t="s" s="0">
        <v>9161</v>
      </c>
      <c r="F379" t="s" s="0">
        <v>9162</v>
      </c>
      <c r="G379" t="s" s="0">
        <v>9163</v>
      </c>
      <c r="H379" t="s" s="0">
        <v>82</v>
      </c>
      <c r="I379" t="s" s="0">
        <v>83</v>
      </c>
      <c r="J379" t="s" s="0">
        <v>9164</v>
      </c>
      <c r="K379" t="s" s="0">
        <v>9165</v>
      </c>
      <c r="L379" t="s" s="0">
        <v>9166</v>
      </c>
      <c r="M379" t="s" s="0">
        <v>9167</v>
      </c>
      <c r="N379" t="s" s="0">
        <v>9168</v>
      </c>
      <c r="O379" t="s" s="0">
        <v>9169</v>
      </c>
      <c r="P379" t="s" s="0">
        <v>9170</v>
      </c>
      <c r="Q379" t="s" s="0">
        <v>91</v>
      </c>
      <c r="R379" t="s" s="0">
        <v>82</v>
      </c>
      <c r="S379" t="s" s="0">
        <v>82</v>
      </c>
      <c r="T379" t="s" s="0">
        <v>82</v>
      </c>
      <c r="U379" t="s" s="0">
        <v>82</v>
      </c>
      <c r="V379" t="s" s="0">
        <v>9171</v>
      </c>
      <c r="W379" t="s" s="0">
        <v>3565</v>
      </c>
      <c r="X379" t="s" s="0">
        <v>82</v>
      </c>
      <c r="Y379" t="s" s="0">
        <v>82</v>
      </c>
      <c r="Z379" t="s" s="0">
        <v>94</v>
      </c>
      <c r="AA379" t="s" s="0">
        <v>95</v>
      </c>
      <c r="AB379" t="s" s="0">
        <v>82</v>
      </c>
      <c r="AC379" t="s" s="0">
        <v>82</v>
      </c>
      <c r="AD379" t="s" s="0">
        <v>82</v>
      </c>
      <c r="AE379" t="s" s="0">
        <v>82</v>
      </c>
      <c r="AF379" t="s" s="0">
        <v>82</v>
      </c>
      <c r="AG379" t="s" s="0">
        <v>9172</v>
      </c>
      <c r="AH379" t="s" s="0">
        <v>82</v>
      </c>
      <c r="AI379" t="s" s="0">
        <v>82</v>
      </c>
      <c r="AJ379" t="s" s="0">
        <v>82</v>
      </c>
      <c r="AK379" t="s" s="0">
        <v>82</v>
      </c>
      <c r="AL379" t="s" s="0">
        <v>201</v>
      </c>
      <c r="AM379" t="s" s="0">
        <v>78</v>
      </c>
      <c r="AN379" t="s" s="0">
        <v>78</v>
      </c>
      <c r="AO379" t="s" s="0">
        <v>78</v>
      </c>
      <c r="AP379" t="s" s="0">
        <v>78</v>
      </c>
      <c r="AQ379" t="s" s="0">
        <v>2484</v>
      </c>
      <c r="AR379" t="s" s="0">
        <v>2485</v>
      </c>
      <c r="AS379" t="s" s="0">
        <v>2486</v>
      </c>
      <c r="AT379" t="s" s="0">
        <v>82</v>
      </c>
      <c r="AU379" t="s" s="0">
        <v>3568</v>
      </c>
      <c r="AV379" t="s" s="0">
        <v>82</v>
      </c>
      <c r="AW379" t="s" s="0">
        <v>3569</v>
      </c>
      <c r="AX379" t="s" s="0">
        <v>3570</v>
      </c>
      <c r="AY379" t="s" s="0">
        <v>9173</v>
      </c>
      <c r="AZ379" t="s" s="0">
        <v>181</v>
      </c>
      <c r="BA379" t="s" s="0">
        <v>115</v>
      </c>
      <c r="BB379" t="s" s="0">
        <v>82</v>
      </c>
      <c r="BC379" t="s" s="0">
        <v>82</v>
      </c>
      <c r="BD379" t="s" s="0">
        <v>82</v>
      </c>
      <c r="BE379" t="s" s="0">
        <v>82</v>
      </c>
      <c r="BF379" t="s" s="0">
        <v>82</v>
      </c>
      <c r="BG379" t="s" s="0">
        <v>82</v>
      </c>
      <c r="BH379" t="s" s="0">
        <v>82</v>
      </c>
      <c r="BI379" t="s" s="0">
        <v>9174</v>
      </c>
      <c r="BJ379" t="s" s="0">
        <v>9175</v>
      </c>
      <c r="BK379" t="s" s="753">
        <f>HYPERLINK("http://dx.doi.org/10.3389/fmed.2026.1904678","http://dx.doi.org/10.3389/fmed.2026.1904678")</f>
        <v>9176</v>
      </c>
      <c r="BL379" t="s" s="0">
        <v>82</v>
      </c>
      <c r="BM379" t="s" s="0">
        <v>82</v>
      </c>
      <c r="BN379" t="s" s="0">
        <v>245</v>
      </c>
      <c r="BO379" t="s" s="0">
        <v>354</v>
      </c>
      <c r="BP379" t="s" s="0">
        <v>355</v>
      </c>
      <c r="BQ379" t="s" s="0">
        <v>9177</v>
      </c>
      <c r="BR379" t="s" s="0">
        <v>82</v>
      </c>
      <c r="BS379" t="s" s="0">
        <v>9178</v>
      </c>
      <c r="BT379" t="s" s="754">
        <f>HYPERLINK("https://www.webofscience.com/wos/woscc/full-record/WOS:001850927000001","View Record in Web of Science")</f>
        <v>120</v>
      </c>
      <c r="BU379" t="s" s="0">
        <v>1008</v>
      </c>
      <c r="BV379" t="s" s="0">
        <v>82</v>
      </c>
      <c r="BW379" t="s" s="0">
        <v>82</v>
      </c>
      <c r="BX379" t="s" s="0">
        <v>122</v>
      </c>
    </row>
    <row r="380">
      <c r="A380" t="s" s="0">
        <v>78</v>
      </c>
      <c r="B380" t="s" s="0">
        <v>78</v>
      </c>
      <c r="C380" t="s" s="0">
        <v>375</v>
      </c>
      <c r="D380" t="s" s="0">
        <v>78</v>
      </c>
      <c r="E380" t="s" s="0">
        <v>9179</v>
      </c>
      <c r="F380" t="s" s="0">
        <v>9180</v>
      </c>
      <c r="G380" t="s" s="0">
        <v>9181</v>
      </c>
      <c r="H380" t="s" s="0">
        <v>82</v>
      </c>
      <c r="I380" t="s" s="0">
        <v>83</v>
      </c>
      <c r="J380" t="s" s="0">
        <v>9182</v>
      </c>
      <c r="K380" t="s" s="0">
        <v>9183</v>
      </c>
      <c r="L380" t="s" s="0">
        <v>9184</v>
      </c>
      <c r="M380" t="s" s="0">
        <v>9184</v>
      </c>
      <c r="N380" t="s" s="0">
        <v>9185</v>
      </c>
      <c r="O380" t="s" s="0">
        <v>9186</v>
      </c>
      <c r="P380" t="s" s="0">
        <v>9187</v>
      </c>
      <c r="Q380" t="s" s="0">
        <v>91</v>
      </c>
      <c r="R380" t="s" s="0">
        <v>82</v>
      </c>
      <c r="S380" t="s" s="0">
        <v>82</v>
      </c>
      <c r="T380" t="s" s="0">
        <v>82</v>
      </c>
      <c r="U380" t="s" s="0">
        <v>82</v>
      </c>
      <c r="V380" t="s" s="0">
        <v>9188</v>
      </c>
      <c r="W380" t="s" s="0">
        <v>2046</v>
      </c>
      <c r="X380" t="s" s="0">
        <v>82</v>
      </c>
      <c r="Y380" t="s" s="0">
        <v>82</v>
      </c>
      <c r="Z380" t="s" s="0">
        <v>94</v>
      </c>
      <c r="AA380" t="s" s="0">
        <v>95</v>
      </c>
      <c r="AB380" t="s" s="0">
        <v>82</v>
      </c>
      <c r="AC380" t="s" s="0">
        <v>82</v>
      </c>
      <c r="AD380" t="s" s="0">
        <v>82</v>
      </c>
      <c r="AE380" t="s" s="0">
        <v>82</v>
      </c>
      <c r="AF380" t="s" s="0">
        <v>82</v>
      </c>
      <c r="AG380" t="s" s="0">
        <v>9189</v>
      </c>
      <c r="AH380" t="s" s="0">
        <v>9190</v>
      </c>
      <c r="AI380" t="s" s="0">
        <v>9191</v>
      </c>
      <c r="AJ380" t="s" s="0">
        <v>9192</v>
      </c>
      <c r="AK380" t="s" s="0">
        <v>82</v>
      </c>
      <c r="AL380" t="s" s="0">
        <v>830</v>
      </c>
      <c r="AM380" t="s" s="0">
        <v>273</v>
      </c>
      <c r="AN380" t="s" s="0">
        <v>238</v>
      </c>
      <c r="AO380" t="s" s="0">
        <v>78</v>
      </c>
      <c r="AP380" t="s" s="0">
        <v>245</v>
      </c>
      <c r="AQ380" t="s" s="0">
        <v>2051</v>
      </c>
      <c r="AR380" t="s" s="0">
        <v>203</v>
      </c>
      <c r="AS380" t="s" s="0">
        <v>2052</v>
      </c>
      <c r="AT380" t="s" s="0">
        <v>2053</v>
      </c>
      <c r="AU380" t="s" s="0">
        <v>2054</v>
      </c>
      <c r="AV380" t="s" s="0">
        <v>82</v>
      </c>
      <c r="AW380" t="s" s="0">
        <v>2055</v>
      </c>
      <c r="AX380" t="s" s="0">
        <v>2056</v>
      </c>
      <c r="AY380" t="s" s="0">
        <v>1482</v>
      </c>
      <c r="AZ380" t="s" s="0">
        <v>408</v>
      </c>
      <c r="BA380" t="s" s="0">
        <v>548</v>
      </c>
      <c r="BB380" t="s" s="0">
        <v>136</v>
      </c>
      <c r="BC380" t="s" s="0">
        <v>2057</v>
      </c>
      <c r="BD380" t="s" s="0">
        <v>82</v>
      </c>
      <c r="BE380" t="s" s="0">
        <v>82</v>
      </c>
      <c r="BF380" t="s" s="0">
        <v>82</v>
      </c>
      <c r="BG380" t="s" s="0">
        <v>9193</v>
      </c>
      <c r="BH380" t="s" s="0">
        <v>9194</v>
      </c>
      <c r="BI380" t="s" s="0">
        <v>82</v>
      </c>
      <c r="BJ380" t="s" s="0">
        <v>9195</v>
      </c>
      <c r="BK380" t="s" s="755">
        <f>HYPERLINK("http://dx.doi.org/10.1007/s00586-022-07311-x","http://dx.doi.org/10.1007/s00586-022-07311-x")</f>
        <v>9196</v>
      </c>
      <c r="BL380" t="s" s="0">
        <v>82</v>
      </c>
      <c r="BM380" t="s" s="0">
        <v>977</v>
      </c>
      <c r="BN380" t="s" s="0">
        <v>149</v>
      </c>
      <c r="BO380" t="s" s="0">
        <v>2062</v>
      </c>
      <c r="BP380" t="s" s="0">
        <v>2063</v>
      </c>
      <c r="BQ380" t="s" s="0">
        <v>2064</v>
      </c>
      <c r="BR380" t="s" s="0">
        <v>9197</v>
      </c>
      <c r="BS380" t="s" s="0">
        <v>9198</v>
      </c>
      <c r="BT380" t="s" s="756">
        <f>HYPERLINK("https://www.webofscience.com/wos/woscc/full-record/WOS:000825202800003","View Record in Web of Science")</f>
        <v>120</v>
      </c>
      <c r="BU380" t="s" s="0">
        <v>82</v>
      </c>
      <c r="BV380" t="s" s="0">
        <v>82</v>
      </c>
      <c r="BW380" t="s" s="0">
        <v>82</v>
      </c>
      <c r="BX380" t="s" s="0">
        <v>122</v>
      </c>
    </row>
    <row r="381">
      <c r="A381" t="s" s="0">
        <v>78</v>
      </c>
      <c r="B381" t="s" s="0">
        <v>78</v>
      </c>
      <c r="C381" t="s" s="0">
        <v>78</v>
      </c>
      <c r="D381" t="s" s="0">
        <v>78</v>
      </c>
      <c r="E381" t="s" s="0">
        <v>9199</v>
      </c>
      <c r="F381" t="s" s="0">
        <v>9200</v>
      </c>
      <c r="G381" t="s" s="0">
        <v>9201</v>
      </c>
      <c r="H381" t="s" s="0">
        <v>82</v>
      </c>
      <c r="I381" t="s" s="0">
        <v>297</v>
      </c>
      <c r="J381" t="s" s="0">
        <v>9202</v>
      </c>
      <c r="K381" t="s" s="0">
        <v>9203</v>
      </c>
      <c r="L381" t="s" s="0">
        <v>9204</v>
      </c>
      <c r="M381" t="s" s="0">
        <v>9205</v>
      </c>
      <c r="N381" t="s" s="0">
        <v>9206</v>
      </c>
      <c r="O381" t="s" s="0">
        <v>9207</v>
      </c>
      <c r="P381" t="s" s="0">
        <v>9208</v>
      </c>
      <c r="Q381" t="s" s="0">
        <v>91</v>
      </c>
      <c r="R381" t="s" s="0">
        <v>82</v>
      </c>
      <c r="S381" t="s" s="0">
        <v>82</v>
      </c>
      <c r="T381" t="s" s="0">
        <v>82</v>
      </c>
      <c r="U381" t="s" s="0">
        <v>82</v>
      </c>
      <c r="V381" t="s" s="0">
        <v>9209</v>
      </c>
      <c r="W381" t="s" s="0">
        <v>9210</v>
      </c>
      <c r="X381" t="s" s="0">
        <v>82</v>
      </c>
      <c r="Y381" t="s" s="0">
        <v>82</v>
      </c>
      <c r="Z381" t="s" s="0">
        <v>94</v>
      </c>
      <c r="AA381" t="s" s="0">
        <v>95</v>
      </c>
      <c r="AB381" t="s" s="0">
        <v>82</v>
      </c>
      <c r="AC381" t="s" s="0">
        <v>82</v>
      </c>
      <c r="AD381" t="s" s="0">
        <v>82</v>
      </c>
      <c r="AE381" t="s" s="0">
        <v>82</v>
      </c>
      <c r="AF381" t="s" s="0">
        <v>82</v>
      </c>
      <c r="AG381" t="s" s="0">
        <v>9211</v>
      </c>
      <c r="AH381" t="s" s="0">
        <v>9212</v>
      </c>
      <c r="AI381" t="s" s="0">
        <v>9213</v>
      </c>
      <c r="AJ381" t="s" s="0">
        <v>9214</v>
      </c>
      <c r="AK381" t="s" s="0">
        <v>82</v>
      </c>
      <c r="AL381" t="s" s="0">
        <v>2191</v>
      </c>
      <c r="AM381" t="s" s="0">
        <v>78</v>
      </c>
      <c r="AN381" t="s" s="0">
        <v>78</v>
      </c>
      <c r="AO381" t="s" s="0">
        <v>78</v>
      </c>
      <c r="AP381" t="s" s="0">
        <v>77</v>
      </c>
      <c r="AQ381" t="s" s="0">
        <v>174</v>
      </c>
      <c r="AR381" t="s" s="0">
        <v>175</v>
      </c>
      <c r="AS381" t="s" s="0">
        <v>176</v>
      </c>
      <c r="AT381" t="s" s="0">
        <v>82</v>
      </c>
      <c r="AU381" t="s" s="0">
        <v>9215</v>
      </c>
      <c r="AV381" t="s" s="0">
        <v>82</v>
      </c>
      <c r="AW381" t="s" s="0">
        <v>9216</v>
      </c>
      <c r="AX381" t="s" s="0">
        <v>9217</v>
      </c>
      <c r="AY381" t="s" s="0">
        <v>9218</v>
      </c>
      <c r="AZ381" t="s" s="0">
        <v>147</v>
      </c>
      <c r="BA381" t="s" s="0">
        <v>239</v>
      </c>
      <c r="BB381" t="s" s="0">
        <v>102</v>
      </c>
      <c r="BC381" t="s" s="0">
        <v>82</v>
      </c>
      <c r="BD381" t="s" s="0">
        <v>82</v>
      </c>
      <c r="BE381" t="s" s="0">
        <v>82</v>
      </c>
      <c r="BF381" t="s" s="0">
        <v>82</v>
      </c>
      <c r="BG381" t="s" s="0">
        <v>82</v>
      </c>
      <c r="BH381" t="s" s="0">
        <v>82</v>
      </c>
      <c r="BI381" t="s" s="0">
        <v>9219</v>
      </c>
      <c r="BJ381" t="s" s="0">
        <v>9220</v>
      </c>
      <c r="BK381" t="s" s="757">
        <f>HYPERLINK("http://dx.doi.org/10.1002/dad2.70219","http://dx.doi.org/10.1002/dad2.70219")</f>
        <v>9221</v>
      </c>
      <c r="BL381" t="s" s="0">
        <v>82</v>
      </c>
      <c r="BM381" t="s" s="0">
        <v>82</v>
      </c>
      <c r="BN381" t="s" s="0">
        <v>245</v>
      </c>
      <c r="BO381" t="s" s="0">
        <v>613</v>
      </c>
      <c r="BP381" t="s" s="0">
        <v>252</v>
      </c>
      <c r="BQ381" t="s" s="0">
        <v>9222</v>
      </c>
      <c r="BR381" t="s" s="0">
        <v>9223</v>
      </c>
      <c r="BS381" t="s" s="0">
        <v>9224</v>
      </c>
      <c r="BT381" t="s" s="758">
        <f>HYPERLINK("https://www.webofscience.com/wos/woscc/full-record/WOS:001616268800001","View Record in Web of Science")</f>
        <v>120</v>
      </c>
      <c r="BU381" t="s" s="0">
        <v>121</v>
      </c>
      <c r="BV381" t="s" s="0">
        <v>82</v>
      </c>
      <c r="BW381" t="s" s="0">
        <v>82</v>
      </c>
      <c r="BX381" t="s" s="0">
        <v>122</v>
      </c>
    </row>
    <row r="382">
      <c r="A382" t="s" s="0">
        <v>78</v>
      </c>
      <c r="B382" t="s" s="0">
        <v>78</v>
      </c>
      <c r="C382" t="s" s="0">
        <v>78</v>
      </c>
      <c r="D382" t="s" s="0">
        <v>78</v>
      </c>
      <c r="E382" t="s" s="0">
        <v>9225</v>
      </c>
      <c r="F382" t="s" s="0">
        <v>9226</v>
      </c>
      <c r="G382" t="s" s="0">
        <v>9227</v>
      </c>
      <c r="H382" t="s" s="0">
        <v>82</v>
      </c>
      <c r="I382" t="s" s="0">
        <v>83</v>
      </c>
      <c r="J382" t="s" s="0">
        <v>9228</v>
      </c>
      <c r="K382" t="s" s="0">
        <v>9229</v>
      </c>
      <c r="L382" t="s" s="0">
        <v>9230</v>
      </c>
      <c r="M382" t="s" s="0">
        <v>9231</v>
      </c>
      <c r="N382" t="s" s="0">
        <v>9232</v>
      </c>
      <c r="O382" t="s" s="0">
        <v>9233</v>
      </c>
      <c r="P382" t="s" s="0">
        <v>9234</v>
      </c>
      <c r="Q382" t="s" s="0">
        <v>91</v>
      </c>
      <c r="R382" t="s" s="0">
        <v>82</v>
      </c>
      <c r="S382" t="s" s="0">
        <v>82</v>
      </c>
      <c r="T382" t="s" s="0">
        <v>82</v>
      </c>
      <c r="U382" t="s" s="0">
        <v>82</v>
      </c>
      <c r="V382" t="s" s="0">
        <v>9235</v>
      </c>
      <c r="W382" t="s" s="0">
        <v>8894</v>
      </c>
      <c r="X382" t="s" s="0">
        <v>82</v>
      </c>
      <c r="Y382" t="s" s="0">
        <v>82</v>
      </c>
      <c r="Z382" t="s" s="0">
        <v>94</v>
      </c>
      <c r="AA382" t="s" s="0">
        <v>95</v>
      </c>
      <c r="AB382" t="s" s="0">
        <v>82</v>
      </c>
      <c r="AC382" t="s" s="0">
        <v>82</v>
      </c>
      <c r="AD382" t="s" s="0">
        <v>82</v>
      </c>
      <c r="AE382" t="s" s="0">
        <v>82</v>
      </c>
      <c r="AF382" t="s" s="0">
        <v>82</v>
      </c>
      <c r="AG382" t="s" s="0">
        <v>9236</v>
      </c>
      <c r="AH382" t="s" s="0">
        <v>9237</v>
      </c>
      <c r="AI382" t="s" s="0">
        <v>9238</v>
      </c>
      <c r="AJ382" t="s" s="0">
        <v>9239</v>
      </c>
      <c r="AK382" t="s" s="0">
        <v>82</v>
      </c>
      <c r="AL382" t="s" s="0">
        <v>2191</v>
      </c>
      <c r="AM382" t="s" s="0">
        <v>447</v>
      </c>
      <c r="AN382" t="s" s="0">
        <v>447</v>
      </c>
      <c r="AO382" t="s" s="0">
        <v>78</v>
      </c>
      <c r="AP382" t="s" s="0">
        <v>221</v>
      </c>
      <c r="AQ382" t="s" s="0">
        <v>5760</v>
      </c>
      <c r="AR382" t="s" s="0">
        <v>5761</v>
      </c>
      <c r="AS382" t="s" s="0">
        <v>5762</v>
      </c>
      <c r="AT382" t="s" s="0">
        <v>8897</v>
      </c>
      <c r="AU382" t="s" s="0">
        <v>8898</v>
      </c>
      <c r="AV382" t="s" s="0">
        <v>82</v>
      </c>
      <c r="AW382" t="s" s="0">
        <v>8899</v>
      </c>
      <c r="AX382" t="s" s="0">
        <v>8900</v>
      </c>
      <c r="AY382" t="s" s="0">
        <v>2891</v>
      </c>
      <c r="AZ382" t="s" s="0">
        <v>110</v>
      </c>
      <c r="BA382" t="s" s="0">
        <v>323</v>
      </c>
      <c r="BB382" t="s" s="0">
        <v>319</v>
      </c>
      <c r="BC382" t="s" s="0">
        <v>82</v>
      </c>
      <c r="BD382" t="s" s="0">
        <v>82</v>
      </c>
      <c r="BE382" t="s" s="0">
        <v>82</v>
      </c>
      <c r="BF382" t="s" s="0">
        <v>82</v>
      </c>
      <c r="BG382" t="s" s="0">
        <v>9240</v>
      </c>
      <c r="BH382" t="s" s="0">
        <v>9241</v>
      </c>
      <c r="BI382" t="s" s="0">
        <v>82</v>
      </c>
      <c r="BJ382" t="s" s="0">
        <v>9242</v>
      </c>
      <c r="BK382" t="s" s="759">
        <f>HYPERLINK("http://dx.doi.org/10.21037/qims-23-1645","http://dx.doi.org/10.21037/qims-23-1645")</f>
        <v>9243</v>
      </c>
      <c r="BL382" t="s" s="0">
        <v>82</v>
      </c>
      <c r="BM382" t="s" s="0">
        <v>82</v>
      </c>
      <c r="BN382" t="s" s="0">
        <v>115</v>
      </c>
      <c r="BO382" t="s" s="0">
        <v>414</v>
      </c>
      <c r="BP382" t="s" s="0">
        <v>414</v>
      </c>
      <c r="BQ382" t="s" s="0">
        <v>9244</v>
      </c>
      <c r="BR382" t="s" s="0">
        <v>9245</v>
      </c>
      <c r="BS382" t="s" s="0">
        <v>9246</v>
      </c>
      <c r="BT382" t="s" s="760">
        <f>HYPERLINK("https://www.webofscience.com/wos/woscc/full-record/WOS:001371117200006","View Record in Web of Science")</f>
        <v>120</v>
      </c>
      <c r="BU382" t="s" s="0">
        <v>121</v>
      </c>
      <c r="BV382" t="s" s="0">
        <v>82</v>
      </c>
      <c r="BW382" t="s" s="0">
        <v>82</v>
      </c>
      <c r="BX382" t="s" s="0">
        <v>122</v>
      </c>
    </row>
    <row r="383">
      <c r="A383" t="s" s="0">
        <v>78</v>
      </c>
      <c r="B383" t="s" s="0">
        <v>78</v>
      </c>
      <c r="C383" t="s" s="0">
        <v>78</v>
      </c>
      <c r="D383" t="s" s="0">
        <v>78</v>
      </c>
      <c r="E383" t="s" s="0">
        <v>9247</v>
      </c>
      <c r="F383" t="s" s="0">
        <v>9248</v>
      </c>
      <c r="G383" t="s" s="0">
        <v>9249</v>
      </c>
      <c r="H383" t="s" s="0">
        <v>82</v>
      </c>
      <c r="I383" t="s" s="0">
        <v>297</v>
      </c>
      <c r="J383" t="s" s="0">
        <v>9250</v>
      </c>
      <c r="K383" t="s" s="0">
        <v>9251</v>
      </c>
      <c r="L383" t="s" s="0">
        <v>9252</v>
      </c>
      <c r="M383" t="s" s="0">
        <v>9253</v>
      </c>
      <c r="N383" t="s" s="0">
        <v>9254</v>
      </c>
      <c r="O383" t="s" s="0">
        <v>9255</v>
      </c>
      <c r="P383" t="s" s="0">
        <v>9256</v>
      </c>
      <c r="Q383" t="s" s="0">
        <v>91</v>
      </c>
      <c r="R383" t="s" s="0">
        <v>82</v>
      </c>
      <c r="S383" t="s" s="0">
        <v>82</v>
      </c>
      <c r="T383" t="s" s="0">
        <v>82</v>
      </c>
      <c r="U383" t="s" s="0">
        <v>82</v>
      </c>
      <c r="V383" t="s" s="0">
        <v>9257</v>
      </c>
      <c r="W383" t="s" s="0">
        <v>3542</v>
      </c>
      <c r="X383" t="s" s="0">
        <v>82</v>
      </c>
      <c r="Y383" t="s" s="0">
        <v>82</v>
      </c>
      <c r="Z383" t="s" s="0">
        <v>94</v>
      </c>
      <c r="AA383" t="s" s="0">
        <v>95</v>
      </c>
      <c r="AB383" t="s" s="0">
        <v>82</v>
      </c>
      <c r="AC383" t="s" s="0">
        <v>82</v>
      </c>
      <c r="AD383" t="s" s="0">
        <v>82</v>
      </c>
      <c r="AE383" t="s" s="0">
        <v>82</v>
      </c>
      <c r="AF383" t="s" s="0">
        <v>82</v>
      </c>
      <c r="AG383" t="s" s="0">
        <v>9258</v>
      </c>
      <c r="AH383" t="s" s="0">
        <v>9259</v>
      </c>
      <c r="AI383" t="s" s="0">
        <v>9260</v>
      </c>
      <c r="AJ383" t="s" s="0">
        <v>9261</v>
      </c>
      <c r="AK383" t="s" s="0">
        <v>82</v>
      </c>
      <c r="AL383" t="s" s="0">
        <v>244</v>
      </c>
      <c r="AM383" t="s" s="0">
        <v>78</v>
      </c>
      <c r="AN383" t="s" s="0">
        <v>78</v>
      </c>
      <c r="AO383" t="s" s="0">
        <v>447</v>
      </c>
      <c r="AP383" t="s" s="0">
        <v>447</v>
      </c>
      <c r="AQ383" t="s" s="0">
        <v>2484</v>
      </c>
      <c r="AR383" t="s" s="0">
        <v>2485</v>
      </c>
      <c r="AS383" t="s" s="0">
        <v>2486</v>
      </c>
      <c r="AT383" t="s" s="0">
        <v>82</v>
      </c>
      <c r="AU383" t="s" s="0">
        <v>3547</v>
      </c>
      <c r="AV383" t="s" s="0">
        <v>82</v>
      </c>
      <c r="AW383" t="s" s="0">
        <v>3548</v>
      </c>
      <c r="AX383" t="s" s="0">
        <v>3549</v>
      </c>
      <c r="AY383" t="s" s="0">
        <v>9262</v>
      </c>
      <c r="AZ383" t="s" s="0">
        <v>181</v>
      </c>
      <c r="BA383" t="s" s="0">
        <v>319</v>
      </c>
      <c r="BB383" t="s" s="0">
        <v>82</v>
      </c>
      <c r="BC383" t="s" s="0">
        <v>82</v>
      </c>
      <c r="BD383" t="s" s="0">
        <v>82</v>
      </c>
      <c r="BE383" t="s" s="0">
        <v>82</v>
      </c>
      <c r="BF383" t="s" s="0">
        <v>82</v>
      </c>
      <c r="BG383" t="s" s="0">
        <v>82</v>
      </c>
      <c r="BH383" t="s" s="0">
        <v>82</v>
      </c>
      <c r="BI383" t="s" s="0">
        <v>9263</v>
      </c>
      <c r="BJ383" t="s" s="0">
        <v>9264</v>
      </c>
      <c r="BK383" t="s" s="761">
        <f>HYPERLINK("http://dx.doi.org/10.3389/frai.2026.1754682","http://dx.doi.org/10.3389/frai.2026.1754682")</f>
        <v>9265</v>
      </c>
      <c r="BL383" t="s" s="0">
        <v>82</v>
      </c>
      <c r="BM383" t="s" s="0">
        <v>82</v>
      </c>
      <c r="BN383" t="s" s="0">
        <v>115</v>
      </c>
      <c r="BO383" t="s" s="0">
        <v>3554</v>
      </c>
      <c r="BP383" t="s" s="0">
        <v>1663</v>
      </c>
      <c r="BQ383" t="s" s="0">
        <v>9266</v>
      </c>
      <c r="BR383" t="s" s="0">
        <v>9267</v>
      </c>
      <c r="BS383" t="s" s="0">
        <v>9268</v>
      </c>
      <c r="BT383" t="s" s="762">
        <f>HYPERLINK("https://www.webofscience.com/wos/woscc/full-record/WOS:001721649000001","View Record in Web of Science")</f>
        <v>120</v>
      </c>
      <c r="BU383" t="s" s="0">
        <v>121</v>
      </c>
      <c r="BV383" t="s" s="0">
        <v>82</v>
      </c>
      <c r="BW383" t="s" s="0">
        <v>82</v>
      </c>
      <c r="BX383" t="s" s="0">
        <v>122</v>
      </c>
    </row>
    <row r="384">
      <c r="A384" t="s" s="0">
        <v>78</v>
      </c>
      <c r="B384" t="s" s="0">
        <v>78</v>
      </c>
      <c r="C384" t="s" s="0">
        <v>447</v>
      </c>
      <c r="D384" t="s" s="0">
        <v>78</v>
      </c>
      <c r="E384" t="s" s="0">
        <v>9269</v>
      </c>
      <c r="F384" t="s" s="0">
        <v>9270</v>
      </c>
      <c r="G384" t="s" s="0">
        <v>9271</v>
      </c>
      <c r="H384" t="s" s="0">
        <v>82</v>
      </c>
      <c r="I384" t="s" s="0">
        <v>83</v>
      </c>
      <c r="J384" t="s" s="0">
        <v>9272</v>
      </c>
      <c r="K384" t="s" s="0">
        <v>9273</v>
      </c>
      <c r="L384" t="s" s="0">
        <v>9274</v>
      </c>
      <c r="M384" t="s" s="0">
        <v>9275</v>
      </c>
      <c r="N384" t="s" s="0">
        <v>9276</v>
      </c>
      <c r="O384" t="s" s="0">
        <v>9277</v>
      </c>
      <c r="P384" t="s" s="0">
        <v>9278</v>
      </c>
      <c r="Q384" t="s" s="0">
        <v>91</v>
      </c>
      <c r="R384" t="s" s="0">
        <v>82</v>
      </c>
      <c r="S384" t="s" s="0">
        <v>82</v>
      </c>
      <c r="T384" t="s" s="0">
        <v>82</v>
      </c>
      <c r="U384" t="s" s="0">
        <v>82</v>
      </c>
      <c r="V384" t="s" s="0">
        <v>9279</v>
      </c>
      <c r="W384" t="s" s="0">
        <v>5063</v>
      </c>
      <c r="X384" t="s" s="0">
        <v>82</v>
      </c>
      <c r="Y384" t="s" s="0">
        <v>82</v>
      </c>
      <c r="Z384" t="s" s="0">
        <v>94</v>
      </c>
      <c r="AA384" t="s" s="0">
        <v>95</v>
      </c>
      <c r="AB384" t="s" s="0">
        <v>82</v>
      </c>
      <c r="AC384" t="s" s="0">
        <v>82</v>
      </c>
      <c r="AD384" t="s" s="0">
        <v>82</v>
      </c>
      <c r="AE384" t="s" s="0">
        <v>82</v>
      </c>
      <c r="AF384" t="s" s="0">
        <v>82</v>
      </c>
      <c r="AG384" t="s" s="0">
        <v>9280</v>
      </c>
      <c r="AH384" t="s" s="0">
        <v>9281</v>
      </c>
      <c r="AI384" t="s" s="0">
        <v>9282</v>
      </c>
      <c r="AJ384" t="s" s="0">
        <v>9283</v>
      </c>
      <c r="AK384" t="s" s="0">
        <v>82</v>
      </c>
      <c r="AL384" t="s" s="0">
        <v>632</v>
      </c>
      <c r="AM384" t="s" s="0">
        <v>239</v>
      </c>
      <c r="AN384" t="s" s="0">
        <v>239</v>
      </c>
      <c r="AO384" t="s" s="0">
        <v>78</v>
      </c>
      <c r="AP384" t="s" s="0">
        <v>115</v>
      </c>
      <c r="AQ384" t="s" s="0">
        <v>491</v>
      </c>
      <c r="AR384" t="s" s="0">
        <v>492</v>
      </c>
      <c r="AS384" t="s" s="0">
        <v>493</v>
      </c>
      <c r="AT384" t="s" s="0">
        <v>5068</v>
      </c>
      <c r="AU384" t="s" s="0">
        <v>5069</v>
      </c>
      <c r="AV384" t="s" s="0">
        <v>82</v>
      </c>
      <c r="AW384" t="s" s="0">
        <v>5070</v>
      </c>
      <c r="AX384" t="s" s="0">
        <v>5071</v>
      </c>
      <c r="AY384" t="s" s="0">
        <v>5018</v>
      </c>
      <c r="AZ384" t="s" s="0">
        <v>210</v>
      </c>
      <c r="BA384" t="s" s="0">
        <v>201</v>
      </c>
      <c r="BB384" t="s" s="0">
        <v>149</v>
      </c>
      <c r="BC384" t="s" s="0">
        <v>82</v>
      </c>
      <c r="BD384" t="s" s="0">
        <v>82</v>
      </c>
      <c r="BE384" t="s" s="0">
        <v>82</v>
      </c>
      <c r="BF384" t="s" s="0">
        <v>82</v>
      </c>
      <c r="BG384" t="s" s="0">
        <v>9284</v>
      </c>
      <c r="BH384" t="s" s="0">
        <v>9285</v>
      </c>
      <c r="BI384" t="s" s="0">
        <v>82</v>
      </c>
      <c r="BJ384" t="s" s="0">
        <v>9286</v>
      </c>
      <c r="BK384" t="s" s="763">
        <f>HYPERLINK("http://dx.doi.org/10.1002/jbmr.4916","http://dx.doi.org/10.1002/jbmr.4916")</f>
        <v>9287</v>
      </c>
      <c r="BL384" t="s" s="0">
        <v>82</v>
      </c>
      <c r="BM384" t="s" s="0">
        <v>4076</v>
      </c>
      <c r="BN384" t="s" s="0">
        <v>137</v>
      </c>
      <c r="BO384" t="s" s="0">
        <v>697</v>
      </c>
      <c r="BP384" t="s" s="0">
        <v>697</v>
      </c>
      <c r="BQ384" t="s" s="0">
        <v>9288</v>
      </c>
      <c r="BR384" t="s" s="0">
        <v>9289</v>
      </c>
      <c r="BS384" t="s" s="0">
        <v>9290</v>
      </c>
      <c r="BT384" t="s" s="764">
        <f>HYPERLINK("https://www.webofscience.com/wos/woscc/full-record/WOS:001084774300001","View Record in Web of Science")</f>
        <v>120</v>
      </c>
      <c r="BU384" t="s" s="0">
        <v>9291</v>
      </c>
      <c r="BV384" t="s" s="0">
        <v>82</v>
      </c>
      <c r="BW384" t="s" s="0">
        <v>82</v>
      </c>
      <c r="BX384" t="s" s="0">
        <v>122</v>
      </c>
    </row>
    <row r="385">
      <c r="A385" t="s" s="0">
        <v>78</v>
      </c>
      <c r="B385" t="s" s="0">
        <v>78</v>
      </c>
      <c r="C385" t="s" s="0">
        <v>77</v>
      </c>
      <c r="D385" t="s" s="0">
        <v>78</v>
      </c>
      <c r="E385" t="s" s="0">
        <v>9292</v>
      </c>
      <c r="F385" t="s" s="0">
        <v>9293</v>
      </c>
      <c r="G385" t="s" s="0">
        <v>9294</v>
      </c>
      <c r="H385" t="s" s="0">
        <v>82</v>
      </c>
      <c r="I385" t="s" s="0">
        <v>83</v>
      </c>
      <c r="J385" t="s" s="0">
        <v>9295</v>
      </c>
      <c r="K385" t="s" s="0">
        <v>3513</v>
      </c>
      <c r="L385" t="s" s="0">
        <v>9296</v>
      </c>
      <c r="M385" t="s" s="0">
        <v>9297</v>
      </c>
      <c r="N385" t="s" s="0">
        <v>9298</v>
      </c>
      <c r="O385" t="s" s="0">
        <v>9299</v>
      </c>
      <c r="P385" t="s" s="0">
        <v>9300</v>
      </c>
      <c r="Q385" t="s" s="0">
        <v>91</v>
      </c>
      <c r="R385" t="s" s="0">
        <v>82</v>
      </c>
      <c r="S385" t="s" s="0">
        <v>82</v>
      </c>
      <c r="T385" t="s" s="0">
        <v>82</v>
      </c>
      <c r="U385" t="s" s="0">
        <v>82</v>
      </c>
      <c r="V385" t="s" s="0">
        <v>9301</v>
      </c>
      <c r="W385" t="s" s="0">
        <v>9302</v>
      </c>
      <c r="X385" t="s" s="0">
        <v>82</v>
      </c>
      <c r="Y385" t="s" s="0">
        <v>82</v>
      </c>
      <c r="Z385" t="s" s="0">
        <v>94</v>
      </c>
      <c r="AA385" t="s" s="0">
        <v>95</v>
      </c>
      <c r="AB385" t="s" s="0">
        <v>82</v>
      </c>
      <c r="AC385" t="s" s="0">
        <v>82</v>
      </c>
      <c r="AD385" t="s" s="0">
        <v>82</v>
      </c>
      <c r="AE385" t="s" s="0">
        <v>82</v>
      </c>
      <c r="AF385" t="s" s="0">
        <v>82</v>
      </c>
      <c r="AG385" t="s" s="0">
        <v>82</v>
      </c>
      <c r="AH385" t="s" s="0">
        <v>9303</v>
      </c>
      <c r="AI385" t="s" s="0">
        <v>9304</v>
      </c>
      <c r="AJ385" t="s" s="0">
        <v>9305</v>
      </c>
      <c r="AK385" t="s" s="0">
        <v>82</v>
      </c>
      <c r="AL385" t="s" s="0">
        <v>344</v>
      </c>
      <c r="AM385" t="s" s="0">
        <v>447</v>
      </c>
      <c r="AN385" t="s" s="0">
        <v>447</v>
      </c>
      <c r="AO385" t="s" s="0">
        <v>375</v>
      </c>
      <c r="AP385" t="s" s="0">
        <v>136</v>
      </c>
      <c r="AQ385" t="s" s="0">
        <v>2269</v>
      </c>
      <c r="AR385" t="s" s="0">
        <v>104</v>
      </c>
      <c r="AS385" t="s" s="0">
        <v>9306</v>
      </c>
      <c r="AT385" t="s" s="0">
        <v>9307</v>
      </c>
      <c r="AU385" t="s" s="0">
        <v>9308</v>
      </c>
      <c r="AV385" t="s" s="0">
        <v>82</v>
      </c>
      <c r="AW385" t="s" s="0">
        <v>9309</v>
      </c>
      <c r="AX385" t="s" s="0">
        <v>9310</v>
      </c>
      <c r="AY385" t="s" s="0">
        <v>146</v>
      </c>
      <c r="AZ385" t="s" s="0">
        <v>147</v>
      </c>
      <c r="BA385" t="s" s="0">
        <v>1186</v>
      </c>
      <c r="BB385" t="s" s="0">
        <v>149</v>
      </c>
      <c r="BC385" t="s" s="0">
        <v>82</v>
      </c>
      <c r="BD385" t="s" s="0">
        <v>82</v>
      </c>
      <c r="BE385" t="s" s="0">
        <v>82</v>
      </c>
      <c r="BF385" t="s" s="0">
        <v>82</v>
      </c>
      <c r="BG385" t="s" s="0">
        <v>9311</v>
      </c>
      <c r="BH385" t="s" s="0">
        <v>9312</v>
      </c>
      <c r="BI385" t="s" s="0">
        <v>82</v>
      </c>
      <c r="BJ385" t="s" s="0">
        <v>9313</v>
      </c>
      <c r="BK385" t="s" s="765">
        <f>HYPERLINK("http://dx.doi.org/10.1038/s41380-025-03316-2","http://dx.doi.org/10.1038/s41380-025-03316-2")</f>
        <v>9314</v>
      </c>
      <c r="BL385" t="s" s="0">
        <v>82</v>
      </c>
      <c r="BM385" t="s" s="0">
        <v>5604</v>
      </c>
      <c r="BN385" t="s" s="0">
        <v>319</v>
      </c>
      <c r="BO385" t="s" s="0">
        <v>9315</v>
      </c>
      <c r="BP385" t="s" s="0">
        <v>9316</v>
      </c>
      <c r="BQ385" t="s" s="0">
        <v>9317</v>
      </c>
      <c r="BR385" t="s" s="0">
        <v>9318</v>
      </c>
      <c r="BS385" t="s" s="0">
        <v>9319</v>
      </c>
      <c r="BT385" t="s" s="766">
        <f>HYPERLINK("https://www.webofscience.com/wos/woscc/full-record/WOS:001598697700001","View Record in Web of Science")</f>
        <v>120</v>
      </c>
      <c r="BU385" t="s" s="0">
        <v>256</v>
      </c>
      <c r="BV385" t="s" s="0">
        <v>82</v>
      </c>
      <c r="BW385" t="s" s="0">
        <v>82</v>
      </c>
      <c r="BX385" t="s" s="0">
        <v>122</v>
      </c>
    </row>
    <row r="386">
      <c r="A386" t="s" s="0">
        <v>78</v>
      </c>
      <c r="B386" t="s" s="0">
        <v>78</v>
      </c>
      <c r="C386" t="s" s="0">
        <v>78</v>
      </c>
      <c r="D386" t="s" s="0">
        <v>78</v>
      </c>
      <c r="E386" t="s" s="0">
        <v>9320</v>
      </c>
      <c r="F386" t="s" s="0">
        <v>9321</v>
      </c>
      <c r="G386" t="s" s="0">
        <v>9322</v>
      </c>
      <c r="H386" t="s" s="0">
        <v>82</v>
      </c>
      <c r="I386" t="s" s="0">
        <v>83</v>
      </c>
      <c r="J386" t="s" s="0">
        <v>9323</v>
      </c>
      <c r="K386" t="s" s="0">
        <v>9324</v>
      </c>
      <c r="L386" t="s" s="0">
        <v>9325</v>
      </c>
      <c r="M386" t="s" s="0">
        <v>9326</v>
      </c>
      <c r="N386" t="s" s="0">
        <v>9327</v>
      </c>
      <c r="O386" t="s" s="0">
        <v>9328</v>
      </c>
      <c r="P386" t="s" s="0">
        <v>9329</v>
      </c>
      <c r="Q386" t="s" s="0">
        <v>91</v>
      </c>
      <c r="R386" t="s" s="0">
        <v>82</v>
      </c>
      <c r="S386" t="s" s="0">
        <v>82</v>
      </c>
      <c r="T386" t="s" s="0">
        <v>82</v>
      </c>
      <c r="U386" t="s" s="0">
        <v>82</v>
      </c>
      <c r="V386" t="s" s="0">
        <v>9330</v>
      </c>
      <c r="W386" t="s" s="0">
        <v>6387</v>
      </c>
      <c r="X386" t="s" s="0">
        <v>82</v>
      </c>
      <c r="Y386" t="s" s="0">
        <v>82</v>
      </c>
      <c r="Z386" t="s" s="0">
        <v>94</v>
      </c>
      <c r="AA386" t="s" s="0">
        <v>95</v>
      </c>
      <c r="AB386" t="s" s="0">
        <v>82</v>
      </c>
      <c r="AC386" t="s" s="0">
        <v>82</v>
      </c>
      <c r="AD386" t="s" s="0">
        <v>82</v>
      </c>
      <c r="AE386" t="s" s="0">
        <v>82</v>
      </c>
      <c r="AF386" t="s" s="0">
        <v>82</v>
      </c>
      <c r="AG386" t="s" s="0">
        <v>9331</v>
      </c>
      <c r="AH386" t="s" s="0">
        <v>82</v>
      </c>
      <c r="AI386" t="s" s="0">
        <v>82</v>
      </c>
      <c r="AJ386" t="s" s="0">
        <v>82</v>
      </c>
      <c r="AK386" t="s" s="0">
        <v>82</v>
      </c>
      <c r="AL386" t="s" s="0">
        <v>311</v>
      </c>
      <c r="AM386" t="s" s="0">
        <v>447</v>
      </c>
      <c r="AN386" t="s" s="0">
        <v>447</v>
      </c>
      <c r="AO386" t="s" s="0">
        <v>77</v>
      </c>
      <c r="AP386" t="s" s="0">
        <v>138</v>
      </c>
      <c r="AQ386" t="s" s="0">
        <v>2484</v>
      </c>
      <c r="AR386" t="s" s="0">
        <v>2485</v>
      </c>
      <c r="AS386" t="s" s="0">
        <v>2486</v>
      </c>
      <c r="AT386" t="s" s="0">
        <v>6391</v>
      </c>
      <c r="AU386" t="s" s="0">
        <v>82</v>
      </c>
      <c r="AV386" t="s" s="0">
        <v>82</v>
      </c>
      <c r="AW386" t="s" s="0">
        <v>6392</v>
      </c>
      <c r="AX386" t="s" s="0">
        <v>6393</v>
      </c>
      <c r="AY386" t="s" s="0">
        <v>9332</v>
      </c>
      <c r="AZ386" t="s" s="0">
        <v>110</v>
      </c>
      <c r="BA386" t="s" s="0">
        <v>323</v>
      </c>
      <c r="BB386" t="s" s="0">
        <v>82</v>
      </c>
      <c r="BC386" t="s" s="0">
        <v>82</v>
      </c>
      <c r="BD386" t="s" s="0">
        <v>82</v>
      </c>
      <c r="BE386" t="s" s="0">
        <v>82</v>
      </c>
      <c r="BF386" t="s" s="0">
        <v>82</v>
      </c>
      <c r="BG386" t="s" s="0">
        <v>82</v>
      </c>
      <c r="BH386" t="s" s="0">
        <v>82</v>
      </c>
      <c r="BI386" t="s" s="0">
        <v>9333</v>
      </c>
      <c r="BJ386" t="s" s="0">
        <v>9334</v>
      </c>
      <c r="BK386" t="s" s="767">
        <f>HYPERLINK("http://dx.doi.org/10.3389/fonc.2024.1477166","http://dx.doi.org/10.3389/fonc.2024.1477166")</f>
        <v>9335</v>
      </c>
      <c r="BL386" t="s" s="0">
        <v>82</v>
      </c>
      <c r="BM386" t="s" s="0">
        <v>82</v>
      </c>
      <c r="BN386" t="s" s="0">
        <v>136</v>
      </c>
      <c r="BO386" t="s" s="0">
        <v>4833</v>
      </c>
      <c r="BP386" t="s" s="0">
        <v>4833</v>
      </c>
      <c r="BQ386" t="s" s="0">
        <v>9336</v>
      </c>
      <c r="BR386" t="s" s="0">
        <v>9337</v>
      </c>
      <c r="BS386" t="s" s="0">
        <v>9338</v>
      </c>
      <c r="BT386" t="s" s="768">
        <f>HYPERLINK("https://www.webofscience.com/wos/woscc/full-record/WOS:001383351600001","View Record in Web of Science")</f>
        <v>120</v>
      </c>
      <c r="BU386" t="s" s="0">
        <v>121</v>
      </c>
      <c r="BV386" t="s" s="0">
        <v>82</v>
      </c>
      <c r="BW386" t="s" s="0">
        <v>82</v>
      </c>
      <c r="BX386" t="s" s="0">
        <v>122</v>
      </c>
    </row>
    <row r="387">
      <c r="A387" t="s" s="0">
        <v>78</v>
      </c>
      <c r="B387" t="s" s="0">
        <v>78</v>
      </c>
      <c r="C387" t="s" s="0">
        <v>78</v>
      </c>
      <c r="D387" t="s" s="0">
        <v>78</v>
      </c>
      <c r="E387" t="s" s="0">
        <v>9339</v>
      </c>
      <c r="F387" t="s" s="0">
        <v>9340</v>
      </c>
      <c r="G387" t="s" s="0">
        <v>9341</v>
      </c>
      <c r="H387" t="s" s="0">
        <v>82</v>
      </c>
      <c r="I387" t="s" s="0">
        <v>83</v>
      </c>
      <c r="J387" t="s" s="0">
        <v>9342</v>
      </c>
      <c r="K387" t="s" s="0">
        <v>9343</v>
      </c>
      <c r="L387" t="s" s="0">
        <v>9344</v>
      </c>
      <c r="M387" t="s" s="0">
        <v>9344</v>
      </c>
      <c r="N387" t="s" s="0">
        <v>9345</v>
      </c>
      <c r="O387" t="s" s="0">
        <v>9346</v>
      </c>
      <c r="P387" t="s" s="0">
        <v>9347</v>
      </c>
      <c r="Q387" t="s" s="0">
        <v>91</v>
      </c>
      <c r="R387" t="s" s="0">
        <v>82</v>
      </c>
      <c r="S387" t="s" s="0">
        <v>82</v>
      </c>
      <c r="T387" t="s" s="0">
        <v>82</v>
      </c>
      <c r="U387" t="s" s="0">
        <v>82</v>
      </c>
      <c r="V387" t="s" s="0">
        <v>9348</v>
      </c>
      <c r="W387" t="s" s="0">
        <v>340</v>
      </c>
      <c r="X387" t="s" s="0">
        <v>82</v>
      </c>
      <c r="Y387" t="s" s="0">
        <v>82</v>
      </c>
      <c r="Z387" t="s" s="0">
        <v>94</v>
      </c>
      <c r="AA387" t="s" s="0">
        <v>95</v>
      </c>
      <c r="AB387" t="s" s="0">
        <v>82</v>
      </c>
      <c r="AC387" t="s" s="0">
        <v>82</v>
      </c>
      <c r="AD387" t="s" s="0">
        <v>82</v>
      </c>
      <c r="AE387" t="s" s="0">
        <v>82</v>
      </c>
      <c r="AF387" t="s" s="0">
        <v>82</v>
      </c>
      <c r="AG387" t="s" s="0">
        <v>9349</v>
      </c>
      <c r="AH387" t="s" s="0">
        <v>9350</v>
      </c>
      <c r="AI387" t="s" s="0">
        <v>9351</v>
      </c>
      <c r="AJ387" t="s" s="0">
        <v>9352</v>
      </c>
      <c r="AK387" t="s" s="0">
        <v>82</v>
      </c>
      <c r="AL387" t="s" s="0">
        <v>1502</v>
      </c>
      <c r="AM387" t="s" s="0">
        <v>78</v>
      </c>
      <c r="AN387" t="s" s="0">
        <v>78</v>
      </c>
      <c r="AO387" t="s" s="0">
        <v>447</v>
      </c>
      <c r="AP387" t="s" s="0">
        <v>447</v>
      </c>
      <c r="AQ387" t="s" s="0">
        <v>312</v>
      </c>
      <c r="AR387" t="s" s="0">
        <v>313</v>
      </c>
      <c r="AS387" t="s" s="0">
        <v>314</v>
      </c>
      <c r="AT387" t="s" s="0">
        <v>82</v>
      </c>
      <c r="AU387" t="s" s="0">
        <v>345</v>
      </c>
      <c r="AV387" t="s" s="0">
        <v>82</v>
      </c>
      <c r="AW387" t="s" s="0">
        <v>346</v>
      </c>
      <c r="AX387" t="s" s="0">
        <v>347</v>
      </c>
      <c r="AY387" t="s" s="0">
        <v>9353</v>
      </c>
      <c r="AZ387" t="s" s="0">
        <v>181</v>
      </c>
      <c r="BA387" t="s" s="0">
        <v>349</v>
      </c>
      <c r="BB387" t="s" s="0">
        <v>323</v>
      </c>
      <c r="BC387" t="s" s="0">
        <v>82</v>
      </c>
      <c r="BD387" t="s" s="0">
        <v>82</v>
      </c>
      <c r="BE387" t="s" s="0">
        <v>82</v>
      </c>
      <c r="BF387" t="s" s="0">
        <v>82</v>
      </c>
      <c r="BG387" t="s" s="0">
        <v>82</v>
      </c>
      <c r="BH387" t="s" s="0">
        <v>82</v>
      </c>
      <c r="BI387" t="s" s="0">
        <v>9354</v>
      </c>
      <c r="BJ387" t="s" s="0">
        <v>9355</v>
      </c>
      <c r="BK387" t="s" s="769">
        <f>HYPERLINK("http://dx.doi.org/10.3390/jcm15145599","http://dx.doi.org/10.3390/jcm15145599")</f>
        <v>9356</v>
      </c>
      <c r="BL387" t="s" s="0">
        <v>82</v>
      </c>
      <c r="BM387" t="s" s="0">
        <v>82</v>
      </c>
      <c r="BN387" t="s" s="0">
        <v>148</v>
      </c>
      <c r="BO387" t="s" s="0">
        <v>354</v>
      </c>
      <c r="BP387" t="s" s="0">
        <v>355</v>
      </c>
      <c r="BQ387" t="s" s="0">
        <v>9357</v>
      </c>
      <c r="BR387" t="s" s="0">
        <v>9358</v>
      </c>
      <c r="BS387" t="s" s="0">
        <v>9359</v>
      </c>
      <c r="BT387" t="s" s="770">
        <f>HYPERLINK("https://www.webofscience.com/wos/woscc/full-record/WOS:001832171200001","View Record in Web of Science")</f>
        <v>120</v>
      </c>
      <c r="BU387" t="s" s="0">
        <v>121</v>
      </c>
      <c r="BV387" t="s" s="0">
        <v>82</v>
      </c>
      <c r="BW387" t="s" s="0">
        <v>82</v>
      </c>
      <c r="BX387" t="s" s="0">
        <v>122</v>
      </c>
    </row>
    <row r="388">
      <c r="A388" t="s" s="0">
        <v>78</v>
      </c>
      <c r="B388" t="s" s="0">
        <v>78</v>
      </c>
      <c r="C388" t="s" s="0">
        <v>78</v>
      </c>
      <c r="D388" t="s" s="0">
        <v>78</v>
      </c>
      <c r="E388" t="s" s="0">
        <v>9360</v>
      </c>
      <c r="F388" t="s" s="0">
        <v>9361</v>
      </c>
      <c r="G388" t="s" s="0">
        <v>9362</v>
      </c>
      <c r="H388" t="s" s="0">
        <v>82</v>
      </c>
      <c r="I388" t="s" s="0">
        <v>83</v>
      </c>
      <c r="J388" t="s" s="0">
        <v>9363</v>
      </c>
      <c r="K388" t="s" s="0">
        <v>9364</v>
      </c>
      <c r="L388" t="s" s="0">
        <v>9365</v>
      </c>
      <c r="M388" t="s" s="0">
        <v>9365</v>
      </c>
      <c r="N388" t="s" s="0">
        <v>9366</v>
      </c>
      <c r="O388" t="s" s="0">
        <v>9367</v>
      </c>
      <c r="P388" t="s" s="0">
        <v>9368</v>
      </c>
      <c r="Q388" t="s" s="0">
        <v>91</v>
      </c>
      <c r="R388" t="s" s="0">
        <v>82</v>
      </c>
      <c r="S388" t="s" s="0">
        <v>82</v>
      </c>
      <c r="T388" t="s" s="0">
        <v>82</v>
      </c>
      <c r="U388" t="s" s="0">
        <v>82</v>
      </c>
      <c r="V388" t="s" s="0">
        <v>9369</v>
      </c>
      <c r="W388" t="s" s="0">
        <v>9370</v>
      </c>
      <c r="X388" t="s" s="0">
        <v>82</v>
      </c>
      <c r="Y388" t="s" s="0">
        <v>82</v>
      </c>
      <c r="Z388" t="s" s="0">
        <v>94</v>
      </c>
      <c r="AA388" t="s" s="0">
        <v>95</v>
      </c>
      <c r="AB388" t="s" s="0">
        <v>82</v>
      </c>
      <c r="AC388" t="s" s="0">
        <v>82</v>
      </c>
      <c r="AD388" t="s" s="0">
        <v>82</v>
      </c>
      <c r="AE388" t="s" s="0">
        <v>82</v>
      </c>
      <c r="AF388" t="s" s="0">
        <v>82</v>
      </c>
      <c r="AG388" t="s" s="0">
        <v>9371</v>
      </c>
      <c r="AH388" t="s" s="0">
        <v>9372</v>
      </c>
      <c r="AI388" t="s" s="0">
        <v>9373</v>
      </c>
      <c r="AJ388" t="s" s="0">
        <v>9374</v>
      </c>
      <c r="AK388" t="s" s="0">
        <v>82</v>
      </c>
      <c r="AL388" t="s" s="0">
        <v>77</v>
      </c>
      <c r="AM388" t="s" s="0">
        <v>101</v>
      </c>
      <c r="AN388" t="s" s="0">
        <v>101</v>
      </c>
      <c r="AO388" t="s" s="0">
        <v>77</v>
      </c>
      <c r="AP388" t="s" s="0">
        <v>375</v>
      </c>
      <c r="AQ388" t="s" s="0">
        <v>312</v>
      </c>
      <c r="AR388" t="s" s="0">
        <v>313</v>
      </c>
      <c r="AS388" t="s" s="0">
        <v>314</v>
      </c>
      <c r="AT388" t="s" s="0">
        <v>82</v>
      </c>
      <c r="AU388" t="s" s="0">
        <v>9375</v>
      </c>
      <c r="AV388" t="s" s="0">
        <v>82</v>
      </c>
      <c r="AW388" t="s" s="0">
        <v>9370</v>
      </c>
      <c r="AX388" t="s" s="0">
        <v>9376</v>
      </c>
      <c r="AY388" t="s" s="0">
        <v>2939</v>
      </c>
      <c r="AZ388" t="s" s="0">
        <v>210</v>
      </c>
      <c r="BA388" t="s" s="0">
        <v>349</v>
      </c>
      <c r="BB388" t="s" s="0">
        <v>136</v>
      </c>
      <c r="BC388" t="s" s="0">
        <v>82</v>
      </c>
      <c r="BD388" t="s" s="0">
        <v>82</v>
      </c>
      <c r="BE388" t="s" s="0">
        <v>82</v>
      </c>
      <c r="BF388" t="s" s="0">
        <v>82</v>
      </c>
      <c r="BG388" t="s" s="0">
        <v>82</v>
      </c>
      <c r="BH388" t="s" s="0">
        <v>82</v>
      </c>
      <c r="BI388" t="s" s="0">
        <v>9377</v>
      </c>
      <c r="BJ388" t="s" s="0">
        <v>9378</v>
      </c>
      <c r="BK388" t="s" s="771">
        <f>HYPERLINK("http://dx.doi.org/10.3390/v15081735","http://dx.doi.org/10.3390/v15081735")</f>
        <v>9379</v>
      </c>
      <c r="BL388" t="s" s="0">
        <v>82</v>
      </c>
      <c r="BM388" t="s" s="0">
        <v>82</v>
      </c>
      <c r="BN388" t="s" s="0">
        <v>245</v>
      </c>
      <c r="BO388" t="s" s="0">
        <v>9380</v>
      </c>
      <c r="BP388" t="s" s="0">
        <v>9380</v>
      </c>
      <c r="BQ388" t="s" s="0">
        <v>9381</v>
      </c>
      <c r="BR388" t="s" s="0">
        <v>9382</v>
      </c>
      <c r="BS388" t="s" s="0">
        <v>9383</v>
      </c>
      <c r="BT388" t="s" s="772">
        <f>HYPERLINK("https://www.webofscience.com/wos/woscc/full-record/WOS:001056501700001","View Record in Web of Science")</f>
        <v>120</v>
      </c>
      <c r="BU388" t="s" s="0">
        <v>121</v>
      </c>
      <c r="BV388" t="s" s="0">
        <v>82</v>
      </c>
      <c r="BW388" t="s" s="0">
        <v>82</v>
      </c>
      <c r="BX388" t="s" s="0">
        <v>122</v>
      </c>
    </row>
    <row r="389">
      <c r="A389" t="s" s="0">
        <v>77</v>
      </c>
      <c r="B389" t="s" s="0">
        <v>78</v>
      </c>
      <c r="C389" t="s" s="0">
        <v>221</v>
      </c>
      <c r="D389" t="s" s="0">
        <v>78</v>
      </c>
      <c r="E389" t="s" s="0">
        <v>9384</v>
      </c>
      <c r="F389" t="s" s="0">
        <v>9385</v>
      </c>
      <c r="G389" t="s" s="0">
        <v>9386</v>
      </c>
      <c r="H389" t="s" s="0">
        <v>82</v>
      </c>
      <c r="I389" t="s" s="0">
        <v>83</v>
      </c>
      <c r="J389" t="s" s="0">
        <v>9387</v>
      </c>
      <c r="K389" t="s" s="0">
        <v>9388</v>
      </c>
      <c r="L389" t="s" s="0">
        <v>82</v>
      </c>
      <c r="M389" t="s" s="0">
        <v>82</v>
      </c>
      <c r="N389" t="s" s="0">
        <v>82</v>
      </c>
      <c r="O389" t="s" s="0">
        <v>9389</v>
      </c>
      <c r="P389" t="s" s="0">
        <v>9390</v>
      </c>
      <c r="Q389" t="s" s="0">
        <v>91</v>
      </c>
      <c r="R389" t="s" s="0">
        <v>82</v>
      </c>
      <c r="S389" t="s" s="0">
        <v>82</v>
      </c>
      <c r="T389" t="s" s="0">
        <v>82</v>
      </c>
      <c r="U389" t="s" s="0">
        <v>82</v>
      </c>
      <c r="V389" t="s" s="0">
        <v>9391</v>
      </c>
      <c r="W389" t="s" s="0">
        <v>3637</v>
      </c>
      <c r="X389" t="s" s="0">
        <v>82</v>
      </c>
      <c r="Y389" t="s" s="0">
        <v>82</v>
      </c>
      <c r="Z389" t="s" s="0">
        <v>94</v>
      </c>
      <c r="AA389" t="s" s="0">
        <v>95</v>
      </c>
      <c r="AB389" t="s" s="0">
        <v>82</v>
      </c>
      <c r="AC389" t="s" s="0">
        <v>82</v>
      </c>
      <c r="AD389" t="s" s="0">
        <v>82</v>
      </c>
      <c r="AE389" t="s" s="0">
        <v>82</v>
      </c>
      <c r="AF389" t="s" s="0">
        <v>82</v>
      </c>
      <c r="AG389" t="s" s="0">
        <v>82</v>
      </c>
      <c r="AH389" t="s" s="0">
        <v>9392</v>
      </c>
      <c r="AI389" t="s" s="0">
        <v>9393</v>
      </c>
      <c r="AJ389" t="s" s="0">
        <v>9394</v>
      </c>
      <c r="AK389" t="s" s="0">
        <v>82</v>
      </c>
      <c r="AL389" t="s" s="0">
        <v>1502</v>
      </c>
      <c r="AM389" t="s" s="0">
        <v>1186</v>
      </c>
      <c r="AN389" t="s" s="0">
        <v>238</v>
      </c>
      <c r="AO389" t="s" s="0">
        <v>101</v>
      </c>
      <c r="AP389" t="s" s="0">
        <v>245</v>
      </c>
      <c r="AQ389" t="s" s="0">
        <v>633</v>
      </c>
      <c r="AR389" t="s" s="0">
        <v>634</v>
      </c>
      <c r="AS389" t="s" s="0">
        <v>635</v>
      </c>
      <c r="AT389" t="s" s="0">
        <v>3642</v>
      </c>
      <c r="AU389" t="s" s="0">
        <v>82</v>
      </c>
      <c r="AV389" t="s" s="0">
        <v>82</v>
      </c>
      <c r="AW389" t="s" s="0">
        <v>3643</v>
      </c>
      <c r="AX389" t="s" s="0">
        <v>3644</v>
      </c>
      <c r="AY389" t="s" s="0">
        <v>9395</v>
      </c>
      <c r="AZ389" t="s" s="0">
        <v>210</v>
      </c>
      <c r="BA389" t="s" s="0">
        <v>115</v>
      </c>
      <c r="BB389" t="s" s="0">
        <v>77</v>
      </c>
      <c r="BC389" t="s" s="0">
        <v>82</v>
      </c>
      <c r="BD389" t="s" s="0">
        <v>82</v>
      </c>
      <c r="BE389" t="s" s="0">
        <v>82</v>
      </c>
      <c r="BF389" t="s" s="0">
        <v>82</v>
      </c>
      <c r="BG389" t="s" s="0">
        <v>82</v>
      </c>
      <c r="BH389" t="s" s="0">
        <v>82</v>
      </c>
      <c r="BI389" t="s" s="0">
        <v>9396</v>
      </c>
      <c r="BJ389" t="s" s="0">
        <v>9397</v>
      </c>
      <c r="BK389" t="s" s="773">
        <f>HYPERLINK("http://dx.doi.org/10.1038/s41598-023-27399-5","http://dx.doi.org/10.1038/s41598-023-27399-5")</f>
        <v>9398</v>
      </c>
      <c r="BL389" t="s" s="0">
        <v>82</v>
      </c>
      <c r="BM389" t="s" s="0">
        <v>82</v>
      </c>
      <c r="BN389" t="s" s="0">
        <v>245</v>
      </c>
      <c r="BO389" t="s" s="0">
        <v>644</v>
      </c>
      <c r="BP389" t="s" s="0">
        <v>645</v>
      </c>
      <c r="BQ389" t="s" s="0">
        <v>9399</v>
      </c>
      <c r="BR389" t="s" s="0">
        <v>9400</v>
      </c>
      <c r="BS389" t="s" s="0">
        <v>9401</v>
      </c>
      <c r="BT389" t="s" s="774">
        <f>HYPERLINK("https://www.webofscience.com/wos/woscc/full-record/WOS:000954571900038","View Record in Web of Science")</f>
        <v>120</v>
      </c>
      <c r="BU389" t="s" s="0">
        <v>121</v>
      </c>
      <c r="BV389" t="s" s="0">
        <v>82</v>
      </c>
      <c r="BW389" t="s" s="0">
        <v>82</v>
      </c>
      <c r="BX389" t="s" s="0">
        <v>122</v>
      </c>
    </row>
    <row r="390">
      <c r="A390" t="s" s="0">
        <v>78</v>
      </c>
      <c r="B390" t="s" s="0">
        <v>78</v>
      </c>
      <c r="C390" t="s" s="0">
        <v>77</v>
      </c>
      <c r="D390" t="s" s="0">
        <v>78</v>
      </c>
      <c r="E390" t="s" s="0">
        <v>9402</v>
      </c>
      <c r="F390" t="s" s="0">
        <v>9403</v>
      </c>
      <c r="G390" t="s" s="0">
        <v>9404</v>
      </c>
      <c r="H390" t="s" s="0">
        <v>82</v>
      </c>
      <c r="I390" t="s" s="0">
        <v>83</v>
      </c>
      <c r="J390" t="s" s="0">
        <v>9405</v>
      </c>
      <c r="K390" t="s" s="0">
        <v>9406</v>
      </c>
      <c r="L390" t="s" s="0">
        <v>82</v>
      </c>
      <c r="M390" t="s" s="0">
        <v>82</v>
      </c>
      <c r="N390" t="s" s="0">
        <v>82</v>
      </c>
      <c r="O390" t="s" s="0">
        <v>9407</v>
      </c>
      <c r="P390" t="s" s="0">
        <v>9408</v>
      </c>
      <c r="Q390" t="s" s="0">
        <v>91</v>
      </c>
      <c r="R390" t="s" s="0">
        <v>82</v>
      </c>
      <c r="S390" t="s" s="0">
        <v>82</v>
      </c>
      <c r="T390" t="s" s="0">
        <v>82</v>
      </c>
      <c r="U390" t="s" s="0">
        <v>82</v>
      </c>
      <c r="V390" t="s" s="0">
        <v>9409</v>
      </c>
      <c r="W390" t="s" s="0">
        <v>340</v>
      </c>
      <c r="X390" t="s" s="0">
        <v>82</v>
      </c>
      <c r="Y390" t="s" s="0">
        <v>82</v>
      </c>
      <c r="Z390" t="s" s="0">
        <v>94</v>
      </c>
      <c r="AA390" t="s" s="0">
        <v>95</v>
      </c>
      <c r="AB390" t="s" s="0">
        <v>82</v>
      </c>
      <c r="AC390" t="s" s="0">
        <v>82</v>
      </c>
      <c r="AD390" t="s" s="0">
        <v>82</v>
      </c>
      <c r="AE390" t="s" s="0">
        <v>82</v>
      </c>
      <c r="AF390" t="s" s="0">
        <v>82</v>
      </c>
      <c r="AG390" t="s" s="0">
        <v>9410</v>
      </c>
      <c r="AH390" t="s" s="0">
        <v>597</v>
      </c>
      <c r="AI390" t="s" s="0">
        <v>9411</v>
      </c>
      <c r="AJ390" t="s" s="0">
        <v>9412</v>
      </c>
      <c r="AK390" t="s" s="0">
        <v>82</v>
      </c>
      <c r="AL390" t="s" s="0">
        <v>201</v>
      </c>
      <c r="AM390" t="s" s="0">
        <v>101</v>
      </c>
      <c r="AN390" t="s" s="0">
        <v>102</v>
      </c>
      <c r="AO390" t="s" s="0">
        <v>78</v>
      </c>
      <c r="AP390" t="s" s="0">
        <v>78</v>
      </c>
      <c r="AQ390" t="s" s="0">
        <v>312</v>
      </c>
      <c r="AR390" t="s" s="0">
        <v>313</v>
      </c>
      <c r="AS390" t="s" s="0">
        <v>314</v>
      </c>
      <c r="AT390" t="s" s="0">
        <v>82</v>
      </c>
      <c r="AU390" t="s" s="0">
        <v>345</v>
      </c>
      <c r="AV390" t="s" s="0">
        <v>82</v>
      </c>
      <c r="AW390" t="s" s="0">
        <v>346</v>
      </c>
      <c r="AX390" t="s" s="0">
        <v>347</v>
      </c>
      <c r="AY390" t="s" s="0">
        <v>1457</v>
      </c>
      <c r="AZ390" t="s" s="0">
        <v>110</v>
      </c>
      <c r="BA390" t="s" s="0">
        <v>115</v>
      </c>
      <c r="BB390" t="s" s="0">
        <v>831</v>
      </c>
      <c r="BC390" t="s" s="0">
        <v>82</v>
      </c>
      <c r="BD390" t="s" s="0">
        <v>82</v>
      </c>
      <c r="BE390" t="s" s="0">
        <v>82</v>
      </c>
      <c r="BF390" t="s" s="0">
        <v>82</v>
      </c>
      <c r="BG390" t="s" s="0">
        <v>82</v>
      </c>
      <c r="BH390" t="s" s="0">
        <v>82</v>
      </c>
      <c r="BI390" t="s" s="0">
        <v>9413</v>
      </c>
      <c r="BJ390" t="s" s="0">
        <v>9414</v>
      </c>
      <c r="BK390" t="s" s="775">
        <f>HYPERLINK("http://dx.doi.org/10.3390/jcm13216437","http://dx.doi.org/10.3390/jcm13216437")</f>
        <v>9415</v>
      </c>
      <c r="BL390" t="s" s="0">
        <v>82</v>
      </c>
      <c r="BM390" t="s" s="0">
        <v>82</v>
      </c>
      <c r="BN390" t="s" s="0">
        <v>349</v>
      </c>
      <c r="BO390" t="s" s="0">
        <v>354</v>
      </c>
      <c r="BP390" t="s" s="0">
        <v>355</v>
      </c>
      <c r="BQ390" t="s" s="0">
        <v>9416</v>
      </c>
      <c r="BR390" t="s" s="0">
        <v>9417</v>
      </c>
      <c r="BS390" t="s" s="0">
        <v>9418</v>
      </c>
      <c r="BT390" t="s" s="776">
        <f>HYPERLINK("https://www.webofscience.com/wos/woscc/full-record/WOS:001351226700001","View Record in Web of Science")</f>
        <v>120</v>
      </c>
      <c r="BU390" t="s" s="0">
        <v>121</v>
      </c>
      <c r="BV390" t="s" s="0">
        <v>82</v>
      </c>
      <c r="BW390" t="s" s="0">
        <v>82</v>
      </c>
      <c r="BX390" t="s" s="0">
        <v>122</v>
      </c>
    </row>
    <row r="391">
      <c r="A391" t="s" s="0">
        <v>78</v>
      </c>
      <c r="B391" t="s" s="0">
        <v>78</v>
      </c>
      <c r="C391" t="s" s="0">
        <v>77</v>
      </c>
      <c r="D391" t="s" s="0">
        <v>78</v>
      </c>
      <c r="E391" t="s" s="0">
        <v>9419</v>
      </c>
      <c r="F391" t="s" s="0">
        <v>9420</v>
      </c>
      <c r="G391" t="s" s="0">
        <v>9421</v>
      </c>
      <c r="H391" t="s" s="0">
        <v>82</v>
      </c>
      <c r="I391" t="s" s="0">
        <v>83</v>
      </c>
      <c r="J391" t="s" s="0">
        <v>9422</v>
      </c>
      <c r="K391" t="s" s="0">
        <v>9423</v>
      </c>
      <c r="L391" t="s" s="0">
        <v>82</v>
      </c>
      <c r="M391" t="s" s="0">
        <v>82</v>
      </c>
      <c r="N391" t="s" s="0">
        <v>82</v>
      </c>
      <c r="O391" t="s" s="0">
        <v>9424</v>
      </c>
      <c r="P391" t="s" s="0">
        <v>9425</v>
      </c>
      <c r="Q391" t="s" s="0">
        <v>91</v>
      </c>
      <c r="R391" t="s" s="0">
        <v>82</v>
      </c>
      <c r="S391" t="s" s="0">
        <v>82</v>
      </c>
      <c r="T391" t="s" s="0">
        <v>82</v>
      </c>
      <c r="U391" t="s" s="0">
        <v>82</v>
      </c>
      <c r="V391" t="s" s="0">
        <v>9426</v>
      </c>
      <c r="W391" t="s" s="0">
        <v>9427</v>
      </c>
      <c r="X391" t="s" s="0">
        <v>82</v>
      </c>
      <c r="Y391" t="s" s="0">
        <v>82</v>
      </c>
      <c r="Z391" t="s" s="0">
        <v>94</v>
      </c>
      <c r="AA391" t="s" s="0">
        <v>95</v>
      </c>
      <c r="AB391" t="s" s="0">
        <v>82</v>
      </c>
      <c r="AC391" t="s" s="0">
        <v>82</v>
      </c>
      <c r="AD391" t="s" s="0">
        <v>82</v>
      </c>
      <c r="AE391" t="s" s="0">
        <v>82</v>
      </c>
      <c r="AF391" t="s" s="0">
        <v>82</v>
      </c>
      <c r="AG391" t="s" s="0">
        <v>82</v>
      </c>
      <c r="AH391" t="s" s="0">
        <v>9428</v>
      </c>
      <c r="AI391" t="s" s="0">
        <v>9429</v>
      </c>
      <c r="AJ391" t="s" s="0">
        <v>9430</v>
      </c>
      <c r="AK391" t="s" s="0">
        <v>82</v>
      </c>
      <c r="AL391" t="s" s="0">
        <v>77</v>
      </c>
      <c r="AM391" t="s" s="0">
        <v>221</v>
      </c>
      <c r="AN391" t="s" s="0">
        <v>221</v>
      </c>
      <c r="AO391" t="s" s="0">
        <v>78</v>
      </c>
      <c r="AP391" t="s" s="0">
        <v>77</v>
      </c>
      <c r="AQ391" t="s" s="0">
        <v>832</v>
      </c>
      <c r="AR391" t="s" s="0">
        <v>833</v>
      </c>
      <c r="AS391" t="s" s="0">
        <v>834</v>
      </c>
      <c r="AT391" t="s" s="0">
        <v>9431</v>
      </c>
      <c r="AU391" t="s" s="0">
        <v>9432</v>
      </c>
      <c r="AV391" t="s" s="0">
        <v>82</v>
      </c>
      <c r="AW391" t="s" s="0">
        <v>9433</v>
      </c>
      <c r="AX391" t="s" s="0">
        <v>9434</v>
      </c>
      <c r="AY391" t="s" s="0">
        <v>9435</v>
      </c>
      <c r="AZ391" t="s" s="0">
        <v>210</v>
      </c>
      <c r="BA391" t="s" s="0">
        <v>548</v>
      </c>
      <c r="BB391" t="s" s="0">
        <v>239</v>
      </c>
      <c r="BC391" t="s" s="0">
        <v>82</v>
      </c>
      <c r="BD391" t="s" s="0">
        <v>82</v>
      </c>
      <c r="BE391" t="s" s="0">
        <v>82</v>
      </c>
      <c r="BF391" t="s" s="0">
        <v>82</v>
      </c>
      <c r="BG391" t="s" s="0">
        <v>9436</v>
      </c>
      <c r="BH391" t="s" s="0">
        <v>9437</v>
      </c>
      <c r="BI391" t="s" s="0">
        <v>82</v>
      </c>
      <c r="BJ391" t="s" s="0">
        <v>9438</v>
      </c>
      <c r="BK391" t="s" s="777">
        <f>HYPERLINK("http://dx.doi.org/10.5435/JAAOS-D-23-00091","http://dx.doi.org/10.5435/JAAOS-D-23-00091")</f>
        <v>9439</v>
      </c>
      <c r="BL391" t="s" s="0">
        <v>82</v>
      </c>
      <c r="BM391" t="s" s="0">
        <v>82</v>
      </c>
      <c r="BN391" t="s" s="0">
        <v>149</v>
      </c>
      <c r="BO391" t="s" s="0">
        <v>4277</v>
      </c>
      <c r="BP391" t="s" s="0">
        <v>4277</v>
      </c>
      <c r="BQ391" t="s" s="0">
        <v>9440</v>
      </c>
      <c r="BR391" t="s" s="0">
        <v>9441</v>
      </c>
      <c r="BS391" t="s" s="0">
        <v>9442</v>
      </c>
      <c r="BT391" t="s" s="778">
        <f>HYPERLINK("https://www.webofscience.com/wos/woscc/full-record/WOS:001050034100007","View Record in Web of Science")</f>
        <v>120</v>
      </c>
      <c r="BU391" t="s" s="0">
        <v>1265</v>
      </c>
      <c r="BV391" t="s" s="0">
        <v>82</v>
      </c>
      <c r="BW391" t="s" s="0">
        <v>82</v>
      </c>
      <c r="BX391" t="s" s="0">
        <v>122</v>
      </c>
    </row>
    <row r="392">
      <c r="A392" t="s" s="0">
        <v>78</v>
      </c>
      <c r="B392" t="s" s="0">
        <v>78</v>
      </c>
      <c r="C392" t="s" s="0">
        <v>77</v>
      </c>
      <c r="D392" t="s" s="0">
        <v>78</v>
      </c>
      <c r="E392" t="s" s="0">
        <v>9443</v>
      </c>
      <c r="F392" t="s" s="0">
        <v>9444</v>
      </c>
      <c r="G392" t="s" s="0">
        <v>9445</v>
      </c>
      <c r="H392" t="s" s="0">
        <v>82</v>
      </c>
      <c r="I392" t="s" s="0">
        <v>83</v>
      </c>
      <c r="J392" t="s" s="0">
        <v>9446</v>
      </c>
      <c r="K392" t="s" s="0">
        <v>9447</v>
      </c>
      <c r="L392" t="s" s="0">
        <v>9448</v>
      </c>
      <c r="M392" t="s" s="0">
        <v>9449</v>
      </c>
      <c r="N392" t="s" s="0">
        <v>9450</v>
      </c>
      <c r="O392" t="s" s="0">
        <v>9451</v>
      </c>
      <c r="P392" t="s" s="0">
        <v>9452</v>
      </c>
      <c r="Q392" t="s" s="0">
        <v>91</v>
      </c>
      <c r="R392" t="s" s="0">
        <v>82</v>
      </c>
      <c r="S392" t="s" s="0">
        <v>82</v>
      </c>
      <c r="T392" t="s" s="0">
        <v>82</v>
      </c>
      <c r="U392" t="s" s="0">
        <v>82</v>
      </c>
      <c r="V392" t="s" s="0">
        <v>9453</v>
      </c>
      <c r="W392" t="s" s="0">
        <v>7376</v>
      </c>
      <c r="X392" t="s" s="0">
        <v>82</v>
      </c>
      <c r="Y392" t="s" s="0">
        <v>82</v>
      </c>
      <c r="Z392" t="s" s="0">
        <v>94</v>
      </c>
      <c r="AA392" t="s" s="0">
        <v>95</v>
      </c>
      <c r="AB392" t="s" s="0">
        <v>82</v>
      </c>
      <c r="AC392" t="s" s="0">
        <v>82</v>
      </c>
      <c r="AD392" t="s" s="0">
        <v>82</v>
      </c>
      <c r="AE392" t="s" s="0">
        <v>82</v>
      </c>
      <c r="AF392" t="s" s="0">
        <v>82</v>
      </c>
      <c r="AG392" t="s" s="0">
        <v>9454</v>
      </c>
      <c r="AH392" t="s" s="0">
        <v>9455</v>
      </c>
      <c r="AI392" t="s" s="0">
        <v>82</v>
      </c>
      <c r="AJ392" t="s" s="0">
        <v>82</v>
      </c>
      <c r="AK392" t="s" s="0">
        <v>82</v>
      </c>
      <c r="AL392" t="s" s="0">
        <v>1186</v>
      </c>
      <c r="AM392" t="s" s="0">
        <v>77</v>
      </c>
      <c r="AN392" t="s" s="0">
        <v>77</v>
      </c>
      <c r="AO392" t="s" s="0">
        <v>78</v>
      </c>
      <c r="AP392" t="s" s="0">
        <v>78</v>
      </c>
      <c r="AQ392" t="s" s="0">
        <v>103</v>
      </c>
      <c r="AR392" t="s" s="0">
        <v>104</v>
      </c>
      <c r="AS392" t="s" s="0">
        <v>105</v>
      </c>
      <c r="AT392" t="s" s="0">
        <v>82</v>
      </c>
      <c r="AU392" t="s" s="0">
        <v>7380</v>
      </c>
      <c r="AV392" t="s" s="0">
        <v>82</v>
      </c>
      <c r="AW392" t="s" s="0">
        <v>7376</v>
      </c>
      <c r="AX392" t="s" s="0">
        <v>7381</v>
      </c>
      <c r="AY392" t="s" s="0">
        <v>9456</v>
      </c>
      <c r="AZ392" t="s" s="0">
        <v>147</v>
      </c>
      <c r="BA392" t="s" s="0">
        <v>111</v>
      </c>
      <c r="BB392" t="s" s="0">
        <v>77</v>
      </c>
      <c r="BC392" t="s" s="0">
        <v>82</v>
      </c>
      <c r="BD392" t="s" s="0">
        <v>82</v>
      </c>
      <c r="BE392" t="s" s="0">
        <v>82</v>
      </c>
      <c r="BF392" t="s" s="0">
        <v>82</v>
      </c>
      <c r="BG392" t="s" s="0">
        <v>82</v>
      </c>
      <c r="BH392" t="s" s="0">
        <v>82</v>
      </c>
      <c r="BI392" t="s" s="0">
        <v>9457</v>
      </c>
      <c r="BJ392" t="s" s="0">
        <v>9458</v>
      </c>
      <c r="BK392" t="s" s="779">
        <f>HYPERLINK("http://dx.doi.org/10.1186/s12885-025-15338-8","http://dx.doi.org/10.1186/s12885-025-15338-8")</f>
        <v>9459</v>
      </c>
      <c r="BL392" t="s" s="0">
        <v>82</v>
      </c>
      <c r="BM392" t="s" s="0">
        <v>82</v>
      </c>
      <c r="BN392" t="s" s="0">
        <v>149</v>
      </c>
      <c r="BO392" t="s" s="0">
        <v>4833</v>
      </c>
      <c r="BP392" t="s" s="0">
        <v>4833</v>
      </c>
      <c r="BQ392" t="s" s="0">
        <v>9460</v>
      </c>
      <c r="BR392" t="s" s="0">
        <v>9461</v>
      </c>
      <c r="BS392" t="s" s="0">
        <v>9462</v>
      </c>
      <c r="BT392" t="s" s="780">
        <f>HYPERLINK("https://www.webofscience.com/wos/woscc/full-record/WOS:001651209100001","View Record in Web of Science")</f>
        <v>120</v>
      </c>
      <c r="BU392" t="s" s="0">
        <v>121</v>
      </c>
      <c r="BV392" t="s" s="0">
        <v>82</v>
      </c>
      <c r="BW392" t="s" s="0">
        <v>82</v>
      </c>
      <c r="BX392" t="s" s="0">
        <v>122</v>
      </c>
    </row>
    <row r="393">
      <c r="A393" t="s" s="0">
        <v>78</v>
      </c>
      <c r="B393" t="s" s="0">
        <v>78</v>
      </c>
      <c r="C393" t="s" s="0">
        <v>102</v>
      </c>
      <c r="D393" t="s" s="0">
        <v>78</v>
      </c>
      <c r="E393" t="s" s="0">
        <v>9463</v>
      </c>
      <c r="F393" t="s" s="0">
        <v>9464</v>
      </c>
      <c r="G393" t="s" s="0">
        <v>9465</v>
      </c>
      <c r="H393" t="s" s="0">
        <v>82</v>
      </c>
      <c r="I393" t="s" s="0">
        <v>83</v>
      </c>
      <c r="J393" t="s" s="0">
        <v>9466</v>
      </c>
      <c r="K393" t="s" s="0">
        <v>9467</v>
      </c>
      <c r="L393" t="s" s="0">
        <v>9468</v>
      </c>
      <c r="M393" t="s" s="0">
        <v>9469</v>
      </c>
      <c r="N393" t="s" s="0">
        <v>9470</v>
      </c>
      <c r="O393" t="s" s="0">
        <v>9471</v>
      </c>
      <c r="P393" t="s" s="0">
        <v>9472</v>
      </c>
      <c r="Q393" t="s" s="0">
        <v>91</v>
      </c>
      <c r="R393" t="s" s="0">
        <v>82</v>
      </c>
      <c r="S393" t="s" s="0">
        <v>82</v>
      </c>
      <c r="T393" t="s" s="0">
        <v>82</v>
      </c>
      <c r="U393" t="s" s="0">
        <v>82</v>
      </c>
      <c r="V393" t="s" s="0">
        <v>9473</v>
      </c>
      <c r="W393" t="s" s="0">
        <v>1804</v>
      </c>
      <c r="X393" t="s" s="0">
        <v>82</v>
      </c>
      <c r="Y393" t="s" s="0">
        <v>82</v>
      </c>
      <c r="Z393" t="s" s="0">
        <v>94</v>
      </c>
      <c r="AA393" t="s" s="0">
        <v>95</v>
      </c>
      <c r="AB393" t="s" s="0">
        <v>82</v>
      </c>
      <c r="AC393" t="s" s="0">
        <v>82</v>
      </c>
      <c r="AD393" t="s" s="0">
        <v>82</v>
      </c>
      <c r="AE393" t="s" s="0">
        <v>82</v>
      </c>
      <c r="AF393" t="s" s="0">
        <v>82</v>
      </c>
      <c r="AG393" t="s" s="0">
        <v>9474</v>
      </c>
      <c r="AH393" t="s" s="0">
        <v>9475</v>
      </c>
      <c r="AI393" t="s" s="0">
        <v>9476</v>
      </c>
      <c r="AJ393" t="s" s="0">
        <v>9477</v>
      </c>
      <c r="AK393" t="s" s="0">
        <v>82</v>
      </c>
      <c r="AL393" t="s" s="0">
        <v>1526</v>
      </c>
      <c r="AM393" t="s" s="0">
        <v>136</v>
      </c>
      <c r="AN393" t="s" s="0">
        <v>136</v>
      </c>
      <c r="AO393" t="s" s="0">
        <v>78</v>
      </c>
      <c r="AP393" t="s" s="0">
        <v>245</v>
      </c>
      <c r="AQ393" t="s" s="0">
        <v>1710</v>
      </c>
      <c r="AR393" t="s" s="0">
        <v>1711</v>
      </c>
      <c r="AS393" t="s" s="0">
        <v>1712</v>
      </c>
      <c r="AT393" t="s" s="0">
        <v>82</v>
      </c>
      <c r="AU393" t="s" s="0">
        <v>1809</v>
      </c>
      <c r="AV393" t="s" s="0">
        <v>82</v>
      </c>
      <c r="AW393" t="s" s="0">
        <v>1810</v>
      </c>
      <c r="AX393" t="s" s="0">
        <v>1811</v>
      </c>
      <c r="AY393" t="s" s="0">
        <v>413</v>
      </c>
      <c r="AZ393" t="s" s="0">
        <v>408</v>
      </c>
      <c r="BA393" t="s" s="0">
        <v>245</v>
      </c>
      <c r="BB393" t="s" s="0">
        <v>101</v>
      </c>
      <c r="BC393" t="s" s="0">
        <v>82</v>
      </c>
      <c r="BD393" t="s" s="0">
        <v>82</v>
      </c>
      <c r="BE393" t="s" s="0">
        <v>82</v>
      </c>
      <c r="BF393" t="s" s="0">
        <v>82</v>
      </c>
      <c r="BG393" t="s" s="0">
        <v>82</v>
      </c>
      <c r="BH393" t="s" s="0">
        <v>82</v>
      </c>
      <c r="BI393" t="s" s="0">
        <v>9478</v>
      </c>
      <c r="BJ393" t="s" s="0">
        <v>9479</v>
      </c>
      <c r="BK393" t="s" s="781">
        <f>HYPERLINK("http://dx.doi.org/10.2196/32949","http://dx.doi.org/10.2196/32949")</f>
        <v>9480</v>
      </c>
      <c r="BL393" t="s" s="0">
        <v>82</v>
      </c>
      <c r="BM393" t="s" s="0">
        <v>82</v>
      </c>
      <c r="BN393" t="s" s="0">
        <v>323</v>
      </c>
      <c r="BO393" t="s" s="0">
        <v>1815</v>
      </c>
      <c r="BP393" t="s" s="0">
        <v>1815</v>
      </c>
      <c r="BQ393" t="s" s="0">
        <v>9481</v>
      </c>
      <c r="BR393" t="s" s="0">
        <v>9482</v>
      </c>
      <c r="BS393" t="s" s="0">
        <v>9483</v>
      </c>
      <c r="BT393" t="s" s="782">
        <f>HYPERLINK("https://www.webofscience.com/wos/woscc/full-record/WOS:000781027400007","View Record in Web of Science")</f>
        <v>120</v>
      </c>
      <c r="BU393" t="s" s="0">
        <v>121</v>
      </c>
      <c r="BV393" t="s" s="0">
        <v>82</v>
      </c>
      <c r="BW393" t="s" s="0">
        <v>82</v>
      </c>
      <c r="BX393" t="s" s="0">
        <v>122</v>
      </c>
    </row>
    <row r="394">
      <c r="A394" t="s" s="0">
        <v>78</v>
      </c>
      <c r="B394" t="s" s="0">
        <v>78</v>
      </c>
      <c r="C394" t="s" s="0">
        <v>78</v>
      </c>
      <c r="D394" t="s" s="0">
        <v>78</v>
      </c>
      <c r="E394" t="s" s="0">
        <v>9484</v>
      </c>
      <c r="F394" t="s" s="0">
        <v>9485</v>
      </c>
      <c r="G394" t="s" s="0">
        <v>9486</v>
      </c>
      <c r="H394" t="s" s="0">
        <v>82</v>
      </c>
      <c r="I394" t="s" s="0">
        <v>83</v>
      </c>
      <c r="J394" t="s" s="0">
        <v>9487</v>
      </c>
      <c r="K394" t="s" s="0">
        <v>9488</v>
      </c>
      <c r="L394" t="s" s="0">
        <v>82</v>
      </c>
      <c r="M394" t="s" s="0">
        <v>82</v>
      </c>
      <c r="N394" t="s" s="0">
        <v>82</v>
      </c>
      <c r="O394" t="s" s="0">
        <v>9489</v>
      </c>
      <c r="P394" t="s" s="0">
        <v>9490</v>
      </c>
      <c r="Q394" t="s" s="0">
        <v>91</v>
      </c>
      <c r="R394" t="s" s="0">
        <v>82</v>
      </c>
      <c r="S394" t="s" s="0">
        <v>82</v>
      </c>
      <c r="T394" t="s" s="0">
        <v>82</v>
      </c>
      <c r="U394" t="s" s="0">
        <v>82</v>
      </c>
      <c r="V394" t="s" s="0">
        <v>9491</v>
      </c>
      <c r="W394" t="s" s="0">
        <v>5619</v>
      </c>
      <c r="X394" t="s" s="0">
        <v>82</v>
      </c>
      <c r="Y394" t="s" s="0">
        <v>82</v>
      </c>
      <c r="Z394" t="s" s="0">
        <v>94</v>
      </c>
      <c r="AA394" t="s" s="0">
        <v>95</v>
      </c>
      <c r="AB394" t="s" s="0">
        <v>82</v>
      </c>
      <c r="AC394" t="s" s="0">
        <v>82</v>
      </c>
      <c r="AD394" t="s" s="0">
        <v>82</v>
      </c>
      <c r="AE394" t="s" s="0">
        <v>82</v>
      </c>
      <c r="AF394" t="s" s="0">
        <v>82</v>
      </c>
      <c r="AG394" t="s" s="0">
        <v>9492</v>
      </c>
      <c r="AH394" t="s" s="0">
        <v>9493</v>
      </c>
      <c r="AI394" t="s" s="0">
        <v>82</v>
      </c>
      <c r="AJ394" t="s" s="0">
        <v>82</v>
      </c>
      <c r="AK394" t="s" s="0">
        <v>82</v>
      </c>
      <c r="AL394" t="s" s="0">
        <v>755</v>
      </c>
      <c r="AM394" t="s" s="0">
        <v>78</v>
      </c>
      <c r="AN394" t="s" s="0">
        <v>78</v>
      </c>
      <c r="AO394" t="s" s="0">
        <v>78</v>
      </c>
      <c r="AP394" t="s" s="0">
        <v>78</v>
      </c>
      <c r="AQ394" t="s" s="0">
        <v>2484</v>
      </c>
      <c r="AR394" t="s" s="0">
        <v>2485</v>
      </c>
      <c r="AS394" t="s" s="0">
        <v>2486</v>
      </c>
      <c r="AT394" t="s" s="0">
        <v>5623</v>
      </c>
      <c r="AU394" t="s" s="0">
        <v>82</v>
      </c>
      <c r="AV394" t="s" s="0">
        <v>82</v>
      </c>
      <c r="AW394" t="s" s="0">
        <v>5624</v>
      </c>
      <c r="AX394" t="s" s="0">
        <v>5625</v>
      </c>
      <c r="AY394" t="s" s="0">
        <v>9494</v>
      </c>
      <c r="AZ394" t="s" s="0">
        <v>181</v>
      </c>
      <c r="BA394" t="s" s="0">
        <v>115</v>
      </c>
      <c r="BB394" t="s" s="0">
        <v>82</v>
      </c>
      <c r="BC394" t="s" s="0">
        <v>82</v>
      </c>
      <c r="BD394" t="s" s="0">
        <v>82</v>
      </c>
      <c r="BE394" t="s" s="0">
        <v>82</v>
      </c>
      <c r="BF394" t="s" s="0">
        <v>82</v>
      </c>
      <c r="BG394" t="s" s="0">
        <v>82</v>
      </c>
      <c r="BH394" t="s" s="0">
        <v>82</v>
      </c>
      <c r="BI394" t="s" s="0">
        <v>9495</v>
      </c>
      <c r="BJ394" t="s" s="0">
        <v>9496</v>
      </c>
      <c r="BK394" t="s" s="783">
        <f>HYPERLINK("http://dx.doi.org/10.3389/fcvm.2026.1814149","http://dx.doi.org/10.3389/fcvm.2026.1814149")</f>
        <v>9497</v>
      </c>
      <c r="BL394" t="s" s="0">
        <v>82</v>
      </c>
      <c r="BM394" t="s" s="0">
        <v>82</v>
      </c>
      <c r="BN394" t="s" s="0">
        <v>323</v>
      </c>
      <c r="BO394" t="s" s="0">
        <v>503</v>
      </c>
      <c r="BP394" t="s" s="0">
        <v>504</v>
      </c>
      <c r="BQ394" t="s" s="0">
        <v>9498</v>
      </c>
      <c r="BR394" t="s" s="0">
        <v>9499</v>
      </c>
      <c r="BS394" t="s" s="0">
        <v>9500</v>
      </c>
      <c r="BT394" t="s" s="784">
        <f>HYPERLINK("https://www.webofscience.com/wos/woscc/full-record/WOS:001828019500001","View Record in Web of Science")</f>
        <v>120</v>
      </c>
      <c r="BU394" t="s" s="0">
        <v>121</v>
      </c>
      <c r="BV394" t="s" s="0">
        <v>82</v>
      </c>
      <c r="BW394" t="s" s="0">
        <v>82</v>
      </c>
      <c r="BX394" t="s" s="0">
        <v>122</v>
      </c>
    </row>
    <row r="395">
      <c r="A395" t="s" s="0">
        <v>78</v>
      </c>
      <c r="B395" t="s" s="0">
        <v>78</v>
      </c>
      <c r="C395" t="s" s="0">
        <v>78</v>
      </c>
      <c r="D395" t="s" s="0">
        <v>78</v>
      </c>
      <c r="E395" t="s" s="0">
        <v>9501</v>
      </c>
      <c r="F395" t="s" s="0">
        <v>9502</v>
      </c>
      <c r="G395" t="s" s="0">
        <v>9503</v>
      </c>
      <c r="H395" t="s" s="0">
        <v>82</v>
      </c>
      <c r="I395" t="s" s="0">
        <v>83</v>
      </c>
      <c r="J395" t="s" s="0">
        <v>9504</v>
      </c>
      <c r="K395" t="s" s="0">
        <v>82</v>
      </c>
      <c r="L395" t="s" s="0">
        <v>9505</v>
      </c>
      <c r="M395" t="s" s="0">
        <v>9506</v>
      </c>
      <c r="N395" t="s" s="0">
        <v>9507</v>
      </c>
      <c r="O395" t="s" s="0">
        <v>9508</v>
      </c>
      <c r="P395" t="s" s="0">
        <v>9509</v>
      </c>
      <c r="Q395" t="s" s="0">
        <v>91</v>
      </c>
      <c r="R395" t="s" s="0">
        <v>82</v>
      </c>
      <c r="S395" t="s" s="0">
        <v>82</v>
      </c>
      <c r="T395" t="s" s="0">
        <v>82</v>
      </c>
      <c r="U395" t="s" s="0">
        <v>82</v>
      </c>
      <c r="V395" t="s" s="0">
        <v>9510</v>
      </c>
      <c r="W395" t="s" s="0">
        <v>9511</v>
      </c>
      <c r="X395" t="s" s="0">
        <v>82</v>
      </c>
      <c r="Y395" t="s" s="0">
        <v>82</v>
      </c>
      <c r="Z395" t="s" s="0">
        <v>94</v>
      </c>
      <c r="AA395" t="s" s="0">
        <v>95</v>
      </c>
      <c r="AB395" t="s" s="0">
        <v>82</v>
      </c>
      <c r="AC395" t="s" s="0">
        <v>82</v>
      </c>
      <c r="AD395" t="s" s="0">
        <v>82</v>
      </c>
      <c r="AE395" t="s" s="0">
        <v>82</v>
      </c>
      <c r="AF395" t="s" s="0">
        <v>82</v>
      </c>
      <c r="AG395" t="s" s="0">
        <v>9512</v>
      </c>
      <c r="AH395" t="s" s="0">
        <v>9513</v>
      </c>
      <c r="AI395" t="s" s="0">
        <v>9514</v>
      </c>
      <c r="AJ395" t="s" s="0">
        <v>82</v>
      </c>
      <c r="AK395" t="s" s="0">
        <v>82</v>
      </c>
      <c r="AL395" t="s" s="0">
        <v>829</v>
      </c>
      <c r="AM395" t="s" s="0">
        <v>447</v>
      </c>
      <c r="AN395" t="s" s="0">
        <v>447</v>
      </c>
      <c r="AO395" t="s" s="0">
        <v>101</v>
      </c>
      <c r="AP395" t="s" s="0">
        <v>154</v>
      </c>
      <c r="AQ395" t="s" s="0">
        <v>9515</v>
      </c>
      <c r="AR395" t="s" s="0">
        <v>9516</v>
      </c>
      <c r="AS395" t="s" s="0">
        <v>9517</v>
      </c>
      <c r="AT395" t="s" s="0">
        <v>9518</v>
      </c>
      <c r="AU395" t="s" s="0">
        <v>9519</v>
      </c>
      <c r="AV395" t="s" s="0">
        <v>82</v>
      </c>
      <c r="AW395" t="s" s="0">
        <v>9511</v>
      </c>
      <c r="AX395" t="s" s="0">
        <v>9520</v>
      </c>
      <c r="AY395" t="s" s="0">
        <v>9521</v>
      </c>
      <c r="AZ395" t="s" s="0">
        <v>147</v>
      </c>
      <c r="BA395" t="s" s="0">
        <v>829</v>
      </c>
      <c r="BB395" t="s" s="0">
        <v>77</v>
      </c>
      <c r="BC395" t="s" s="0">
        <v>82</v>
      </c>
      <c r="BD395" t="s" s="0">
        <v>82</v>
      </c>
      <c r="BE395" t="s" s="0">
        <v>82</v>
      </c>
      <c r="BF395" t="s" s="0">
        <v>82</v>
      </c>
      <c r="BG395" t="s" s="0">
        <v>82</v>
      </c>
      <c r="BH395" t="s" s="0">
        <v>82</v>
      </c>
      <c r="BI395" t="s" s="0">
        <v>9522</v>
      </c>
      <c r="BJ395" t="s" s="0">
        <v>9523</v>
      </c>
      <c r="BK395" t="s" s="785">
        <f>HYPERLINK("http://dx.doi.org/10.1080/0886022X.2025.2491656","http://dx.doi.org/10.1080/0886022X.2025.2491656")</f>
        <v>9524</v>
      </c>
      <c r="BL395" t="s" s="0">
        <v>82</v>
      </c>
      <c r="BM395" t="s" s="0">
        <v>82</v>
      </c>
      <c r="BN395" t="s" s="0">
        <v>323</v>
      </c>
      <c r="BO395" t="s" s="0">
        <v>1197</v>
      </c>
      <c r="BP395" t="s" s="0">
        <v>1197</v>
      </c>
      <c r="BQ395" t="s" s="0">
        <v>9525</v>
      </c>
      <c r="BR395" t="s" s="0">
        <v>9526</v>
      </c>
      <c r="BS395" t="s" s="0">
        <v>9527</v>
      </c>
      <c r="BT395" t="s" s="786">
        <f>HYPERLINK("https://www.webofscience.com/wos/woscc/full-record/WOS:001475860300001","View Record in Web of Science")</f>
        <v>120</v>
      </c>
      <c r="BU395" t="s" s="0">
        <v>4918</v>
      </c>
      <c r="BV395" t="s" s="0">
        <v>82</v>
      </c>
      <c r="BW395" t="s" s="0">
        <v>82</v>
      </c>
      <c r="BX395" t="s" s="0">
        <v>122</v>
      </c>
    </row>
    <row r="396">
      <c r="A396" t="s" s="0">
        <v>78</v>
      </c>
      <c r="B396" t="s" s="0">
        <v>78</v>
      </c>
      <c r="C396" t="s" s="0">
        <v>78</v>
      </c>
      <c r="D396" t="s" s="0">
        <v>78</v>
      </c>
      <c r="E396" t="s" s="0">
        <v>9528</v>
      </c>
      <c r="F396" t="s" s="0">
        <v>9529</v>
      </c>
      <c r="G396" t="s" s="0">
        <v>9530</v>
      </c>
      <c r="H396" t="s" s="0">
        <v>82</v>
      </c>
      <c r="I396" t="s" s="0">
        <v>83</v>
      </c>
      <c r="J396" t="s" s="0">
        <v>9531</v>
      </c>
      <c r="K396" t="s" s="0">
        <v>9532</v>
      </c>
      <c r="L396" t="s" s="0">
        <v>82</v>
      </c>
      <c r="M396" t="s" s="0">
        <v>82</v>
      </c>
      <c r="N396" t="s" s="0">
        <v>82</v>
      </c>
      <c r="O396" t="s" s="0">
        <v>9533</v>
      </c>
      <c r="P396" t="s" s="0">
        <v>9534</v>
      </c>
      <c r="Q396" t="s" s="0">
        <v>91</v>
      </c>
      <c r="R396" t="s" s="0">
        <v>82</v>
      </c>
      <c r="S396" t="s" s="0">
        <v>82</v>
      </c>
      <c r="T396" t="s" s="0">
        <v>82</v>
      </c>
      <c r="U396" t="s" s="0">
        <v>82</v>
      </c>
      <c r="V396" t="s" s="0">
        <v>9535</v>
      </c>
      <c r="W396" t="s" s="0">
        <v>595</v>
      </c>
      <c r="X396" t="s" s="0">
        <v>82</v>
      </c>
      <c r="Y396" t="s" s="0">
        <v>82</v>
      </c>
      <c r="Z396" t="s" s="0">
        <v>94</v>
      </c>
      <c r="AA396" t="s" s="0">
        <v>95</v>
      </c>
      <c r="AB396" t="s" s="0">
        <v>82</v>
      </c>
      <c r="AC396" t="s" s="0">
        <v>82</v>
      </c>
      <c r="AD396" t="s" s="0">
        <v>82</v>
      </c>
      <c r="AE396" t="s" s="0">
        <v>82</v>
      </c>
      <c r="AF396" t="s" s="0">
        <v>82</v>
      </c>
      <c r="AG396" t="s" s="0">
        <v>9536</v>
      </c>
      <c r="AH396" t="s" s="0">
        <v>9537</v>
      </c>
      <c r="AI396" t="s" s="0">
        <v>82</v>
      </c>
      <c r="AJ396" t="s" s="0">
        <v>82</v>
      </c>
      <c r="AK396" t="s" s="0">
        <v>82</v>
      </c>
      <c r="AL396" t="s" s="0">
        <v>1186</v>
      </c>
      <c r="AM396" t="s" s="0">
        <v>78</v>
      </c>
      <c r="AN396" t="s" s="0">
        <v>78</v>
      </c>
      <c r="AO396" t="s" s="0">
        <v>447</v>
      </c>
      <c r="AP396" t="s" s="0">
        <v>447</v>
      </c>
      <c r="AQ396" t="s" s="0">
        <v>600</v>
      </c>
      <c r="AR396" t="s" s="0">
        <v>601</v>
      </c>
      <c r="AS396" t="s" s="0">
        <v>602</v>
      </c>
      <c r="AT396" t="s" s="0">
        <v>603</v>
      </c>
      <c r="AU396" t="s" s="0">
        <v>604</v>
      </c>
      <c r="AV396" t="s" s="0">
        <v>82</v>
      </c>
      <c r="AW396" t="s" s="0">
        <v>605</v>
      </c>
      <c r="AX396" t="s" s="0">
        <v>606</v>
      </c>
      <c r="AY396" t="s" s="0">
        <v>3226</v>
      </c>
      <c r="AZ396" t="s" s="0">
        <v>181</v>
      </c>
      <c r="BA396" t="s" s="0">
        <v>7293</v>
      </c>
      <c r="BB396" t="s" s="0">
        <v>82</v>
      </c>
      <c r="BC396" t="s" s="0">
        <v>82</v>
      </c>
      <c r="BD396" t="s" s="0">
        <v>82</v>
      </c>
      <c r="BE396" t="s" s="0">
        <v>82</v>
      </c>
      <c r="BF396" t="s" s="0">
        <v>82</v>
      </c>
      <c r="BG396" t="s" s="0">
        <v>82</v>
      </c>
      <c r="BH396" t="s" s="0">
        <v>82</v>
      </c>
      <c r="BI396" t="s" s="0">
        <v>9538</v>
      </c>
      <c r="BJ396" t="s" s="0">
        <v>9539</v>
      </c>
      <c r="BK396" t="s" s="787">
        <f>HYPERLINK("http://dx.doi.org/10.1016/j.jocn.2026.112014","http://dx.doi.org/10.1016/j.jocn.2026.112014")</f>
        <v>9540</v>
      </c>
      <c r="BL396" t="s" s="0">
        <v>82</v>
      </c>
      <c r="BM396" t="s" s="0">
        <v>82</v>
      </c>
      <c r="BN396" t="s" s="0">
        <v>138</v>
      </c>
      <c r="BO396" t="s" s="0">
        <v>613</v>
      </c>
      <c r="BP396" t="s" s="0">
        <v>252</v>
      </c>
      <c r="BQ396" t="s" s="0">
        <v>9541</v>
      </c>
      <c r="BR396" t="s" s="0">
        <v>9542</v>
      </c>
      <c r="BS396" t="s" s="0">
        <v>9543</v>
      </c>
      <c r="BT396" t="s" s="788">
        <f>HYPERLINK("https://www.webofscience.com/wos/woscc/full-record/WOS:001738238800001","View Record in Web of Science")</f>
        <v>120</v>
      </c>
      <c r="BU396" t="s" s="0">
        <v>82</v>
      </c>
      <c r="BV396" t="s" s="0">
        <v>82</v>
      </c>
      <c r="BW396" t="s" s="0">
        <v>82</v>
      </c>
      <c r="BX396" t="s" s="0">
        <v>122</v>
      </c>
    </row>
    <row r="397">
      <c r="A397" t="s" s="0">
        <v>78</v>
      </c>
      <c r="B397" t="s" s="0">
        <v>78</v>
      </c>
      <c r="C397" t="s" s="0">
        <v>78</v>
      </c>
      <c r="D397" t="s" s="0">
        <v>78</v>
      </c>
      <c r="E397" t="s" s="0">
        <v>9544</v>
      </c>
      <c r="F397" t="s" s="0">
        <v>9545</v>
      </c>
      <c r="G397" t="s" s="0">
        <v>9546</v>
      </c>
      <c r="H397" t="s" s="0">
        <v>82</v>
      </c>
      <c r="I397" t="s" s="0">
        <v>83</v>
      </c>
      <c r="J397" t="s" s="0">
        <v>9547</v>
      </c>
      <c r="K397" t="s" s="0">
        <v>9548</v>
      </c>
      <c r="L397" t="s" s="0">
        <v>9549</v>
      </c>
      <c r="M397" t="s" s="0">
        <v>9550</v>
      </c>
      <c r="N397" t="s" s="0">
        <v>88</v>
      </c>
      <c r="O397" t="s" s="0">
        <v>9551</v>
      </c>
      <c r="P397" t="s" s="0">
        <v>8435</v>
      </c>
      <c r="Q397" t="s" s="0">
        <v>91</v>
      </c>
      <c r="R397" t="s" s="0">
        <v>82</v>
      </c>
      <c r="S397" t="s" s="0">
        <v>82</v>
      </c>
      <c r="T397" t="s" s="0">
        <v>82</v>
      </c>
      <c r="U397" t="s" s="0">
        <v>82</v>
      </c>
      <c r="V397" t="s" s="0">
        <v>9552</v>
      </c>
      <c r="W397" t="s" s="0">
        <v>9553</v>
      </c>
      <c r="X397" t="s" s="0">
        <v>82</v>
      </c>
      <c r="Y397" t="s" s="0">
        <v>82</v>
      </c>
      <c r="Z397" t="s" s="0">
        <v>94</v>
      </c>
      <c r="AA397" t="s" s="0">
        <v>95</v>
      </c>
      <c r="AB397" t="s" s="0">
        <v>82</v>
      </c>
      <c r="AC397" t="s" s="0">
        <v>82</v>
      </c>
      <c r="AD397" t="s" s="0">
        <v>82</v>
      </c>
      <c r="AE397" t="s" s="0">
        <v>82</v>
      </c>
      <c r="AF397" t="s" s="0">
        <v>82</v>
      </c>
      <c r="AG397" t="s" s="0">
        <v>9554</v>
      </c>
      <c r="AH397" t="s" s="0">
        <v>9555</v>
      </c>
      <c r="AI397" t="s" s="0">
        <v>82</v>
      </c>
      <c r="AJ397" t="s" s="0">
        <v>82</v>
      </c>
      <c r="AK397" t="s" s="0">
        <v>82</v>
      </c>
      <c r="AL397" t="s" s="0">
        <v>1780</v>
      </c>
      <c r="AM397" t="s" s="0">
        <v>78</v>
      </c>
      <c r="AN397" t="s" s="0">
        <v>78</v>
      </c>
      <c r="AO397" t="s" s="0">
        <v>447</v>
      </c>
      <c r="AP397" t="s" s="0">
        <v>447</v>
      </c>
      <c r="AQ397" t="s" s="0">
        <v>103</v>
      </c>
      <c r="AR397" t="s" s="0">
        <v>104</v>
      </c>
      <c r="AS397" t="s" s="0">
        <v>105</v>
      </c>
      <c r="AT397" t="s" s="0">
        <v>82</v>
      </c>
      <c r="AU397" t="s" s="0">
        <v>9556</v>
      </c>
      <c r="AV397" t="s" s="0">
        <v>82</v>
      </c>
      <c r="AW397" t="s" s="0">
        <v>9557</v>
      </c>
      <c r="AX397" t="s" s="0">
        <v>9558</v>
      </c>
      <c r="AY397" t="s" s="0">
        <v>9559</v>
      </c>
      <c r="AZ397" t="s" s="0">
        <v>181</v>
      </c>
      <c r="BA397" t="s" s="0">
        <v>353</v>
      </c>
      <c r="BB397" t="s" s="0">
        <v>77</v>
      </c>
      <c r="BC397" t="s" s="0">
        <v>82</v>
      </c>
      <c r="BD397" t="s" s="0">
        <v>82</v>
      </c>
      <c r="BE397" t="s" s="0">
        <v>82</v>
      </c>
      <c r="BF397" t="s" s="0">
        <v>82</v>
      </c>
      <c r="BG397" t="s" s="0">
        <v>82</v>
      </c>
      <c r="BH397" t="s" s="0">
        <v>82</v>
      </c>
      <c r="BI397" t="s" s="0">
        <v>807</v>
      </c>
      <c r="BJ397" t="s" s="0">
        <v>9560</v>
      </c>
      <c r="BK397" t="s" s="789">
        <f>HYPERLINK("http://dx.doi.org/10.1186/s12876-026-04709-5","http://dx.doi.org/10.1186/s12876-026-04709-5")</f>
        <v>9561</v>
      </c>
      <c r="BL397" t="s" s="0">
        <v>82</v>
      </c>
      <c r="BM397" t="s" s="0">
        <v>153</v>
      </c>
      <c r="BN397" t="s" s="0">
        <v>245</v>
      </c>
      <c r="BO397" t="s" s="0">
        <v>924</v>
      </c>
      <c r="BP397" t="s" s="0">
        <v>924</v>
      </c>
      <c r="BQ397" t="s" s="0">
        <v>9562</v>
      </c>
      <c r="BR397" t="s" s="0">
        <v>9563</v>
      </c>
      <c r="BS397" t="s" s="0">
        <v>9564</v>
      </c>
      <c r="BT397" t="s" s="790">
        <f>HYPERLINK("https://www.webofscience.com/wos/woscc/full-record/WOS:001734811000001","View Record in Web of Science")</f>
        <v>120</v>
      </c>
      <c r="BU397" t="s" s="0">
        <v>1008</v>
      </c>
      <c r="BV397" t="s" s="0">
        <v>82</v>
      </c>
      <c r="BW397" t="s" s="0">
        <v>82</v>
      </c>
      <c r="BX397" t="s" s="0">
        <v>122</v>
      </c>
    </row>
    <row r="398">
      <c r="A398" t="s" s="0">
        <v>78</v>
      </c>
      <c r="B398" t="s" s="0">
        <v>78</v>
      </c>
      <c r="C398" t="s" s="0">
        <v>78</v>
      </c>
      <c r="D398" t="s" s="0">
        <v>78</v>
      </c>
      <c r="E398" t="s" s="0">
        <v>9565</v>
      </c>
      <c r="F398" t="s" s="0">
        <v>9566</v>
      </c>
      <c r="G398" t="s" s="0">
        <v>9567</v>
      </c>
      <c r="H398" t="s" s="0">
        <v>82</v>
      </c>
      <c r="I398" t="s" s="0">
        <v>83</v>
      </c>
      <c r="J398" t="s" s="0">
        <v>9568</v>
      </c>
      <c r="K398" t="s" s="0">
        <v>9569</v>
      </c>
      <c r="L398" t="s" s="0">
        <v>9570</v>
      </c>
      <c r="M398" t="s" s="0">
        <v>9571</v>
      </c>
      <c r="N398" t="s" s="0">
        <v>9572</v>
      </c>
      <c r="O398" t="s" s="0">
        <v>9573</v>
      </c>
      <c r="P398" t="s" s="0">
        <v>9574</v>
      </c>
      <c r="Q398" t="s" s="0">
        <v>91</v>
      </c>
      <c r="R398" t="s" s="0">
        <v>82</v>
      </c>
      <c r="S398" t="s" s="0">
        <v>82</v>
      </c>
      <c r="T398" t="s" s="0">
        <v>82</v>
      </c>
      <c r="U398" t="s" s="0">
        <v>82</v>
      </c>
      <c r="V398" t="s" s="0">
        <v>9575</v>
      </c>
      <c r="W398" t="s" s="0">
        <v>9576</v>
      </c>
      <c r="X398" t="s" s="0">
        <v>82</v>
      </c>
      <c r="Y398" t="s" s="0">
        <v>82</v>
      </c>
      <c r="Z398" t="s" s="0">
        <v>94</v>
      </c>
      <c r="AA398" t="s" s="0">
        <v>95</v>
      </c>
      <c r="AB398" t="s" s="0">
        <v>82</v>
      </c>
      <c r="AC398" t="s" s="0">
        <v>82</v>
      </c>
      <c r="AD398" t="s" s="0">
        <v>82</v>
      </c>
      <c r="AE398" t="s" s="0">
        <v>82</v>
      </c>
      <c r="AF398" t="s" s="0">
        <v>82</v>
      </c>
      <c r="AG398" t="s" s="0">
        <v>82</v>
      </c>
      <c r="AH398" t="s" s="0">
        <v>9577</v>
      </c>
      <c r="AI398" t="s" s="0">
        <v>82</v>
      </c>
      <c r="AJ398" t="s" s="0">
        <v>9578</v>
      </c>
      <c r="AK398" t="s" s="0">
        <v>82</v>
      </c>
      <c r="AL398" t="s" s="0">
        <v>632</v>
      </c>
      <c r="AM398" t="s" s="0">
        <v>102</v>
      </c>
      <c r="AN398" t="s" s="0">
        <v>102</v>
      </c>
      <c r="AO398" t="s" s="0">
        <v>78</v>
      </c>
      <c r="AP398" t="s" s="0">
        <v>375</v>
      </c>
      <c r="AQ398" t="s" s="0">
        <v>174</v>
      </c>
      <c r="AR398" t="s" s="0">
        <v>175</v>
      </c>
      <c r="AS398" t="s" s="0">
        <v>176</v>
      </c>
      <c r="AT398" t="s" s="0">
        <v>9579</v>
      </c>
      <c r="AU398" t="s" s="0">
        <v>9580</v>
      </c>
      <c r="AV398" t="s" s="0">
        <v>82</v>
      </c>
      <c r="AW398" t="s" s="0">
        <v>9581</v>
      </c>
      <c r="AX398" t="s" s="0">
        <v>9582</v>
      </c>
      <c r="AY398" t="s" s="0">
        <v>9583</v>
      </c>
      <c r="AZ398" t="s" s="0">
        <v>210</v>
      </c>
      <c r="BA398" t="s" s="0">
        <v>210</v>
      </c>
      <c r="BB398" t="s" s="0">
        <v>82</v>
      </c>
      <c r="BC398" t="s" s="0">
        <v>82</v>
      </c>
      <c r="BD398" t="s" s="0">
        <v>82</v>
      </c>
      <c r="BE398" t="s" s="0">
        <v>82</v>
      </c>
      <c r="BF398" t="s" s="0">
        <v>82</v>
      </c>
      <c r="BG398" t="s" s="0">
        <v>82</v>
      </c>
      <c r="BH398" t="s" s="0">
        <v>82</v>
      </c>
      <c r="BI398" t="s" s="0">
        <v>9584</v>
      </c>
      <c r="BJ398" t="s" s="0">
        <v>9585</v>
      </c>
      <c r="BK398" t="s" s="791">
        <f>HYPERLINK("http://dx.doi.org/10.1155/2023/8001899","http://dx.doi.org/10.1155/2023/8001899")</f>
        <v>9586</v>
      </c>
      <c r="BL398" t="s" s="0">
        <v>82</v>
      </c>
      <c r="BM398" t="s" s="0">
        <v>82</v>
      </c>
      <c r="BN398" t="s" s="0">
        <v>115</v>
      </c>
      <c r="BO398" t="s" s="0">
        <v>9587</v>
      </c>
      <c r="BP398" t="s" s="0">
        <v>9588</v>
      </c>
      <c r="BQ398" t="s" s="0">
        <v>9589</v>
      </c>
      <c r="BR398" t="s" s="0">
        <v>9590</v>
      </c>
      <c r="BS398" t="s" s="0">
        <v>9591</v>
      </c>
      <c r="BT398" t="s" s="792">
        <f>HYPERLINK("https://www.webofscience.com/wos/woscc/full-record/WOS:001017678400001","View Record in Web of Science")</f>
        <v>120</v>
      </c>
      <c r="BU398" t="s" s="0">
        <v>121</v>
      </c>
      <c r="BV398" t="s" s="0">
        <v>82</v>
      </c>
      <c r="BW398" t="s" s="0">
        <v>82</v>
      </c>
      <c r="BX398" t="s" s="0">
        <v>122</v>
      </c>
    </row>
    <row r="399">
      <c r="A399" t="s" s="0">
        <v>78</v>
      </c>
      <c r="B399" t="s" s="0">
        <v>78</v>
      </c>
      <c r="C399" t="s" s="0">
        <v>78</v>
      </c>
      <c r="D399" t="s" s="0">
        <v>78</v>
      </c>
      <c r="E399" t="s" s="0">
        <v>9592</v>
      </c>
      <c r="F399" t="s" s="0">
        <v>9593</v>
      </c>
      <c r="G399" t="s" s="0">
        <v>9594</v>
      </c>
      <c r="H399" t="s" s="0">
        <v>82</v>
      </c>
      <c r="I399" t="s" s="0">
        <v>83</v>
      </c>
      <c r="J399" t="s" s="0">
        <v>9595</v>
      </c>
      <c r="K399" t="s" s="0">
        <v>9596</v>
      </c>
      <c r="L399" t="s" s="0">
        <v>9597</v>
      </c>
      <c r="M399" t="s" s="0">
        <v>9598</v>
      </c>
      <c r="N399" t="s" s="0">
        <v>9599</v>
      </c>
      <c r="O399" t="s" s="0">
        <v>9600</v>
      </c>
      <c r="P399" t="s" s="0">
        <v>82</v>
      </c>
      <c r="Q399" t="s" s="0">
        <v>91</v>
      </c>
      <c r="R399" t="s" s="0">
        <v>82</v>
      </c>
      <c r="S399" t="s" s="0">
        <v>82</v>
      </c>
      <c r="T399" t="s" s="0">
        <v>82</v>
      </c>
      <c r="U399" t="s" s="0">
        <v>82</v>
      </c>
      <c r="V399" t="s" s="0">
        <v>9601</v>
      </c>
      <c r="W399" t="s" s="0">
        <v>6933</v>
      </c>
      <c r="X399" t="s" s="0">
        <v>82</v>
      </c>
      <c r="Y399" t="s" s="0">
        <v>82</v>
      </c>
      <c r="Z399" t="s" s="0">
        <v>94</v>
      </c>
      <c r="AA399" t="s" s="0">
        <v>95</v>
      </c>
      <c r="AB399" t="s" s="0">
        <v>82</v>
      </c>
      <c r="AC399" t="s" s="0">
        <v>82</v>
      </c>
      <c r="AD399" t="s" s="0">
        <v>82</v>
      </c>
      <c r="AE399" t="s" s="0">
        <v>82</v>
      </c>
      <c r="AF399" t="s" s="0">
        <v>82</v>
      </c>
      <c r="AG399" t="s" s="0">
        <v>9602</v>
      </c>
      <c r="AH399" t="s" s="0">
        <v>82</v>
      </c>
      <c r="AI399" t="s" s="0">
        <v>9603</v>
      </c>
      <c r="AJ399" t="s" s="0">
        <v>82</v>
      </c>
      <c r="AK399" t="s" s="0">
        <v>82</v>
      </c>
      <c r="AL399" t="s" s="0">
        <v>685</v>
      </c>
      <c r="AM399" t="s" s="0">
        <v>78</v>
      </c>
      <c r="AN399" t="s" s="0">
        <v>78</v>
      </c>
      <c r="AO399" t="s" s="0">
        <v>77</v>
      </c>
      <c r="AP399" t="s" s="0">
        <v>77</v>
      </c>
      <c r="AQ399" t="s" s="0">
        <v>2051</v>
      </c>
      <c r="AR399" t="s" s="0">
        <v>203</v>
      </c>
      <c r="AS399" t="s" s="0">
        <v>2052</v>
      </c>
      <c r="AT399" t="s" s="0">
        <v>82</v>
      </c>
      <c r="AU399" t="s" s="0">
        <v>6935</v>
      </c>
      <c r="AV399" t="s" s="0">
        <v>82</v>
      </c>
      <c r="AW399" t="s" s="0">
        <v>6936</v>
      </c>
      <c r="AX399" t="s" s="0">
        <v>6937</v>
      </c>
      <c r="AY399" t="s" s="0">
        <v>9604</v>
      </c>
      <c r="AZ399" t="s" s="0">
        <v>181</v>
      </c>
      <c r="BA399" t="s" s="0">
        <v>239</v>
      </c>
      <c r="BB399" t="s" s="0">
        <v>77</v>
      </c>
      <c r="BC399" t="s" s="0">
        <v>82</v>
      </c>
      <c r="BD399" t="s" s="0">
        <v>82</v>
      </c>
      <c r="BE399" t="s" s="0">
        <v>82</v>
      </c>
      <c r="BF399" t="s" s="0">
        <v>82</v>
      </c>
      <c r="BG399" t="s" s="0">
        <v>82</v>
      </c>
      <c r="BH399" t="s" s="0">
        <v>82</v>
      </c>
      <c r="BI399" t="s" s="0">
        <v>9605</v>
      </c>
      <c r="BJ399" t="s" s="0">
        <v>9606</v>
      </c>
      <c r="BK399" t="s" s="793">
        <f>HYPERLINK("http://dx.doi.org/10.1007/s12672-026-05099-6","http://dx.doi.org/10.1007/s12672-026-05099-6")</f>
        <v>9607</v>
      </c>
      <c r="BL399" t="s" s="0">
        <v>82</v>
      </c>
      <c r="BM399" t="s" s="0">
        <v>82</v>
      </c>
      <c r="BN399" t="s" s="0">
        <v>311</v>
      </c>
      <c r="BO399" t="s" s="0">
        <v>6942</v>
      </c>
      <c r="BP399" t="s" s="0">
        <v>6942</v>
      </c>
      <c r="BQ399" t="s" s="0">
        <v>9608</v>
      </c>
      <c r="BR399" t="s" s="0">
        <v>9609</v>
      </c>
      <c r="BS399" t="s" s="0">
        <v>9610</v>
      </c>
      <c r="BT399" t="s" s="794">
        <f>HYPERLINK("https://www.webofscience.com/wos/woscc/full-record/WOS:001832821500001","View Record in Web of Science")</f>
        <v>120</v>
      </c>
      <c r="BU399" t="s" s="0">
        <v>121</v>
      </c>
      <c r="BV399" t="s" s="0">
        <v>82</v>
      </c>
      <c r="BW399" t="s" s="0">
        <v>82</v>
      </c>
      <c r="BX399" t="s" s="0">
        <v>122</v>
      </c>
    </row>
    <row r="400">
      <c r="A400" t="s" s="0">
        <v>78</v>
      </c>
      <c r="B400" t="s" s="0">
        <v>78</v>
      </c>
      <c r="C400" t="s" s="0">
        <v>77</v>
      </c>
      <c r="D400" t="s" s="0">
        <v>78</v>
      </c>
      <c r="E400" t="s" s="0">
        <v>9611</v>
      </c>
      <c r="F400" t="s" s="0">
        <v>9612</v>
      </c>
      <c r="G400" t="s" s="0">
        <v>9613</v>
      </c>
      <c r="H400" t="s" s="0">
        <v>82</v>
      </c>
      <c r="I400" t="s" s="0">
        <v>83</v>
      </c>
      <c r="J400" t="s" s="0">
        <v>9614</v>
      </c>
      <c r="K400" t="s" s="0">
        <v>9615</v>
      </c>
      <c r="L400" t="s" s="0">
        <v>82</v>
      </c>
      <c r="M400" t="s" s="0">
        <v>82</v>
      </c>
      <c r="N400" t="s" s="0">
        <v>82</v>
      </c>
      <c r="O400" t="s" s="0">
        <v>9616</v>
      </c>
      <c r="P400" t="s" s="0">
        <v>9617</v>
      </c>
      <c r="Q400" t="s" s="0">
        <v>91</v>
      </c>
      <c r="R400" t="s" s="0">
        <v>82</v>
      </c>
      <c r="S400" t="s" s="0">
        <v>82</v>
      </c>
      <c r="T400" t="s" s="0">
        <v>82</v>
      </c>
      <c r="U400" t="s" s="0">
        <v>82</v>
      </c>
      <c r="V400" t="s" s="0">
        <v>9618</v>
      </c>
      <c r="W400" t="s" s="0">
        <v>6490</v>
      </c>
      <c r="X400" t="s" s="0">
        <v>82</v>
      </c>
      <c r="Y400" t="s" s="0">
        <v>82</v>
      </c>
      <c r="Z400" t="s" s="0">
        <v>94</v>
      </c>
      <c r="AA400" t="s" s="0">
        <v>95</v>
      </c>
      <c r="AB400" t="s" s="0">
        <v>82</v>
      </c>
      <c r="AC400" t="s" s="0">
        <v>82</v>
      </c>
      <c r="AD400" t="s" s="0">
        <v>82</v>
      </c>
      <c r="AE400" t="s" s="0">
        <v>82</v>
      </c>
      <c r="AF400" t="s" s="0">
        <v>82</v>
      </c>
      <c r="AG400" t="s" s="0">
        <v>9619</v>
      </c>
      <c r="AH400" t="s" s="0">
        <v>9620</v>
      </c>
      <c r="AI400" t="s" s="0">
        <v>82</v>
      </c>
      <c r="AJ400" t="s" s="0">
        <v>9621</v>
      </c>
      <c r="AK400" t="s" s="0">
        <v>82</v>
      </c>
      <c r="AL400" t="s" s="0">
        <v>632</v>
      </c>
      <c r="AM400" t="s" s="0">
        <v>101</v>
      </c>
      <c r="AN400" t="s" s="0">
        <v>101</v>
      </c>
      <c r="AO400" t="s" s="0">
        <v>78</v>
      </c>
      <c r="AP400" t="s" s="0">
        <v>102</v>
      </c>
      <c r="AQ400" t="s" s="0">
        <v>6494</v>
      </c>
      <c r="AR400" t="s" s="0">
        <v>6495</v>
      </c>
      <c r="AS400" t="s" s="0">
        <v>6496</v>
      </c>
      <c r="AT400" t="s" s="0">
        <v>6497</v>
      </c>
      <c r="AU400" t="s" s="0">
        <v>6498</v>
      </c>
      <c r="AV400" t="s" s="0">
        <v>82</v>
      </c>
      <c r="AW400" t="s" s="0">
        <v>6499</v>
      </c>
      <c r="AX400" t="s" s="0">
        <v>6500</v>
      </c>
      <c r="AY400" t="s" s="0">
        <v>5018</v>
      </c>
      <c r="AZ400" t="s" s="0">
        <v>210</v>
      </c>
      <c r="BA400" t="s" s="0">
        <v>1025</v>
      </c>
      <c r="BB400" t="s" s="0">
        <v>149</v>
      </c>
      <c r="BC400" t="s" s="0">
        <v>82</v>
      </c>
      <c r="BD400" t="s" s="0">
        <v>82</v>
      </c>
      <c r="BE400" t="s" s="0">
        <v>82</v>
      </c>
      <c r="BF400" t="s" s="0">
        <v>82</v>
      </c>
      <c r="BG400" t="s" s="0">
        <v>9622</v>
      </c>
      <c r="BH400" t="s" s="0">
        <v>3757</v>
      </c>
      <c r="BI400" t="s" s="0">
        <v>82</v>
      </c>
      <c r="BJ400" t="s" s="0">
        <v>9623</v>
      </c>
      <c r="BK400" t="s" s="795">
        <f>HYPERLINK("http://dx.doi.org/10.1016/j.jfma.2023.06.027","http://dx.doi.org/10.1016/j.jfma.2023.06.027")</f>
        <v>9624</v>
      </c>
      <c r="BL400" t="s" s="0">
        <v>82</v>
      </c>
      <c r="BM400" t="s" s="0">
        <v>5018</v>
      </c>
      <c r="BN400" t="s" s="0">
        <v>245</v>
      </c>
      <c r="BO400" t="s" s="0">
        <v>354</v>
      </c>
      <c r="BP400" t="s" s="0">
        <v>355</v>
      </c>
      <c r="BQ400" t="s" s="0">
        <v>9625</v>
      </c>
      <c r="BR400" t="s" s="0">
        <v>9626</v>
      </c>
      <c r="BS400" t="s" s="0">
        <v>9627</v>
      </c>
      <c r="BT400" t="s" s="796">
        <f>HYPERLINK("https://www.webofscience.com/wos/woscc/full-record/WOS:001132642300001","View Record in Web of Science")</f>
        <v>120</v>
      </c>
      <c r="BU400" t="s" s="0">
        <v>121</v>
      </c>
      <c r="BV400" t="s" s="0">
        <v>82</v>
      </c>
      <c r="BW400" t="s" s="0">
        <v>82</v>
      </c>
      <c r="BX400" t="s" s="0">
        <v>122</v>
      </c>
    </row>
    <row r="401">
      <c r="A401" t="s" s="0">
        <v>78</v>
      </c>
      <c r="B401" t="s" s="0">
        <v>78</v>
      </c>
      <c r="C401" t="s" s="0">
        <v>77</v>
      </c>
      <c r="D401" t="s" s="0">
        <v>78</v>
      </c>
      <c r="E401" t="s" s="0">
        <v>9628</v>
      </c>
      <c r="F401" t="s" s="0">
        <v>9629</v>
      </c>
      <c r="G401" t="s" s="0">
        <v>9630</v>
      </c>
      <c r="H401" t="s" s="0">
        <v>82</v>
      </c>
      <c r="I401" t="s" s="0">
        <v>83</v>
      </c>
      <c r="J401" t="s" s="0">
        <v>9631</v>
      </c>
      <c r="K401" t="s" s="0">
        <v>9632</v>
      </c>
      <c r="L401" t="s" s="0">
        <v>82</v>
      </c>
      <c r="M401" t="s" s="0">
        <v>82</v>
      </c>
      <c r="N401" t="s" s="0">
        <v>82</v>
      </c>
      <c r="O401" t="s" s="0">
        <v>9633</v>
      </c>
      <c r="P401" t="s" s="0">
        <v>9634</v>
      </c>
      <c r="Q401" t="s" s="0">
        <v>91</v>
      </c>
      <c r="R401" t="s" s="0">
        <v>82</v>
      </c>
      <c r="S401" t="s" s="0">
        <v>82</v>
      </c>
      <c r="T401" t="s" s="0">
        <v>82</v>
      </c>
      <c r="U401" t="s" s="0">
        <v>82</v>
      </c>
      <c r="V401" t="s" s="0">
        <v>9635</v>
      </c>
      <c r="W401" t="s" s="0">
        <v>9636</v>
      </c>
      <c r="X401" t="s" s="0">
        <v>82</v>
      </c>
      <c r="Y401" t="s" s="0">
        <v>82</v>
      </c>
      <c r="Z401" t="s" s="0">
        <v>94</v>
      </c>
      <c r="AA401" t="s" s="0">
        <v>95</v>
      </c>
      <c r="AB401" t="s" s="0">
        <v>82</v>
      </c>
      <c r="AC401" t="s" s="0">
        <v>82</v>
      </c>
      <c r="AD401" t="s" s="0">
        <v>82</v>
      </c>
      <c r="AE401" t="s" s="0">
        <v>82</v>
      </c>
      <c r="AF401" t="s" s="0">
        <v>82</v>
      </c>
      <c r="AG401" t="s" s="0">
        <v>9637</v>
      </c>
      <c r="AH401" t="s" s="0">
        <v>9638</v>
      </c>
      <c r="AI401" t="s" s="0">
        <v>82</v>
      </c>
      <c r="AJ401" t="s" s="0">
        <v>9639</v>
      </c>
      <c r="AK401" t="s" s="0">
        <v>82</v>
      </c>
      <c r="AL401" t="s" s="0">
        <v>1780</v>
      </c>
      <c r="AM401" t="s" s="0">
        <v>640</v>
      </c>
      <c r="AN401" t="s" s="0">
        <v>239</v>
      </c>
      <c r="AO401" t="s" s="0">
        <v>78</v>
      </c>
      <c r="AP401" t="s" s="0">
        <v>447</v>
      </c>
      <c r="AQ401" t="s" s="0">
        <v>174</v>
      </c>
      <c r="AR401" t="s" s="0">
        <v>175</v>
      </c>
      <c r="AS401" t="s" s="0">
        <v>176</v>
      </c>
      <c r="AT401" t="s" s="0">
        <v>9640</v>
      </c>
      <c r="AU401" t="s" s="0">
        <v>9641</v>
      </c>
      <c r="AV401" t="s" s="0">
        <v>82</v>
      </c>
      <c r="AW401" t="s" s="0">
        <v>9642</v>
      </c>
      <c r="AX401" t="s" s="0">
        <v>9643</v>
      </c>
      <c r="AY401" t="s" s="0">
        <v>607</v>
      </c>
      <c r="AZ401" t="s" s="0">
        <v>408</v>
      </c>
      <c r="BA401" t="s" s="0">
        <v>4937</v>
      </c>
      <c r="BB401" t="s" s="0">
        <v>447</v>
      </c>
      <c r="BC401" t="s" s="0">
        <v>82</v>
      </c>
      <c r="BD401" t="s" s="0">
        <v>82</v>
      </c>
      <c r="BE401" t="s" s="0">
        <v>82</v>
      </c>
      <c r="BF401" t="s" s="0">
        <v>82</v>
      </c>
      <c r="BG401" t="s" s="0">
        <v>2834</v>
      </c>
      <c r="BH401" t="s" s="0">
        <v>9644</v>
      </c>
      <c r="BI401" t="s" s="0">
        <v>82</v>
      </c>
      <c r="BJ401" t="s" s="0">
        <v>9645</v>
      </c>
      <c r="BK401" t="s" s="797">
        <f>HYPERLINK("http://dx.doi.org/10.1002/jso.26708","http://dx.doi.org/10.1002/jso.26708")</f>
        <v>9646</v>
      </c>
      <c r="BL401" t="s" s="0">
        <v>82</v>
      </c>
      <c r="BM401" t="s" s="0">
        <v>1661</v>
      </c>
      <c r="BN401" t="s" s="0">
        <v>136</v>
      </c>
      <c r="BO401" t="s" s="0">
        <v>3467</v>
      </c>
      <c r="BP401" t="s" s="0">
        <v>3467</v>
      </c>
      <c r="BQ401" t="s" s="0">
        <v>9647</v>
      </c>
      <c r="BR401" t="s" s="0">
        <v>9648</v>
      </c>
      <c r="BS401" t="s" s="0">
        <v>9649</v>
      </c>
      <c r="BT401" t="s" s="798">
        <f>HYPERLINK("https://www.webofscience.com/wos/woscc/full-record/WOS:000703451400001","View Record in Web of Science")</f>
        <v>120</v>
      </c>
      <c r="BU401" t="s" s="0">
        <v>1265</v>
      </c>
      <c r="BV401" t="s" s="0">
        <v>82</v>
      </c>
      <c r="BW401" t="s" s="0">
        <v>82</v>
      </c>
      <c r="BX401" t="s" s="0">
        <v>122</v>
      </c>
    </row>
    <row r="402">
      <c r="A402" t="s" s="0">
        <v>78</v>
      </c>
      <c r="B402" t="s" s="0">
        <v>78</v>
      </c>
      <c r="C402" t="s" s="0">
        <v>77</v>
      </c>
      <c r="D402" t="s" s="0">
        <v>78</v>
      </c>
      <c r="E402" t="s" s="0">
        <v>9650</v>
      </c>
      <c r="F402" t="s" s="0">
        <v>9651</v>
      </c>
      <c r="G402" t="s" s="0">
        <v>9652</v>
      </c>
      <c r="H402" t="s" s="0">
        <v>82</v>
      </c>
      <c r="I402" t="s" s="0">
        <v>83</v>
      </c>
      <c r="J402" t="s" s="0">
        <v>9653</v>
      </c>
      <c r="K402" t="s" s="0">
        <v>9654</v>
      </c>
      <c r="L402" t="s" s="0">
        <v>9655</v>
      </c>
      <c r="M402" t="s" s="0">
        <v>9655</v>
      </c>
      <c r="N402" t="s" s="0">
        <v>9656</v>
      </c>
      <c r="O402" t="s" s="0">
        <v>9657</v>
      </c>
      <c r="P402" t="s" s="0">
        <v>82</v>
      </c>
      <c r="Q402" t="s" s="0">
        <v>91</v>
      </c>
      <c r="R402" t="s" s="0">
        <v>82</v>
      </c>
      <c r="S402" t="s" s="0">
        <v>82</v>
      </c>
      <c r="T402" t="s" s="0">
        <v>82</v>
      </c>
      <c r="U402" t="s" s="0">
        <v>82</v>
      </c>
      <c r="V402" t="s" s="0">
        <v>9658</v>
      </c>
      <c r="W402" t="s" s="0">
        <v>8395</v>
      </c>
      <c r="X402" t="s" s="0">
        <v>82</v>
      </c>
      <c r="Y402" t="s" s="0">
        <v>82</v>
      </c>
      <c r="Z402" t="s" s="0">
        <v>94</v>
      </c>
      <c r="AA402" t="s" s="0">
        <v>95</v>
      </c>
      <c r="AB402" t="s" s="0">
        <v>82</v>
      </c>
      <c r="AC402" t="s" s="0">
        <v>82</v>
      </c>
      <c r="AD402" t="s" s="0">
        <v>82</v>
      </c>
      <c r="AE402" t="s" s="0">
        <v>82</v>
      </c>
      <c r="AF402" t="s" s="0">
        <v>82</v>
      </c>
      <c r="AG402" t="s" s="0">
        <v>9659</v>
      </c>
      <c r="AH402" t="s" s="0">
        <v>396</v>
      </c>
      <c r="AI402" t="s" s="0">
        <v>9660</v>
      </c>
      <c r="AJ402" t="s" s="0">
        <v>9661</v>
      </c>
      <c r="AK402" t="s" s="0">
        <v>82</v>
      </c>
      <c r="AL402" t="s" s="0">
        <v>745</v>
      </c>
      <c r="AM402" t="s" s="0">
        <v>102</v>
      </c>
      <c r="AN402" t="s" s="0">
        <v>221</v>
      </c>
      <c r="AO402" t="s" s="0">
        <v>447</v>
      </c>
      <c r="AP402" t="s" s="0">
        <v>101</v>
      </c>
      <c r="AQ402" t="s" s="0">
        <v>103</v>
      </c>
      <c r="AR402" t="s" s="0">
        <v>104</v>
      </c>
      <c r="AS402" t="s" s="0">
        <v>105</v>
      </c>
      <c r="AT402" t="s" s="0">
        <v>82</v>
      </c>
      <c r="AU402" t="s" s="0">
        <v>8400</v>
      </c>
      <c r="AV402" t="s" s="0">
        <v>82</v>
      </c>
      <c r="AW402" t="s" s="0">
        <v>8401</v>
      </c>
      <c r="AX402" t="s" s="0">
        <v>8402</v>
      </c>
      <c r="AY402" t="s" s="0">
        <v>9662</v>
      </c>
      <c r="AZ402" t="s" s="0">
        <v>147</v>
      </c>
      <c r="BA402" t="s" s="0">
        <v>111</v>
      </c>
      <c r="BB402" t="s" s="0">
        <v>77</v>
      </c>
      <c r="BC402" t="s" s="0">
        <v>82</v>
      </c>
      <c r="BD402" t="s" s="0">
        <v>82</v>
      </c>
      <c r="BE402" t="s" s="0">
        <v>82</v>
      </c>
      <c r="BF402" t="s" s="0">
        <v>82</v>
      </c>
      <c r="BG402" t="s" s="0">
        <v>82</v>
      </c>
      <c r="BH402" t="s" s="0">
        <v>82</v>
      </c>
      <c r="BI402" t="s" s="0">
        <v>9663</v>
      </c>
      <c r="BJ402" t="s" s="0">
        <v>9664</v>
      </c>
      <c r="BK402" t="s" s="799">
        <f>HYPERLINK("http://dx.doi.org/10.1186/s12911-025-03107-3","http://dx.doi.org/10.1186/s12911-025-03107-3")</f>
        <v>9665</v>
      </c>
      <c r="BL402" t="s" s="0">
        <v>82</v>
      </c>
      <c r="BM402" t="s" s="0">
        <v>82</v>
      </c>
      <c r="BN402" t="s" s="0">
        <v>349</v>
      </c>
      <c r="BO402" t="s" s="0">
        <v>1815</v>
      </c>
      <c r="BP402" t="s" s="0">
        <v>1815</v>
      </c>
      <c r="BQ402" t="s" s="0">
        <v>9666</v>
      </c>
      <c r="BR402" t="s" s="0">
        <v>9667</v>
      </c>
      <c r="BS402" t="s" s="0">
        <v>9668</v>
      </c>
      <c r="BT402" t="s" s="800">
        <f>HYPERLINK("https://www.webofscience.com/wos/woscc/full-record/WOS:001529864500006","View Record in Web of Science")</f>
        <v>120</v>
      </c>
      <c r="BU402" t="s" s="0">
        <v>121</v>
      </c>
      <c r="BV402" t="s" s="0">
        <v>82</v>
      </c>
      <c r="BW402" t="s" s="0">
        <v>82</v>
      </c>
      <c r="BX402" t="s" s="0">
        <v>122</v>
      </c>
    </row>
    <row r="403">
      <c r="A403" t="s" s="0">
        <v>78</v>
      </c>
      <c r="B403" t="s" s="0">
        <v>78</v>
      </c>
      <c r="C403" t="s" s="0">
        <v>77</v>
      </c>
      <c r="D403" t="s" s="0">
        <v>78</v>
      </c>
      <c r="E403" t="s" s="0">
        <v>9669</v>
      </c>
      <c r="F403" t="s" s="0">
        <v>9670</v>
      </c>
      <c r="G403" t="s" s="0">
        <v>9671</v>
      </c>
      <c r="H403" t="s" s="0">
        <v>82</v>
      </c>
      <c r="I403" t="s" s="0">
        <v>83</v>
      </c>
      <c r="J403" t="s" s="0">
        <v>9672</v>
      </c>
      <c r="K403" t="s" s="0">
        <v>9673</v>
      </c>
      <c r="L403" t="s" s="0">
        <v>82</v>
      </c>
      <c r="M403" t="s" s="0">
        <v>82</v>
      </c>
      <c r="N403" t="s" s="0">
        <v>82</v>
      </c>
      <c r="O403" t="s" s="0">
        <v>9674</v>
      </c>
      <c r="P403" t="s" s="0">
        <v>9675</v>
      </c>
      <c r="Q403" t="s" s="0">
        <v>91</v>
      </c>
      <c r="R403" t="s" s="0">
        <v>82</v>
      </c>
      <c r="S403" t="s" s="0">
        <v>82</v>
      </c>
      <c r="T403" t="s" s="0">
        <v>82</v>
      </c>
      <c r="U403" t="s" s="0">
        <v>82</v>
      </c>
      <c r="V403" t="s" s="0">
        <v>9676</v>
      </c>
      <c r="W403" t="s" s="0">
        <v>6124</v>
      </c>
      <c r="X403" t="s" s="0">
        <v>82</v>
      </c>
      <c r="Y403" t="s" s="0">
        <v>82</v>
      </c>
      <c r="Z403" t="s" s="0">
        <v>94</v>
      </c>
      <c r="AA403" t="s" s="0">
        <v>95</v>
      </c>
      <c r="AB403" t="s" s="0">
        <v>82</v>
      </c>
      <c r="AC403" t="s" s="0">
        <v>82</v>
      </c>
      <c r="AD403" t="s" s="0">
        <v>82</v>
      </c>
      <c r="AE403" t="s" s="0">
        <v>82</v>
      </c>
      <c r="AF403" t="s" s="0">
        <v>82</v>
      </c>
      <c r="AG403" t="s" s="0">
        <v>9677</v>
      </c>
      <c r="AH403" t="s" s="0">
        <v>9678</v>
      </c>
      <c r="AI403" t="s" s="0">
        <v>9679</v>
      </c>
      <c r="AJ403" t="s" s="0">
        <v>9680</v>
      </c>
      <c r="AK403" t="s" s="0">
        <v>82</v>
      </c>
      <c r="AL403" t="s" s="0">
        <v>1161</v>
      </c>
      <c r="AM403" t="s" s="0">
        <v>149</v>
      </c>
      <c r="AN403" t="s" s="0">
        <v>640</v>
      </c>
      <c r="AO403" t="s" s="0">
        <v>77</v>
      </c>
      <c r="AP403" t="s" s="0">
        <v>137</v>
      </c>
      <c r="AQ403" t="s" s="0">
        <v>312</v>
      </c>
      <c r="AR403" t="s" s="0">
        <v>313</v>
      </c>
      <c r="AS403" t="s" s="0">
        <v>549</v>
      </c>
      <c r="AT403" t="s" s="0">
        <v>82</v>
      </c>
      <c r="AU403" t="s" s="0">
        <v>6129</v>
      </c>
      <c r="AV403" t="s" s="0">
        <v>82</v>
      </c>
      <c r="AW403" t="s" s="0">
        <v>6124</v>
      </c>
      <c r="AX403" t="s" s="0">
        <v>6130</v>
      </c>
      <c r="AY403" t="s" s="0">
        <v>552</v>
      </c>
      <c r="AZ403" t="s" s="0">
        <v>210</v>
      </c>
      <c r="BA403" t="s" s="0">
        <v>349</v>
      </c>
      <c r="BB403" t="s" s="0">
        <v>148</v>
      </c>
      <c r="BC403" t="s" s="0">
        <v>82</v>
      </c>
      <c r="BD403" t="s" s="0">
        <v>82</v>
      </c>
      <c r="BE403" t="s" s="0">
        <v>82</v>
      </c>
      <c r="BF403" t="s" s="0">
        <v>82</v>
      </c>
      <c r="BG403" t="s" s="0">
        <v>82</v>
      </c>
      <c r="BH403" t="s" s="0">
        <v>82</v>
      </c>
      <c r="BI403" t="s" s="0">
        <v>9681</v>
      </c>
      <c r="BJ403" t="s" s="0">
        <v>9682</v>
      </c>
      <c r="BK403" t="s" s="801">
        <f>HYPERLINK("http://dx.doi.org/10.3390/cancers15225452","http://dx.doi.org/10.3390/cancers15225452")</f>
        <v>9683</v>
      </c>
      <c r="BL403" t="s" s="0">
        <v>82</v>
      </c>
      <c r="BM403" t="s" s="0">
        <v>82</v>
      </c>
      <c r="BN403" t="s" s="0">
        <v>245</v>
      </c>
      <c r="BO403" t="s" s="0">
        <v>4833</v>
      </c>
      <c r="BP403" t="s" s="0">
        <v>4833</v>
      </c>
      <c r="BQ403" t="s" s="0">
        <v>9684</v>
      </c>
      <c r="BR403" t="s" s="0">
        <v>9685</v>
      </c>
      <c r="BS403" t="s" s="0">
        <v>9686</v>
      </c>
      <c r="BT403" t="s" s="802">
        <f>HYPERLINK("https://www.webofscience.com/wos/woscc/full-record/WOS:001118101400001","View Record in Web of Science")</f>
        <v>120</v>
      </c>
      <c r="BU403" t="s" s="0">
        <v>121</v>
      </c>
      <c r="BV403" t="s" s="0">
        <v>82</v>
      </c>
      <c r="BW403" t="s" s="0">
        <v>82</v>
      </c>
      <c r="BX403" t="s" s="0">
        <v>122</v>
      </c>
    </row>
    <row r="404">
      <c r="A404" t="s" s="0">
        <v>78</v>
      </c>
      <c r="B404" t="s" s="0">
        <v>78</v>
      </c>
      <c r="C404" t="s" s="0">
        <v>78</v>
      </c>
      <c r="D404" t="s" s="0">
        <v>78</v>
      </c>
      <c r="E404" t="s" s="0">
        <v>9687</v>
      </c>
      <c r="F404" t="s" s="0">
        <v>9688</v>
      </c>
      <c r="G404" t="s" s="0">
        <v>9689</v>
      </c>
      <c r="H404" t="s" s="0">
        <v>82</v>
      </c>
      <c r="I404" t="s" s="0">
        <v>297</v>
      </c>
      <c r="J404" t="s" s="0">
        <v>9690</v>
      </c>
      <c r="K404" t="s" s="0">
        <v>9691</v>
      </c>
      <c r="L404" t="s" s="0">
        <v>9692</v>
      </c>
      <c r="M404" t="s" s="0">
        <v>9693</v>
      </c>
      <c r="N404" t="s" s="0">
        <v>9694</v>
      </c>
      <c r="O404" t="s" s="0">
        <v>9695</v>
      </c>
      <c r="P404" t="s" s="0">
        <v>4162</v>
      </c>
      <c r="Q404" t="s" s="0">
        <v>91</v>
      </c>
      <c r="R404" t="s" s="0">
        <v>82</v>
      </c>
      <c r="S404" t="s" s="0">
        <v>82</v>
      </c>
      <c r="T404" t="s" s="0">
        <v>82</v>
      </c>
      <c r="U404" t="s" s="0">
        <v>82</v>
      </c>
      <c r="V404" t="s" s="0">
        <v>9696</v>
      </c>
      <c r="W404" t="s" s="0">
        <v>9697</v>
      </c>
      <c r="X404" t="s" s="0">
        <v>82</v>
      </c>
      <c r="Y404" t="s" s="0">
        <v>82</v>
      </c>
      <c r="Z404" t="s" s="0">
        <v>94</v>
      </c>
      <c r="AA404" t="s" s="0">
        <v>1241</v>
      </c>
      <c r="AB404" t="s" s="0">
        <v>9698</v>
      </c>
      <c r="AC404" t="s" s="0">
        <v>9699</v>
      </c>
      <c r="AD404" t="s" s="0">
        <v>9700</v>
      </c>
      <c r="AE404" t="s" s="0">
        <v>9701</v>
      </c>
      <c r="AF404" t="s" s="0">
        <v>82</v>
      </c>
      <c r="AG404" t="s" s="0">
        <v>9702</v>
      </c>
      <c r="AH404" t="s" s="0">
        <v>9703</v>
      </c>
      <c r="AI404" t="s" s="0">
        <v>82</v>
      </c>
      <c r="AJ404" t="s" s="0">
        <v>9704</v>
      </c>
      <c r="AK404" t="s" s="0">
        <v>82</v>
      </c>
      <c r="AL404" t="s" s="0">
        <v>548</v>
      </c>
      <c r="AM404" t="s" s="0">
        <v>77</v>
      </c>
      <c r="AN404" t="s" s="0">
        <v>77</v>
      </c>
      <c r="AO404" t="s" s="0">
        <v>78</v>
      </c>
      <c r="AP404" t="s" s="0">
        <v>447</v>
      </c>
      <c r="AQ404" t="s" s="0">
        <v>277</v>
      </c>
      <c r="AR404" t="s" s="0">
        <v>278</v>
      </c>
      <c r="AS404" t="s" s="0">
        <v>279</v>
      </c>
      <c r="AT404" t="s" s="0">
        <v>9705</v>
      </c>
      <c r="AU404" t="s" s="0">
        <v>82</v>
      </c>
      <c r="AV404" t="s" s="0">
        <v>82</v>
      </c>
      <c r="AW404" t="s" s="0">
        <v>9706</v>
      </c>
      <c r="AX404" t="s" s="0">
        <v>9707</v>
      </c>
      <c r="AY404" t="s" s="0">
        <v>502</v>
      </c>
      <c r="AZ404" t="s" s="0">
        <v>147</v>
      </c>
      <c r="BA404" t="s" s="0">
        <v>221</v>
      </c>
      <c r="BB404" t="s" s="0">
        <v>102</v>
      </c>
      <c r="BC404" t="s" s="0">
        <v>82</v>
      </c>
      <c r="BD404" t="s" s="0">
        <v>82</v>
      </c>
      <c r="BE404" t="s" s="0">
        <v>82</v>
      </c>
      <c r="BF404" t="s" s="0">
        <v>82</v>
      </c>
      <c r="BG404" t="s" s="0">
        <v>82</v>
      </c>
      <c r="BH404" t="s" s="0">
        <v>82</v>
      </c>
      <c r="BI404" t="s" s="0">
        <v>9708</v>
      </c>
      <c r="BJ404" t="s" s="0">
        <v>9709</v>
      </c>
      <c r="BK404" t="s" s="803">
        <f>HYPERLINK("http://dx.doi.org/10.1016/j.xops.2025.100758","http://dx.doi.org/10.1016/j.xops.2025.100758")</f>
        <v>9710</v>
      </c>
      <c r="BL404" t="s" s="0">
        <v>82</v>
      </c>
      <c r="BM404" t="s" s="0">
        <v>1398</v>
      </c>
      <c r="BN404" t="s" s="0">
        <v>319</v>
      </c>
      <c r="BO404" t="s" s="0">
        <v>2278</v>
      </c>
      <c r="BP404" t="s" s="0">
        <v>2278</v>
      </c>
      <c r="BQ404" t="s" s="0">
        <v>9711</v>
      </c>
      <c r="BR404" t="s" s="0">
        <v>9712</v>
      </c>
      <c r="BS404" t="s" s="0">
        <v>9713</v>
      </c>
      <c r="BT404" t="s" s="804">
        <f>HYPERLINK("https://www.webofscience.com/wos/woscc/full-record/WOS:001469730700001","View Record in Web of Science")</f>
        <v>120</v>
      </c>
      <c r="BU404" t="s" s="0">
        <v>121</v>
      </c>
      <c r="BV404" t="s" s="0">
        <v>82</v>
      </c>
      <c r="BW404" t="s" s="0">
        <v>82</v>
      </c>
      <c r="BX404" t="s" s="0">
        <v>122</v>
      </c>
    </row>
    <row r="405">
      <c r="A405" t="s" s="0">
        <v>78</v>
      </c>
      <c r="B405" t="s" s="0">
        <v>78</v>
      </c>
      <c r="C405" t="s" s="0">
        <v>78</v>
      </c>
      <c r="D405" t="s" s="0">
        <v>78</v>
      </c>
      <c r="E405" t="s" s="0">
        <v>9714</v>
      </c>
      <c r="F405" t="s" s="0">
        <v>9715</v>
      </c>
      <c r="G405" t="s" s="0">
        <v>9716</v>
      </c>
      <c r="H405" t="s" s="0">
        <v>82</v>
      </c>
      <c r="I405" t="s" s="0">
        <v>83</v>
      </c>
      <c r="J405" t="s" s="0">
        <v>9717</v>
      </c>
      <c r="K405" t="s" s="0">
        <v>9718</v>
      </c>
      <c r="L405" t="s" s="0">
        <v>9719</v>
      </c>
      <c r="M405" t="s" s="0">
        <v>9720</v>
      </c>
      <c r="N405" t="s" s="0">
        <v>9721</v>
      </c>
      <c r="O405" t="s" s="0">
        <v>9722</v>
      </c>
      <c r="P405" t="s" s="0">
        <v>9723</v>
      </c>
      <c r="Q405" t="s" s="0">
        <v>91</v>
      </c>
      <c r="R405" t="s" s="0">
        <v>82</v>
      </c>
      <c r="S405" t="s" s="0">
        <v>82</v>
      </c>
      <c r="T405" t="s" s="0">
        <v>82</v>
      </c>
      <c r="U405" t="s" s="0">
        <v>82</v>
      </c>
      <c r="V405" t="s" s="0">
        <v>9724</v>
      </c>
      <c r="W405" t="s" s="0">
        <v>5498</v>
      </c>
      <c r="X405" t="s" s="0">
        <v>82</v>
      </c>
      <c r="Y405" t="s" s="0">
        <v>82</v>
      </c>
      <c r="Z405" t="s" s="0">
        <v>94</v>
      </c>
      <c r="AA405" t="s" s="0">
        <v>95</v>
      </c>
      <c r="AB405" t="s" s="0">
        <v>82</v>
      </c>
      <c r="AC405" t="s" s="0">
        <v>82</v>
      </c>
      <c r="AD405" t="s" s="0">
        <v>82</v>
      </c>
      <c r="AE405" t="s" s="0">
        <v>82</v>
      </c>
      <c r="AF405" t="s" s="0">
        <v>82</v>
      </c>
      <c r="AG405" t="s" s="0">
        <v>9725</v>
      </c>
      <c r="AH405" t="s" s="0">
        <v>82</v>
      </c>
      <c r="AI405" t="s" s="0">
        <v>9726</v>
      </c>
      <c r="AJ405" t="s" s="0">
        <v>82</v>
      </c>
      <c r="AK405" t="s" s="0">
        <v>82</v>
      </c>
      <c r="AL405" t="s" s="0">
        <v>685</v>
      </c>
      <c r="AM405" t="s" s="0">
        <v>102</v>
      </c>
      <c r="AN405" t="s" s="0">
        <v>102</v>
      </c>
      <c r="AO405" t="s" s="0">
        <v>447</v>
      </c>
      <c r="AP405" t="s" s="0">
        <v>101</v>
      </c>
      <c r="AQ405" t="s" s="0">
        <v>2602</v>
      </c>
      <c r="AR405" t="s" s="0">
        <v>2603</v>
      </c>
      <c r="AS405" t="s" s="0">
        <v>2604</v>
      </c>
      <c r="AT405" t="s" s="0">
        <v>5501</v>
      </c>
      <c r="AU405" t="s" s="0">
        <v>5502</v>
      </c>
      <c r="AV405" t="s" s="0">
        <v>82</v>
      </c>
      <c r="AW405" t="s" s="0">
        <v>5503</v>
      </c>
      <c r="AX405" t="s" s="0">
        <v>5504</v>
      </c>
      <c r="AY405" t="s" s="0">
        <v>9727</v>
      </c>
      <c r="AZ405" t="s" s="0">
        <v>147</v>
      </c>
      <c r="BA405" t="s" s="0">
        <v>311</v>
      </c>
      <c r="BB405" t="s" s="0">
        <v>245</v>
      </c>
      <c r="BC405" t="s" s="0">
        <v>82</v>
      </c>
      <c r="BD405" t="s" s="0">
        <v>82</v>
      </c>
      <c r="BE405" t="s" s="0">
        <v>82</v>
      </c>
      <c r="BF405" t="s" s="0">
        <v>82</v>
      </c>
      <c r="BG405" t="s" s="0">
        <v>82</v>
      </c>
      <c r="BH405" t="s" s="0">
        <v>82</v>
      </c>
      <c r="BI405" t="s" s="0">
        <v>9728</v>
      </c>
      <c r="BJ405" t="s" s="0">
        <v>9729</v>
      </c>
      <c r="BK405" t="s" s="805">
        <f>HYPERLINK("http://dx.doi.org/10.1007/s00784-025-06550-8","http://dx.doi.org/10.1007/s00784-025-06550-8")</f>
        <v>9730</v>
      </c>
      <c r="BL405" t="s" s="0">
        <v>82</v>
      </c>
      <c r="BM405" t="s" s="0">
        <v>82</v>
      </c>
      <c r="BN405" t="s" s="0">
        <v>245</v>
      </c>
      <c r="BO405" t="s" s="0">
        <v>3202</v>
      </c>
      <c r="BP405" t="s" s="0">
        <v>3202</v>
      </c>
      <c r="BQ405" t="s" s="0">
        <v>9731</v>
      </c>
      <c r="BR405" t="s" s="0">
        <v>9732</v>
      </c>
      <c r="BS405" t="s" s="0">
        <v>9733</v>
      </c>
      <c r="BT405" t="s" s="806">
        <f>HYPERLINK("https://www.webofscience.com/wos/woscc/full-record/WOS:001573865100004","View Record in Web of Science")</f>
        <v>120</v>
      </c>
      <c r="BU405" t="s" s="0">
        <v>82</v>
      </c>
      <c r="BV405" t="s" s="0">
        <v>82</v>
      </c>
      <c r="BW405" t="s" s="0">
        <v>82</v>
      </c>
      <c r="BX405" t="s" s="0">
        <v>122</v>
      </c>
    </row>
    <row r="406">
      <c r="A406" t="s" s="0">
        <v>78</v>
      </c>
      <c r="B406" t="s" s="0">
        <v>78</v>
      </c>
      <c r="C406" t="s" s="0">
        <v>78</v>
      </c>
      <c r="D406" t="s" s="0">
        <v>78</v>
      </c>
      <c r="E406" t="s" s="0">
        <v>9734</v>
      </c>
      <c r="F406" t="s" s="0">
        <v>9735</v>
      </c>
      <c r="G406" t="s" s="0">
        <v>9736</v>
      </c>
      <c r="H406" t="s" s="0">
        <v>82</v>
      </c>
      <c r="I406" t="s" s="0">
        <v>297</v>
      </c>
      <c r="J406" t="s" s="0">
        <v>9737</v>
      </c>
      <c r="K406" t="s" s="0">
        <v>9738</v>
      </c>
      <c r="L406" t="s" s="0">
        <v>9739</v>
      </c>
      <c r="M406" t="s" s="0">
        <v>9739</v>
      </c>
      <c r="N406" t="s" s="0">
        <v>9740</v>
      </c>
      <c r="O406" t="s" s="0">
        <v>9741</v>
      </c>
      <c r="P406" t="s" s="0">
        <v>9742</v>
      </c>
      <c r="Q406" t="s" s="0">
        <v>91</v>
      </c>
      <c r="R406" t="s" s="0">
        <v>82</v>
      </c>
      <c r="S406" t="s" s="0">
        <v>82</v>
      </c>
      <c r="T406" t="s" s="0">
        <v>82</v>
      </c>
      <c r="U406" t="s" s="0">
        <v>82</v>
      </c>
      <c r="V406" t="s" s="0">
        <v>9743</v>
      </c>
      <c r="W406" t="s" s="0">
        <v>9744</v>
      </c>
      <c r="X406" t="s" s="0">
        <v>82</v>
      </c>
      <c r="Y406" t="s" s="0">
        <v>82</v>
      </c>
      <c r="Z406" t="s" s="0">
        <v>94</v>
      </c>
      <c r="AA406" t="s" s="0">
        <v>95</v>
      </c>
      <c r="AB406" t="s" s="0">
        <v>82</v>
      </c>
      <c r="AC406" t="s" s="0">
        <v>82</v>
      </c>
      <c r="AD406" t="s" s="0">
        <v>82</v>
      </c>
      <c r="AE406" t="s" s="0">
        <v>82</v>
      </c>
      <c r="AF406" t="s" s="0">
        <v>82</v>
      </c>
      <c r="AG406" t="s" s="0">
        <v>9745</v>
      </c>
      <c r="AH406" t="s" s="0">
        <v>9746</v>
      </c>
      <c r="AI406" t="s" s="0">
        <v>9747</v>
      </c>
      <c r="AJ406" t="s" s="0">
        <v>9748</v>
      </c>
      <c r="AK406" t="s" s="0">
        <v>82</v>
      </c>
      <c r="AL406" t="s" s="0">
        <v>1186</v>
      </c>
      <c r="AM406" t="s" s="0">
        <v>447</v>
      </c>
      <c r="AN406" t="s" s="0">
        <v>447</v>
      </c>
      <c r="AO406" t="s" s="0">
        <v>78</v>
      </c>
      <c r="AP406" t="s" s="0">
        <v>78</v>
      </c>
      <c r="AQ406" t="s" s="0">
        <v>9749</v>
      </c>
      <c r="AR406" t="s" s="0">
        <v>1134</v>
      </c>
      <c r="AS406" t="s" s="0">
        <v>9750</v>
      </c>
      <c r="AT406" t="s" s="0">
        <v>9751</v>
      </c>
      <c r="AU406" t="s" s="0">
        <v>9752</v>
      </c>
      <c r="AV406" t="s" s="0">
        <v>82</v>
      </c>
      <c r="AW406" t="s" s="0">
        <v>9753</v>
      </c>
      <c r="AX406" t="s" s="0">
        <v>9754</v>
      </c>
      <c r="AY406" t="s" s="0">
        <v>1556</v>
      </c>
      <c r="AZ406" t="s" s="0">
        <v>147</v>
      </c>
      <c r="BA406" t="s" s="0">
        <v>632</v>
      </c>
      <c r="BB406" t="s" s="0">
        <v>447</v>
      </c>
      <c r="BC406" t="s" s="0">
        <v>82</v>
      </c>
      <c r="BD406" t="s" s="0">
        <v>82</v>
      </c>
      <c r="BE406" t="s" s="0">
        <v>82</v>
      </c>
      <c r="BF406" t="s" s="0">
        <v>82</v>
      </c>
      <c r="BG406" t="s" s="0">
        <v>6796</v>
      </c>
      <c r="BH406" t="s" s="0">
        <v>4665</v>
      </c>
      <c r="BI406" t="s" s="0">
        <v>82</v>
      </c>
      <c r="BJ406" t="s" s="0">
        <v>9755</v>
      </c>
      <c r="BK406" t="s" s="807">
        <f>HYPERLINK("http://dx.doi.org/10.4266/acc.000525","http://dx.doi.org/10.4266/acc.000525")</f>
        <v>9756</v>
      </c>
      <c r="BL406" t="s" s="0">
        <v>82</v>
      </c>
      <c r="BM406" t="s" s="0">
        <v>82</v>
      </c>
      <c r="BN406" t="s" s="0">
        <v>149</v>
      </c>
      <c r="BO406" t="s" s="0">
        <v>2920</v>
      </c>
      <c r="BP406" t="s" s="0">
        <v>355</v>
      </c>
      <c r="BQ406" t="s" s="0">
        <v>9757</v>
      </c>
      <c r="BR406" t="s" s="0">
        <v>9758</v>
      </c>
      <c r="BS406" t="s" s="0">
        <v>9759</v>
      </c>
      <c r="BT406" t="s" s="808">
        <f>HYPERLINK("https://www.webofscience.com/wos/woscc/full-record/WOS:001501086200005","View Record in Web of Science")</f>
        <v>120</v>
      </c>
      <c r="BU406" t="s" s="0">
        <v>121</v>
      </c>
      <c r="BV406" t="s" s="0">
        <v>82</v>
      </c>
      <c r="BW406" t="s" s="0">
        <v>82</v>
      </c>
      <c r="BX406" t="s" s="0">
        <v>122</v>
      </c>
    </row>
    <row r="407">
      <c r="A407" t="s" s="0">
        <v>77</v>
      </c>
      <c r="B407" t="s" s="0">
        <v>78</v>
      </c>
      <c r="C407" t="s" s="0">
        <v>78</v>
      </c>
      <c r="D407" t="s" s="0">
        <v>78</v>
      </c>
      <c r="E407" t="s" s="0">
        <v>9760</v>
      </c>
      <c r="F407" t="s" s="0">
        <v>9761</v>
      </c>
      <c r="G407" t="s" s="0">
        <v>9762</v>
      </c>
      <c r="H407" t="s" s="0">
        <v>82</v>
      </c>
      <c r="I407" t="s" s="0">
        <v>83</v>
      </c>
      <c r="J407" t="s" s="0">
        <v>9763</v>
      </c>
      <c r="K407" t="s" s="0">
        <v>591</v>
      </c>
      <c r="L407" t="s" s="0">
        <v>82</v>
      </c>
      <c r="M407" t="s" s="0">
        <v>82</v>
      </c>
      <c r="N407" t="s" s="0">
        <v>82</v>
      </c>
      <c r="O407" t="s" s="0">
        <v>9764</v>
      </c>
      <c r="P407" t="s" s="0">
        <v>9765</v>
      </c>
      <c r="Q407" t="s" s="0">
        <v>91</v>
      </c>
      <c r="R407" t="s" s="0">
        <v>82</v>
      </c>
      <c r="S407" t="s" s="0">
        <v>82</v>
      </c>
      <c r="T407" t="s" s="0">
        <v>82</v>
      </c>
      <c r="U407" t="s" s="0">
        <v>82</v>
      </c>
      <c r="V407" t="s" s="0">
        <v>9766</v>
      </c>
      <c r="W407" t="s" s="0">
        <v>9767</v>
      </c>
      <c r="X407" t="s" s="0">
        <v>82</v>
      </c>
      <c r="Y407" t="s" s="0">
        <v>82</v>
      </c>
      <c r="Z407" t="s" s="0">
        <v>94</v>
      </c>
      <c r="AA407" t="s" s="0">
        <v>95</v>
      </c>
      <c r="AB407" t="s" s="0">
        <v>82</v>
      </c>
      <c r="AC407" t="s" s="0">
        <v>82</v>
      </c>
      <c r="AD407" t="s" s="0">
        <v>82</v>
      </c>
      <c r="AE407" t="s" s="0">
        <v>82</v>
      </c>
      <c r="AF407" t="s" s="0">
        <v>82</v>
      </c>
      <c r="AG407" t="s" s="0">
        <v>9768</v>
      </c>
      <c r="AH407" t="s" s="0">
        <v>9769</v>
      </c>
      <c r="AI407" t="s" s="0">
        <v>9770</v>
      </c>
      <c r="AJ407" t="s" s="0">
        <v>9771</v>
      </c>
      <c r="AK407" t="s" s="0">
        <v>82</v>
      </c>
      <c r="AL407" t="s" s="0">
        <v>137</v>
      </c>
      <c r="AM407" t="s" s="0">
        <v>375</v>
      </c>
      <c r="AN407" t="s" s="0">
        <v>319</v>
      </c>
      <c r="AO407" t="s" s="0">
        <v>78</v>
      </c>
      <c r="AP407" t="s" s="0">
        <v>319</v>
      </c>
      <c r="AQ407" t="s" s="0">
        <v>6317</v>
      </c>
      <c r="AR407" t="s" s="0">
        <v>6318</v>
      </c>
      <c r="AS407" t="s" s="0">
        <v>6319</v>
      </c>
      <c r="AT407" t="s" s="0">
        <v>9772</v>
      </c>
      <c r="AU407" t="s" s="0">
        <v>9773</v>
      </c>
      <c r="AV407" t="s" s="0">
        <v>82</v>
      </c>
      <c r="AW407" t="s" s="0">
        <v>9774</v>
      </c>
      <c r="AX407" t="s" s="0">
        <v>9775</v>
      </c>
      <c r="AY407" t="s" s="0">
        <v>413</v>
      </c>
      <c r="AZ407" t="s" s="0">
        <v>408</v>
      </c>
      <c r="BA407" t="s" s="0">
        <v>239</v>
      </c>
      <c r="BB407" t="s" s="0">
        <v>447</v>
      </c>
      <c r="BC407" t="s" s="0">
        <v>82</v>
      </c>
      <c r="BD407" t="s" s="0">
        <v>82</v>
      </c>
      <c r="BE407" t="s" s="0">
        <v>82</v>
      </c>
      <c r="BF407" t="s" s="0">
        <v>82</v>
      </c>
      <c r="BG407" t="s" s="0">
        <v>9776</v>
      </c>
      <c r="BH407" t="s" s="0">
        <v>9777</v>
      </c>
      <c r="BI407" t="s" s="0">
        <v>82</v>
      </c>
      <c r="BJ407" t="s" s="0">
        <v>9778</v>
      </c>
      <c r="BK407" t="s" s="809">
        <f>HYPERLINK("http://dx.doi.org/10.1007/s11739-021-02816-7","http://dx.doi.org/10.1007/s11739-021-02816-7")</f>
        <v>9779</v>
      </c>
      <c r="BL407" t="s" s="0">
        <v>82</v>
      </c>
      <c r="BM407" t="s" s="0">
        <v>2247</v>
      </c>
      <c r="BN407" t="s" s="0">
        <v>221</v>
      </c>
      <c r="BO407" t="s" s="0">
        <v>354</v>
      </c>
      <c r="BP407" t="s" s="0">
        <v>355</v>
      </c>
      <c r="BQ407" t="s" s="0">
        <v>9780</v>
      </c>
      <c r="BR407" t="s" s="0">
        <v>9781</v>
      </c>
      <c r="BS407" t="s" s="0">
        <v>9782</v>
      </c>
      <c r="BT407" t="s" s="810">
        <f>HYPERLINK("https://www.webofscience.com/wos/woscc/full-record/WOS:000679755700001","View Record in Web of Science")</f>
        <v>120</v>
      </c>
      <c r="BU407" t="s" s="0">
        <v>82</v>
      </c>
      <c r="BV407" t="s" s="0">
        <v>82</v>
      </c>
      <c r="BW407" t="s" s="0">
        <v>82</v>
      </c>
      <c r="BX407" t="s" s="0">
        <v>122</v>
      </c>
    </row>
    <row r="408">
      <c r="A408" t="s" s="0">
        <v>78</v>
      </c>
      <c r="B408" t="s" s="0">
        <v>78</v>
      </c>
      <c r="C408" t="s" s="0">
        <v>78</v>
      </c>
      <c r="D408" t="s" s="0">
        <v>78</v>
      </c>
      <c r="E408" t="s" s="0">
        <v>9783</v>
      </c>
      <c r="F408" t="s" s="0">
        <v>9784</v>
      </c>
      <c r="G408" t="s" s="0">
        <v>9785</v>
      </c>
      <c r="H408" t="s" s="0">
        <v>82</v>
      </c>
      <c r="I408" t="s" s="0">
        <v>83</v>
      </c>
      <c r="J408" t="s" s="0">
        <v>9786</v>
      </c>
      <c r="K408" t="s" s="0">
        <v>9787</v>
      </c>
      <c r="L408" t="s" s="0">
        <v>9788</v>
      </c>
      <c r="M408" t="s" s="0">
        <v>9789</v>
      </c>
      <c r="N408" t="s" s="0">
        <v>9790</v>
      </c>
      <c r="O408" t="s" s="0">
        <v>9791</v>
      </c>
      <c r="P408" t="s" s="0">
        <v>9792</v>
      </c>
      <c r="Q408" t="s" s="0">
        <v>91</v>
      </c>
      <c r="R408" t="s" s="0">
        <v>82</v>
      </c>
      <c r="S408" t="s" s="0">
        <v>82</v>
      </c>
      <c r="T408" t="s" s="0">
        <v>82</v>
      </c>
      <c r="U408" t="s" s="0">
        <v>82</v>
      </c>
      <c r="V408" t="s" s="0">
        <v>9793</v>
      </c>
      <c r="W408" t="s" s="0">
        <v>3797</v>
      </c>
      <c r="X408" t="s" s="0">
        <v>82</v>
      </c>
      <c r="Y408" t="s" s="0">
        <v>82</v>
      </c>
      <c r="Z408" t="s" s="0">
        <v>94</v>
      </c>
      <c r="AA408" t="s" s="0">
        <v>95</v>
      </c>
      <c r="AB408" t="s" s="0">
        <v>82</v>
      </c>
      <c r="AC408" t="s" s="0">
        <v>82</v>
      </c>
      <c r="AD408" t="s" s="0">
        <v>82</v>
      </c>
      <c r="AE408" t="s" s="0">
        <v>82</v>
      </c>
      <c r="AF408" t="s" s="0">
        <v>82</v>
      </c>
      <c r="AG408" t="s" s="0">
        <v>9794</v>
      </c>
      <c r="AH408" t="s" s="0">
        <v>9795</v>
      </c>
      <c r="AI408" t="s" s="0">
        <v>9796</v>
      </c>
      <c r="AJ408" t="s" s="0">
        <v>9797</v>
      </c>
      <c r="AK408" t="s" s="0">
        <v>82</v>
      </c>
      <c r="AL408" t="s" s="0">
        <v>890</v>
      </c>
      <c r="AM408" t="s" s="0">
        <v>78</v>
      </c>
      <c r="AN408" t="s" s="0">
        <v>78</v>
      </c>
      <c r="AO408" t="s" s="0">
        <v>221</v>
      </c>
      <c r="AP408" t="s" s="0">
        <v>245</v>
      </c>
      <c r="AQ408" t="s" s="0">
        <v>202</v>
      </c>
      <c r="AR408" t="s" s="0">
        <v>203</v>
      </c>
      <c r="AS408" t="s" s="0">
        <v>204</v>
      </c>
      <c r="AT408" t="s" s="0">
        <v>3801</v>
      </c>
      <c r="AU408" t="s" s="0">
        <v>3802</v>
      </c>
      <c r="AV408" t="s" s="0">
        <v>82</v>
      </c>
      <c r="AW408" t="s" s="0">
        <v>3803</v>
      </c>
      <c r="AX408" t="s" s="0">
        <v>3804</v>
      </c>
      <c r="AY408" t="s" s="0">
        <v>5604</v>
      </c>
      <c r="AZ408" t="s" s="0">
        <v>147</v>
      </c>
      <c r="BA408" t="s" s="0">
        <v>273</v>
      </c>
      <c r="BB408" t="s" s="0">
        <v>245</v>
      </c>
      <c r="BC408" t="s" s="0">
        <v>82</v>
      </c>
      <c r="BD408" t="s" s="0">
        <v>82</v>
      </c>
      <c r="BE408" t="s" s="0">
        <v>82</v>
      </c>
      <c r="BF408" t="s" s="0">
        <v>82</v>
      </c>
      <c r="BG408" t="s" s="0">
        <v>9798</v>
      </c>
      <c r="BH408" t="s" s="0">
        <v>9799</v>
      </c>
      <c r="BI408" t="s" s="0">
        <v>82</v>
      </c>
      <c r="BJ408" t="s" s="0">
        <v>9800</v>
      </c>
      <c r="BK408" t="s" s="811">
        <f>HYPERLINK("http://dx.doi.org/10.1016/j.acra.2025.06.001","http://dx.doi.org/10.1016/j.acra.2025.06.001")</f>
        <v>9801</v>
      </c>
      <c r="BL408" t="s" s="0">
        <v>82</v>
      </c>
      <c r="BM408" t="s" s="0">
        <v>5604</v>
      </c>
      <c r="BN408" t="s" s="0">
        <v>149</v>
      </c>
      <c r="BO408" t="s" s="0">
        <v>414</v>
      </c>
      <c r="BP408" t="s" s="0">
        <v>414</v>
      </c>
      <c r="BQ408" t="s" s="0">
        <v>9802</v>
      </c>
      <c r="BR408" t="s" s="0">
        <v>9803</v>
      </c>
      <c r="BS408" t="s" s="0">
        <v>9804</v>
      </c>
      <c r="BT408" t="s" s="812">
        <f>HYPERLINK("https://www.webofscience.com/wos/woscc/full-record/WOS:001590129500027","View Record in Web of Science")</f>
        <v>120</v>
      </c>
      <c r="BU408" t="s" s="0">
        <v>82</v>
      </c>
      <c r="BV408" t="s" s="0">
        <v>82</v>
      </c>
      <c r="BW408" t="s" s="0">
        <v>82</v>
      </c>
      <c r="BX408" t="s" s="0">
        <v>122</v>
      </c>
    </row>
    <row r="409">
      <c r="A409" t="s" s="0">
        <v>78</v>
      </c>
      <c r="B409" t="s" s="0">
        <v>78</v>
      </c>
      <c r="C409" t="s" s="0">
        <v>78</v>
      </c>
      <c r="D409" t="s" s="0">
        <v>78</v>
      </c>
      <c r="E409" t="s" s="0">
        <v>9805</v>
      </c>
      <c r="F409" t="s" s="0">
        <v>9806</v>
      </c>
      <c r="G409" t="s" s="0">
        <v>9807</v>
      </c>
      <c r="H409" t="s" s="0">
        <v>82</v>
      </c>
      <c r="I409" t="s" s="0">
        <v>297</v>
      </c>
      <c r="J409" t="s" s="0">
        <v>9808</v>
      </c>
      <c r="K409" t="s" s="0">
        <v>9809</v>
      </c>
      <c r="L409" t="s" s="0">
        <v>9810</v>
      </c>
      <c r="M409" t="s" s="0">
        <v>6972</v>
      </c>
      <c r="N409" t="s" s="0">
        <v>9811</v>
      </c>
      <c r="O409" t="s" s="0">
        <v>9812</v>
      </c>
      <c r="P409" t="s" s="0">
        <v>9813</v>
      </c>
      <c r="Q409" t="s" s="0">
        <v>91</v>
      </c>
      <c r="R409" t="s" s="0">
        <v>82</v>
      </c>
      <c r="S409" t="s" s="0">
        <v>82</v>
      </c>
      <c r="T409" t="s" s="0">
        <v>82</v>
      </c>
      <c r="U409" t="s" s="0">
        <v>82</v>
      </c>
      <c r="V409" t="s" s="0">
        <v>9814</v>
      </c>
      <c r="W409" t="s" s="0">
        <v>9815</v>
      </c>
      <c r="X409" t="s" s="0">
        <v>82</v>
      </c>
      <c r="Y409" t="s" s="0">
        <v>82</v>
      </c>
      <c r="Z409" t="s" s="0">
        <v>94</v>
      </c>
      <c r="AA409" t="s" s="0">
        <v>95</v>
      </c>
      <c r="AB409" t="s" s="0">
        <v>82</v>
      </c>
      <c r="AC409" t="s" s="0">
        <v>82</v>
      </c>
      <c r="AD409" t="s" s="0">
        <v>82</v>
      </c>
      <c r="AE409" t="s" s="0">
        <v>82</v>
      </c>
      <c r="AF409" t="s" s="0">
        <v>82</v>
      </c>
      <c r="AG409" t="s" s="0">
        <v>9816</v>
      </c>
      <c r="AH409" t="s" s="0">
        <v>9817</v>
      </c>
      <c r="AI409" t="s" s="0">
        <v>6980</v>
      </c>
      <c r="AJ409" t="s" s="0">
        <v>82</v>
      </c>
      <c r="AK409" t="s" s="0">
        <v>82</v>
      </c>
      <c r="AL409" t="s" s="0">
        <v>2191</v>
      </c>
      <c r="AM409" t="s" s="0">
        <v>78</v>
      </c>
      <c r="AN409" t="s" s="0">
        <v>78</v>
      </c>
      <c r="AO409" t="s" s="0">
        <v>447</v>
      </c>
      <c r="AP409" t="s" s="0">
        <v>447</v>
      </c>
      <c r="AQ409" t="s" s="0">
        <v>312</v>
      </c>
      <c r="AR409" t="s" s="0">
        <v>313</v>
      </c>
      <c r="AS409" t="s" s="0">
        <v>314</v>
      </c>
      <c r="AT409" t="s" s="0">
        <v>82</v>
      </c>
      <c r="AU409" t="s" s="0">
        <v>9818</v>
      </c>
      <c r="AV409" t="s" s="0">
        <v>82</v>
      </c>
      <c r="AW409" t="s" s="0">
        <v>9819</v>
      </c>
      <c r="AX409" t="s" s="0">
        <v>9820</v>
      </c>
      <c r="AY409" t="s" s="0">
        <v>9821</v>
      </c>
      <c r="AZ409" t="s" s="0">
        <v>181</v>
      </c>
      <c r="BA409" t="s" s="0">
        <v>323</v>
      </c>
      <c r="BB409" t="s" s="0">
        <v>77</v>
      </c>
      <c r="BC409" t="s" s="0">
        <v>82</v>
      </c>
      <c r="BD409" t="s" s="0">
        <v>82</v>
      </c>
      <c r="BE409" t="s" s="0">
        <v>82</v>
      </c>
      <c r="BF409" t="s" s="0">
        <v>82</v>
      </c>
      <c r="BG409" t="s" s="0">
        <v>82</v>
      </c>
      <c r="BH409" t="s" s="0">
        <v>82</v>
      </c>
      <c r="BI409" t="s" s="0">
        <v>273</v>
      </c>
      <c r="BJ409" t="s" s="0">
        <v>9822</v>
      </c>
      <c r="BK409" t="s" s="813">
        <f>HYPERLINK("http://dx.doi.org/10.3390/diseases14010032","http://dx.doi.org/10.3390/diseases14010032")</f>
        <v>9823</v>
      </c>
      <c r="BL409" t="s" s="0">
        <v>82</v>
      </c>
      <c r="BM409" t="s" s="0">
        <v>82</v>
      </c>
      <c r="BN409" t="s" s="0">
        <v>831</v>
      </c>
      <c r="BO409" t="s" s="0">
        <v>2464</v>
      </c>
      <c r="BP409" t="s" s="0">
        <v>2465</v>
      </c>
      <c r="BQ409" t="s" s="0">
        <v>9824</v>
      </c>
      <c r="BR409" t="s" s="0">
        <v>9825</v>
      </c>
      <c r="BS409" t="s" s="0">
        <v>9826</v>
      </c>
      <c r="BT409" t="s" s="814">
        <f>HYPERLINK("https://www.webofscience.com/wos/woscc/full-record/WOS:001671365000001","View Record in Web of Science")</f>
        <v>120</v>
      </c>
      <c r="BU409" t="s" s="0">
        <v>121</v>
      </c>
      <c r="BV409" t="s" s="0">
        <v>82</v>
      </c>
      <c r="BW409" t="s" s="0">
        <v>82</v>
      </c>
      <c r="BX409" t="s" s="0">
        <v>122</v>
      </c>
    </row>
    <row r="410">
      <c r="A410" t="s" s="0">
        <v>78</v>
      </c>
      <c r="B410" t="s" s="0">
        <v>78</v>
      </c>
      <c r="C410" t="s" s="0">
        <v>78</v>
      </c>
      <c r="D410" t="s" s="0">
        <v>78</v>
      </c>
      <c r="E410" t="s" s="0">
        <v>9827</v>
      </c>
      <c r="F410" t="s" s="0">
        <v>9828</v>
      </c>
      <c r="G410" t="s" s="0">
        <v>9829</v>
      </c>
      <c r="H410" t="s" s="0">
        <v>82</v>
      </c>
      <c r="I410" t="s" s="0">
        <v>297</v>
      </c>
      <c r="J410" t="s" s="0">
        <v>9830</v>
      </c>
      <c r="K410" t="s" s="0">
        <v>9831</v>
      </c>
      <c r="L410" t="s" s="0">
        <v>9832</v>
      </c>
      <c r="M410" t="s" s="0">
        <v>9833</v>
      </c>
      <c r="N410" t="s" s="0">
        <v>9834</v>
      </c>
      <c r="O410" t="s" s="0">
        <v>9835</v>
      </c>
      <c r="P410" t="s" s="0">
        <v>9836</v>
      </c>
      <c r="Q410" t="s" s="0">
        <v>91</v>
      </c>
      <c r="R410" t="s" s="0">
        <v>82</v>
      </c>
      <c r="S410" t="s" s="0">
        <v>82</v>
      </c>
      <c r="T410" t="s" s="0">
        <v>82</v>
      </c>
      <c r="U410" t="s" s="0">
        <v>82</v>
      </c>
      <c r="V410" t="s" s="0">
        <v>9837</v>
      </c>
      <c r="W410" t="s" s="0">
        <v>9838</v>
      </c>
      <c r="X410" t="s" s="0">
        <v>82</v>
      </c>
      <c r="Y410" t="s" s="0">
        <v>82</v>
      </c>
      <c r="Z410" t="s" s="0">
        <v>94</v>
      </c>
      <c r="AA410" t="s" s="0">
        <v>95</v>
      </c>
      <c r="AB410" t="s" s="0">
        <v>82</v>
      </c>
      <c r="AC410" t="s" s="0">
        <v>82</v>
      </c>
      <c r="AD410" t="s" s="0">
        <v>82</v>
      </c>
      <c r="AE410" t="s" s="0">
        <v>82</v>
      </c>
      <c r="AF410" t="s" s="0">
        <v>82</v>
      </c>
      <c r="AG410" t="s" s="0">
        <v>9839</v>
      </c>
      <c r="AH410" t="s" s="0">
        <v>9840</v>
      </c>
      <c r="AI410" t="s" s="0">
        <v>82</v>
      </c>
      <c r="AJ410" t="s" s="0">
        <v>9841</v>
      </c>
      <c r="AK410" t="s" s="0">
        <v>82</v>
      </c>
      <c r="AL410" t="s" s="0">
        <v>2575</v>
      </c>
      <c r="AM410" t="s" s="0">
        <v>78</v>
      </c>
      <c r="AN410" t="s" s="0">
        <v>78</v>
      </c>
      <c r="AO410" t="s" s="0">
        <v>78</v>
      </c>
      <c r="AP410" t="s" s="0">
        <v>78</v>
      </c>
      <c r="AQ410" t="s" s="0">
        <v>174</v>
      </c>
      <c r="AR410" t="s" s="0">
        <v>175</v>
      </c>
      <c r="AS410" t="s" s="0">
        <v>176</v>
      </c>
      <c r="AT410" t="s" s="0">
        <v>9842</v>
      </c>
      <c r="AU410" t="s" s="0">
        <v>9843</v>
      </c>
      <c r="AV410" t="s" s="0">
        <v>82</v>
      </c>
      <c r="AW410" t="s" s="0">
        <v>9844</v>
      </c>
      <c r="AX410" t="s" s="0">
        <v>9845</v>
      </c>
      <c r="AY410" t="s" s="0">
        <v>1342</v>
      </c>
      <c r="AZ410" t="s" s="0">
        <v>181</v>
      </c>
      <c r="BA410" t="s" s="0">
        <v>221</v>
      </c>
      <c r="BB410" t="s" s="0">
        <v>102</v>
      </c>
      <c r="BC410" t="s" s="0">
        <v>82</v>
      </c>
      <c r="BD410" t="s" s="0">
        <v>82</v>
      </c>
      <c r="BE410" t="s" s="0">
        <v>82</v>
      </c>
      <c r="BF410" t="s" s="0">
        <v>82</v>
      </c>
      <c r="BG410" t="s" s="0">
        <v>9846</v>
      </c>
      <c r="BH410" t="s" s="0">
        <v>9847</v>
      </c>
      <c r="BI410" t="s" s="0">
        <v>82</v>
      </c>
      <c r="BJ410" t="s" s="0">
        <v>9848</v>
      </c>
      <c r="BK410" t="s" s="815">
        <f>HYPERLINK("http://dx.doi.org/10.1002/hcs2.70077","http://dx.doi.org/10.1002/hcs2.70077")</f>
        <v>9849</v>
      </c>
      <c r="BL410" t="s" s="0">
        <v>82</v>
      </c>
      <c r="BM410" t="s" s="0">
        <v>1003</v>
      </c>
      <c r="BN410" t="s" s="0">
        <v>349</v>
      </c>
      <c r="BO410" t="s" s="0">
        <v>9850</v>
      </c>
      <c r="BP410" t="s" s="0">
        <v>9850</v>
      </c>
      <c r="BQ410" t="s" s="0">
        <v>9851</v>
      </c>
      <c r="BR410" t="s" s="0">
        <v>9852</v>
      </c>
      <c r="BS410" t="s" s="0">
        <v>9853</v>
      </c>
      <c r="BT410" t="s" s="816">
        <f>HYPERLINK("https://www.webofscience.com/wos/woscc/full-record/WOS:001768438100001","View Record in Web of Science")</f>
        <v>120</v>
      </c>
      <c r="BU410" t="s" s="0">
        <v>121</v>
      </c>
      <c r="BV410" t="s" s="0">
        <v>82</v>
      </c>
      <c r="BW410" t="s" s="0">
        <v>82</v>
      </c>
      <c r="BX410" t="s" s="0">
        <v>122</v>
      </c>
    </row>
    <row r="411">
      <c r="A411" t="s" s="0">
        <v>78</v>
      </c>
      <c r="B411" t="s" s="0">
        <v>78</v>
      </c>
      <c r="C411" t="s" s="0">
        <v>101</v>
      </c>
      <c r="D411" t="s" s="0">
        <v>78</v>
      </c>
      <c r="E411" t="s" s="0">
        <v>9854</v>
      </c>
      <c r="F411" t="s" s="0">
        <v>9855</v>
      </c>
      <c r="G411" t="s" s="0">
        <v>9856</v>
      </c>
      <c r="H411" t="s" s="0">
        <v>82</v>
      </c>
      <c r="I411" t="s" s="0">
        <v>297</v>
      </c>
      <c r="J411" t="s" s="0">
        <v>9857</v>
      </c>
      <c r="K411" t="s" s="0">
        <v>9858</v>
      </c>
      <c r="L411" t="s" s="0">
        <v>82</v>
      </c>
      <c r="M411" t="s" s="0">
        <v>82</v>
      </c>
      <c r="N411" t="s" s="0">
        <v>82</v>
      </c>
      <c r="O411" t="s" s="0">
        <v>9859</v>
      </c>
      <c r="P411" t="s" s="0">
        <v>9860</v>
      </c>
      <c r="Q411" t="s" s="0">
        <v>91</v>
      </c>
      <c r="R411" t="s" s="0">
        <v>82</v>
      </c>
      <c r="S411" t="s" s="0">
        <v>82</v>
      </c>
      <c r="T411" t="s" s="0">
        <v>82</v>
      </c>
      <c r="U411" t="s" s="0">
        <v>82</v>
      </c>
      <c r="V411" t="s" s="0">
        <v>9861</v>
      </c>
      <c r="W411" t="s" s="0">
        <v>9862</v>
      </c>
      <c r="X411" t="s" s="0">
        <v>82</v>
      </c>
      <c r="Y411" t="s" s="0">
        <v>82</v>
      </c>
      <c r="Z411" t="s" s="0">
        <v>94</v>
      </c>
      <c r="AA411" t="s" s="0">
        <v>95</v>
      </c>
      <c r="AB411" t="s" s="0">
        <v>82</v>
      </c>
      <c r="AC411" t="s" s="0">
        <v>82</v>
      </c>
      <c r="AD411" t="s" s="0">
        <v>82</v>
      </c>
      <c r="AE411" t="s" s="0">
        <v>82</v>
      </c>
      <c r="AF411" t="s" s="0">
        <v>82</v>
      </c>
      <c r="AG411" t="s" s="0">
        <v>9863</v>
      </c>
      <c r="AH411" t="s" s="0">
        <v>9864</v>
      </c>
      <c r="AI411" t="s" s="0">
        <v>9865</v>
      </c>
      <c r="AJ411" t="s" s="0">
        <v>9866</v>
      </c>
      <c r="AK411" t="s" s="0">
        <v>82</v>
      </c>
      <c r="AL411" t="s" s="0">
        <v>1526</v>
      </c>
      <c r="AM411" t="s" s="0">
        <v>136</v>
      </c>
      <c r="AN411" t="s" s="0">
        <v>136</v>
      </c>
      <c r="AO411" t="s" s="0">
        <v>447</v>
      </c>
      <c r="AP411" t="s" s="0">
        <v>375</v>
      </c>
      <c r="AQ411" t="s" s="0">
        <v>312</v>
      </c>
      <c r="AR411" t="s" s="0">
        <v>313</v>
      </c>
      <c r="AS411" t="s" s="0">
        <v>314</v>
      </c>
      <c r="AT411" t="s" s="0">
        <v>82</v>
      </c>
      <c r="AU411" t="s" s="0">
        <v>9867</v>
      </c>
      <c r="AV411" t="s" s="0">
        <v>82</v>
      </c>
      <c r="AW411" t="s" s="0">
        <v>9868</v>
      </c>
      <c r="AX411" t="s" s="0">
        <v>9869</v>
      </c>
      <c r="AY411" t="s" s="0">
        <v>837</v>
      </c>
      <c r="AZ411" t="s" s="0">
        <v>210</v>
      </c>
      <c r="BA411" t="s" s="0">
        <v>102</v>
      </c>
      <c r="BB411" t="s" s="0">
        <v>77</v>
      </c>
      <c r="BC411" t="s" s="0">
        <v>82</v>
      </c>
      <c r="BD411" t="s" s="0">
        <v>82</v>
      </c>
      <c r="BE411" t="s" s="0">
        <v>82</v>
      </c>
      <c r="BF411" t="s" s="0">
        <v>82</v>
      </c>
      <c r="BG411" t="s" s="0">
        <v>154</v>
      </c>
      <c r="BH411" t="s" s="0">
        <v>1186</v>
      </c>
      <c r="BI411" t="s" s="0">
        <v>82</v>
      </c>
      <c r="BJ411" t="s" s="0">
        <v>9870</v>
      </c>
      <c r="BK411" t="s" s="817">
        <f>HYPERLINK("http://dx.doi.org/10.3390/neurosci4010003","http://dx.doi.org/10.3390/neurosci4010003")</f>
        <v>9871</v>
      </c>
      <c r="BL411" t="s" s="0">
        <v>82</v>
      </c>
      <c r="BM411" t="s" s="0">
        <v>82</v>
      </c>
      <c r="BN411" t="s" s="0">
        <v>115</v>
      </c>
      <c r="BO411" t="s" s="0">
        <v>613</v>
      </c>
      <c r="BP411" t="s" s="0">
        <v>252</v>
      </c>
      <c r="BQ411" t="s" s="0">
        <v>9872</v>
      </c>
      <c r="BR411" t="s" s="0">
        <v>82</v>
      </c>
      <c r="BS411" t="s" s="0">
        <v>9873</v>
      </c>
      <c r="BT411" t="s" s="818">
        <f>HYPERLINK("https://www.webofscience.com/wos/woscc/full-record/WOS:001120709900001","View Record in Web of Science")</f>
        <v>120</v>
      </c>
      <c r="BU411" t="s" s="0">
        <v>121</v>
      </c>
      <c r="BV411" t="s" s="0">
        <v>82</v>
      </c>
      <c r="BW411" t="s" s="0">
        <v>82</v>
      </c>
      <c r="BX411" t="s" s="0">
        <v>122</v>
      </c>
    </row>
    <row r="412">
      <c r="A412" t="s" s="0">
        <v>78</v>
      </c>
      <c r="B412" t="s" s="0">
        <v>78</v>
      </c>
      <c r="C412" t="s" s="0">
        <v>78</v>
      </c>
      <c r="D412" t="s" s="0">
        <v>78</v>
      </c>
      <c r="E412" t="s" s="0">
        <v>9874</v>
      </c>
      <c r="F412" t="s" s="0">
        <v>9875</v>
      </c>
      <c r="G412" t="s" s="0">
        <v>9876</v>
      </c>
      <c r="H412" t="s" s="0">
        <v>82</v>
      </c>
      <c r="I412" t="s" s="0">
        <v>83</v>
      </c>
      <c r="J412" t="s" s="0">
        <v>9877</v>
      </c>
      <c r="K412" t="s" s="0">
        <v>9878</v>
      </c>
      <c r="L412" t="s" s="0">
        <v>9879</v>
      </c>
      <c r="M412" t="s" s="0">
        <v>9880</v>
      </c>
      <c r="N412" t="s" s="0">
        <v>9881</v>
      </c>
      <c r="O412" t="s" s="0">
        <v>9882</v>
      </c>
      <c r="P412" t="s" s="0">
        <v>9883</v>
      </c>
      <c r="Q412" t="s" s="0">
        <v>91</v>
      </c>
      <c r="R412" t="s" s="0">
        <v>82</v>
      </c>
      <c r="S412" t="s" s="0">
        <v>82</v>
      </c>
      <c r="T412" t="s" s="0">
        <v>82</v>
      </c>
      <c r="U412" t="s" s="0">
        <v>82</v>
      </c>
      <c r="V412" t="s" s="0">
        <v>9884</v>
      </c>
      <c r="W412" t="s" s="0">
        <v>9885</v>
      </c>
      <c r="X412" t="s" s="0">
        <v>82</v>
      </c>
      <c r="Y412" t="s" s="0">
        <v>82</v>
      </c>
      <c r="Z412" t="s" s="0">
        <v>94</v>
      </c>
      <c r="AA412" t="s" s="0">
        <v>169</v>
      </c>
      <c r="AB412" t="s" s="0">
        <v>82</v>
      </c>
      <c r="AC412" t="s" s="0">
        <v>82</v>
      </c>
      <c r="AD412" t="s" s="0">
        <v>82</v>
      </c>
      <c r="AE412" t="s" s="0">
        <v>82</v>
      </c>
      <c r="AF412" t="s" s="0">
        <v>82</v>
      </c>
      <c r="AG412" t="s" s="0">
        <v>9886</v>
      </c>
      <c r="AH412" t="s" s="0">
        <v>9887</v>
      </c>
      <c r="AI412" t="s" s="0">
        <v>82</v>
      </c>
      <c r="AJ412" t="s" s="0">
        <v>82</v>
      </c>
      <c r="AK412" t="s" s="0">
        <v>82</v>
      </c>
      <c r="AL412" t="s" s="0">
        <v>273</v>
      </c>
      <c r="AM412" t="s" s="0">
        <v>447</v>
      </c>
      <c r="AN412" t="s" s="0">
        <v>447</v>
      </c>
      <c r="AO412" t="s" s="0">
        <v>78</v>
      </c>
      <c r="AP412" t="s" s="0">
        <v>78</v>
      </c>
      <c r="AQ412" t="s" s="0">
        <v>2051</v>
      </c>
      <c r="AR412" t="s" s="0">
        <v>203</v>
      </c>
      <c r="AS412" t="s" s="0">
        <v>2052</v>
      </c>
      <c r="AT412" t="s" s="0">
        <v>9888</v>
      </c>
      <c r="AU412" t="s" s="0">
        <v>9889</v>
      </c>
      <c r="AV412" t="s" s="0">
        <v>82</v>
      </c>
      <c r="AW412" t="s" s="0">
        <v>9890</v>
      </c>
      <c r="AX412" t="s" s="0">
        <v>9891</v>
      </c>
      <c r="AY412" t="s" s="0">
        <v>82</v>
      </c>
      <c r="AZ412" t="s" s="0">
        <v>181</v>
      </c>
      <c r="BA412" t="s" s="0">
        <v>82</v>
      </c>
      <c r="BB412" t="s" s="0">
        <v>82</v>
      </c>
      <c r="BC412" t="s" s="0">
        <v>82</v>
      </c>
      <c r="BD412" t="s" s="0">
        <v>82</v>
      </c>
      <c r="BE412" t="s" s="0">
        <v>82</v>
      </c>
      <c r="BF412" t="s" s="0">
        <v>82</v>
      </c>
      <c r="BG412" t="s" s="0">
        <v>82</v>
      </c>
      <c r="BH412" t="s" s="0">
        <v>82</v>
      </c>
      <c r="BI412" t="s" s="0">
        <v>82</v>
      </c>
      <c r="BJ412" t="s" s="0">
        <v>9892</v>
      </c>
      <c r="BK412" t="s" s="819">
        <f>HYPERLINK("http://dx.doi.org/10.1007/s10278-026-01980-6","http://dx.doi.org/10.1007/s10278-026-01980-6")</f>
        <v>9893</v>
      </c>
      <c r="BL412" t="s" s="0">
        <v>82</v>
      </c>
      <c r="BM412" t="s" s="0">
        <v>1365</v>
      </c>
      <c r="BN412" t="s" s="0">
        <v>137</v>
      </c>
      <c r="BO412" t="s" s="0">
        <v>414</v>
      </c>
      <c r="BP412" t="s" s="0">
        <v>414</v>
      </c>
      <c r="BQ412" t="s" s="0">
        <v>9894</v>
      </c>
      <c r="BR412" t="s" s="0">
        <v>9895</v>
      </c>
      <c r="BS412" t="s" s="0">
        <v>9896</v>
      </c>
      <c r="BT412" t="s" s="820">
        <f>HYPERLINK("https://www.webofscience.com/wos/woscc/full-record/WOS:001752952700001","View Record in Web of Science")</f>
        <v>120</v>
      </c>
      <c r="BU412" t="s" s="0">
        <v>9897</v>
      </c>
      <c r="BV412" t="s" s="0">
        <v>82</v>
      </c>
      <c r="BW412" t="s" s="0">
        <v>82</v>
      </c>
      <c r="BX412" t="s" s="0">
        <v>122</v>
      </c>
    </row>
    <row r="413">
      <c r="A413" t="s" s="0">
        <v>78</v>
      </c>
      <c r="B413" t="s" s="0">
        <v>78</v>
      </c>
      <c r="C413" t="s" s="0">
        <v>78</v>
      </c>
      <c r="D413" t="s" s="0">
        <v>78</v>
      </c>
      <c r="E413" t="s" s="0">
        <v>9898</v>
      </c>
      <c r="F413" t="s" s="0">
        <v>9899</v>
      </c>
      <c r="G413" t="s" s="0">
        <v>9900</v>
      </c>
      <c r="H413" t="s" s="0">
        <v>82</v>
      </c>
      <c r="I413" t="s" s="0">
        <v>83</v>
      </c>
      <c r="J413" t="s" s="0">
        <v>9901</v>
      </c>
      <c r="K413" t="s" s="0">
        <v>9902</v>
      </c>
      <c r="L413" t="s" s="0">
        <v>9903</v>
      </c>
      <c r="M413" t="s" s="0">
        <v>9904</v>
      </c>
      <c r="N413" t="s" s="0">
        <v>9905</v>
      </c>
      <c r="O413" t="s" s="0">
        <v>9906</v>
      </c>
      <c r="P413" t="s" s="0">
        <v>9907</v>
      </c>
      <c r="Q413" t="s" s="0">
        <v>91</v>
      </c>
      <c r="R413" t="s" s="0">
        <v>82</v>
      </c>
      <c r="S413" t="s" s="0">
        <v>82</v>
      </c>
      <c r="T413" t="s" s="0">
        <v>82</v>
      </c>
      <c r="U413" t="s" s="0">
        <v>82</v>
      </c>
      <c r="V413" t="s" s="0">
        <v>9908</v>
      </c>
      <c r="W413" t="s" s="0">
        <v>9909</v>
      </c>
      <c r="X413" t="s" s="0">
        <v>82</v>
      </c>
      <c r="Y413" t="s" s="0">
        <v>82</v>
      </c>
      <c r="Z413" t="s" s="0">
        <v>94</v>
      </c>
      <c r="AA413" t="s" s="0">
        <v>95</v>
      </c>
      <c r="AB413" t="s" s="0">
        <v>82</v>
      </c>
      <c r="AC413" t="s" s="0">
        <v>82</v>
      </c>
      <c r="AD413" t="s" s="0">
        <v>82</v>
      </c>
      <c r="AE413" t="s" s="0">
        <v>82</v>
      </c>
      <c r="AF413" t="s" s="0">
        <v>82</v>
      </c>
      <c r="AG413" t="s" s="0">
        <v>9910</v>
      </c>
      <c r="AH413" t="s" s="0">
        <v>9911</v>
      </c>
      <c r="AI413" t="s" s="0">
        <v>9912</v>
      </c>
      <c r="AJ413" t="s" s="0">
        <v>9913</v>
      </c>
      <c r="AK413" t="s" s="0">
        <v>82</v>
      </c>
      <c r="AL413" t="s" s="0">
        <v>828</v>
      </c>
      <c r="AM413" t="s" s="0">
        <v>78</v>
      </c>
      <c r="AN413" t="s" s="0">
        <v>78</v>
      </c>
      <c r="AO413" t="s" s="0">
        <v>78</v>
      </c>
      <c r="AP413" t="s" s="0">
        <v>77</v>
      </c>
      <c r="AQ413" t="s" s="0">
        <v>9914</v>
      </c>
      <c r="AR413" t="s" s="0">
        <v>9915</v>
      </c>
      <c r="AS413" t="s" s="0">
        <v>9916</v>
      </c>
      <c r="AT413" t="s" s="0">
        <v>9917</v>
      </c>
      <c r="AU413" t="s" s="0">
        <v>9918</v>
      </c>
      <c r="AV413" t="s" s="0">
        <v>82</v>
      </c>
      <c r="AW413" t="s" s="0">
        <v>9919</v>
      </c>
      <c r="AX413" t="s" s="0">
        <v>9920</v>
      </c>
      <c r="AY413" t="s" s="0">
        <v>9921</v>
      </c>
      <c r="AZ413" t="s" s="0">
        <v>147</v>
      </c>
      <c r="BA413" t="s" s="0">
        <v>4685</v>
      </c>
      <c r="BB413" t="s" s="0">
        <v>82</v>
      </c>
      <c r="BC413" t="s" s="0">
        <v>82</v>
      </c>
      <c r="BD413" t="s" s="0">
        <v>82</v>
      </c>
      <c r="BE413" t="s" s="0">
        <v>82</v>
      </c>
      <c r="BF413" t="s" s="0">
        <v>82</v>
      </c>
      <c r="BG413" t="s" s="0">
        <v>82</v>
      </c>
      <c r="BH413" t="s" s="0">
        <v>82</v>
      </c>
      <c r="BI413" t="s" s="0">
        <v>82</v>
      </c>
      <c r="BJ413" t="s" s="0">
        <v>9922</v>
      </c>
      <c r="BK413" t="s" s="821">
        <f>HYPERLINK("http://dx.doi.org/10.2340/1651-226X.2025.43977","http://dx.doi.org/10.2340/1651-226X.2025.43977")</f>
        <v>9923</v>
      </c>
      <c r="BL413" t="s" s="0">
        <v>82</v>
      </c>
      <c r="BM413" t="s" s="0">
        <v>82</v>
      </c>
      <c r="BN413" t="s" s="0">
        <v>245</v>
      </c>
      <c r="BO413" t="s" s="0">
        <v>4833</v>
      </c>
      <c r="BP413" t="s" s="0">
        <v>4833</v>
      </c>
      <c r="BQ413" t="s" s="0">
        <v>9924</v>
      </c>
      <c r="BR413" t="s" s="0">
        <v>9925</v>
      </c>
      <c r="BS413" t="s" s="0">
        <v>9926</v>
      </c>
      <c r="BT413" t="s" s="822">
        <f>HYPERLINK("https://www.webofscience.com/wos/woscc/full-record/WOS:001568547800001","View Record in Web of Science")</f>
        <v>120</v>
      </c>
      <c r="BU413" t="s" s="0">
        <v>4745</v>
      </c>
      <c r="BV413" t="s" s="0">
        <v>82</v>
      </c>
      <c r="BW413" t="s" s="0">
        <v>82</v>
      </c>
      <c r="BX413" t="s" s="0">
        <v>122</v>
      </c>
    </row>
    <row r="414">
      <c r="A414" t="s" s="0">
        <v>77</v>
      </c>
      <c r="B414" t="s" s="0">
        <v>78</v>
      </c>
      <c r="C414" t="s" s="0">
        <v>447</v>
      </c>
      <c r="D414" t="s" s="0">
        <v>78</v>
      </c>
      <c r="E414" t="s" s="0">
        <v>9927</v>
      </c>
      <c r="F414" t="s" s="0">
        <v>9928</v>
      </c>
      <c r="G414" t="s" s="0">
        <v>9929</v>
      </c>
      <c r="H414" t="s" s="0">
        <v>82</v>
      </c>
      <c r="I414" t="s" s="0">
        <v>83</v>
      </c>
      <c r="J414" t="s" s="0">
        <v>9930</v>
      </c>
      <c r="K414" t="s" s="0">
        <v>2673</v>
      </c>
      <c r="L414" t="s" s="0">
        <v>9931</v>
      </c>
      <c r="M414" t="s" s="0">
        <v>9932</v>
      </c>
      <c r="N414" t="s" s="0">
        <v>9933</v>
      </c>
      <c r="O414" t="s" s="0">
        <v>9934</v>
      </c>
      <c r="P414" t="s" s="0">
        <v>9935</v>
      </c>
      <c r="Q414" t="s" s="0">
        <v>91</v>
      </c>
      <c r="R414" t="s" s="0">
        <v>82</v>
      </c>
      <c r="S414" t="s" s="0">
        <v>82</v>
      </c>
      <c r="T414" t="s" s="0">
        <v>82</v>
      </c>
      <c r="U414" t="s" s="0">
        <v>82</v>
      </c>
      <c r="V414" t="s" s="0">
        <v>9936</v>
      </c>
      <c r="W414" t="s" s="0">
        <v>2680</v>
      </c>
      <c r="X414" t="s" s="0">
        <v>82</v>
      </c>
      <c r="Y414" t="s" s="0">
        <v>82</v>
      </c>
      <c r="Z414" t="s" s="0">
        <v>94</v>
      </c>
      <c r="AA414" t="s" s="0">
        <v>95</v>
      </c>
      <c r="AB414" t="s" s="0">
        <v>82</v>
      </c>
      <c r="AC414" t="s" s="0">
        <v>82</v>
      </c>
      <c r="AD414" t="s" s="0">
        <v>82</v>
      </c>
      <c r="AE414" t="s" s="0">
        <v>82</v>
      </c>
      <c r="AF414" t="s" s="0">
        <v>82</v>
      </c>
      <c r="AG414" t="s" s="0">
        <v>9937</v>
      </c>
      <c r="AH414" t="s" s="0">
        <v>9938</v>
      </c>
      <c r="AI414" t="s" s="0">
        <v>2683</v>
      </c>
      <c r="AJ414" t="s" s="0">
        <v>9939</v>
      </c>
      <c r="AK414" t="s" s="0">
        <v>82</v>
      </c>
      <c r="AL414" t="s" s="0">
        <v>399</v>
      </c>
      <c r="AM414" t="s" s="0">
        <v>245</v>
      </c>
      <c r="AN414" t="s" s="0">
        <v>323</v>
      </c>
      <c r="AO414" t="s" s="0">
        <v>78</v>
      </c>
      <c r="AP414" t="s" s="0">
        <v>245</v>
      </c>
      <c r="AQ414" t="s" s="0">
        <v>174</v>
      </c>
      <c r="AR414" t="s" s="0">
        <v>175</v>
      </c>
      <c r="AS414" t="s" s="0">
        <v>176</v>
      </c>
      <c r="AT414" t="s" s="0">
        <v>2685</v>
      </c>
      <c r="AU414" t="s" s="0">
        <v>2686</v>
      </c>
      <c r="AV414" t="s" s="0">
        <v>82</v>
      </c>
      <c r="AW414" t="s" s="0">
        <v>2687</v>
      </c>
      <c r="AX414" t="s" s="0">
        <v>2688</v>
      </c>
      <c r="AY414" t="s" s="0">
        <v>607</v>
      </c>
      <c r="AZ414" t="s" s="0">
        <v>408</v>
      </c>
      <c r="BA414" t="s" s="0">
        <v>1320</v>
      </c>
      <c r="BB414" t="s" s="0">
        <v>447</v>
      </c>
      <c r="BC414" t="s" s="0">
        <v>82</v>
      </c>
      <c r="BD414" t="s" s="0">
        <v>82</v>
      </c>
      <c r="BE414" t="s" s="0">
        <v>82</v>
      </c>
      <c r="BF414" t="s" s="0">
        <v>82</v>
      </c>
      <c r="BG414" t="s" s="0">
        <v>9940</v>
      </c>
      <c r="BH414" t="s" s="0">
        <v>9941</v>
      </c>
      <c r="BI414" t="s" s="0">
        <v>82</v>
      </c>
      <c r="BJ414" t="s" s="0">
        <v>9942</v>
      </c>
      <c r="BK414" t="s" s="823">
        <f>HYPERLINK("http://dx.doi.org/10.1111/iwj.13644","http://dx.doi.org/10.1111/iwj.13644")</f>
        <v>9943</v>
      </c>
      <c r="BL414" t="s" s="0">
        <v>82</v>
      </c>
      <c r="BM414" t="s" s="0">
        <v>1838</v>
      </c>
      <c r="BN414" t="s" s="0">
        <v>137</v>
      </c>
      <c r="BO414" t="s" s="0">
        <v>2692</v>
      </c>
      <c r="BP414" t="s" s="0">
        <v>2692</v>
      </c>
      <c r="BQ414" t="s" s="0">
        <v>9944</v>
      </c>
      <c r="BR414" t="s" s="0">
        <v>9945</v>
      </c>
      <c r="BS414" t="s" s="0">
        <v>9946</v>
      </c>
      <c r="BT414" t="s" s="824">
        <f>HYPERLINK("https://www.webofscience.com/wos/woscc/full-record/WOS:000661066700001","View Record in Web of Science")</f>
        <v>120</v>
      </c>
      <c r="BU414" t="s" s="0">
        <v>121</v>
      </c>
      <c r="BV414" t="s" s="0">
        <v>82</v>
      </c>
      <c r="BW414" t="s" s="0">
        <v>82</v>
      </c>
      <c r="BX414" t="s" s="0">
        <v>122</v>
      </c>
    </row>
    <row r="415">
      <c r="A415" t="s" s="0">
        <v>78</v>
      </c>
      <c r="B415" t="s" s="0">
        <v>78</v>
      </c>
      <c r="C415" t="s" s="0">
        <v>78</v>
      </c>
      <c r="D415" t="s" s="0">
        <v>78</v>
      </c>
      <c r="E415" t="s" s="0">
        <v>9947</v>
      </c>
      <c r="F415" t="s" s="0">
        <v>9948</v>
      </c>
      <c r="G415" t="s" s="0">
        <v>9949</v>
      </c>
      <c r="H415" t="s" s="0">
        <v>82</v>
      </c>
      <c r="I415" t="s" s="0">
        <v>83</v>
      </c>
      <c r="J415" t="s" s="0">
        <v>9950</v>
      </c>
      <c r="K415" t="s" s="0">
        <v>9951</v>
      </c>
      <c r="L415" t="s" s="0">
        <v>9952</v>
      </c>
      <c r="M415" t="s" s="0">
        <v>9953</v>
      </c>
      <c r="N415" t="s" s="0">
        <v>9954</v>
      </c>
      <c r="O415" t="s" s="0">
        <v>9955</v>
      </c>
      <c r="P415" t="s" s="0">
        <v>9956</v>
      </c>
      <c r="Q415" t="s" s="0">
        <v>91</v>
      </c>
      <c r="R415" t="s" s="0">
        <v>82</v>
      </c>
      <c r="S415" t="s" s="0">
        <v>82</v>
      </c>
      <c r="T415" t="s" s="0">
        <v>82</v>
      </c>
      <c r="U415" t="s" s="0">
        <v>82</v>
      </c>
      <c r="V415" t="s" s="0">
        <v>9957</v>
      </c>
      <c r="W415" t="s" s="0">
        <v>9958</v>
      </c>
      <c r="X415" t="s" s="0">
        <v>82</v>
      </c>
      <c r="Y415" t="s" s="0">
        <v>82</v>
      </c>
      <c r="Z415" t="s" s="0">
        <v>94</v>
      </c>
      <c r="AA415" t="s" s="0">
        <v>95</v>
      </c>
      <c r="AB415" t="s" s="0">
        <v>82</v>
      </c>
      <c r="AC415" t="s" s="0">
        <v>82</v>
      </c>
      <c r="AD415" t="s" s="0">
        <v>82</v>
      </c>
      <c r="AE415" t="s" s="0">
        <v>82</v>
      </c>
      <c r="AF415" t="s" s="0">
        <v>82</v>
      </c>
      <c r="AG415" t="s" s="0">
        <v>9959</v>
      </c>
      <c r="AH415" t="s" s="0">
        <v>9960</v>
      </c>
      <c r="AI415" t="s" s="0">
        <v>82</v>
      </c>
      <c r="AJ415" t="s" s="0">
        <v>82</v>
      </c>
      <c r="AK415" t="s" s="0">
        <v>82</v>
      </c>
      <c r="AL415" t="s" s="0">
        <v>890</v>
      </c>
      <c r="AM415" t="s" s="0">
        <v>78</v>
      </c>
      <c r="AN415" t="s" s="0">
        <v>78</v>
      </c>
      <c r="AO415" t="s" s="0">
        <v>101</v>
      </c>
      <c r="AP415" t="s" s="0">
        <v>101</v>
      </c>
      <c r="AQ415" t="s" s="0">
        <v>400</v>
      </c>
      <c r="AR415" t="s" s="0">
        <v>401</v>
      </c>
      <c r="AS415" t="s" s="0">
        <v>402</v>
      </c>
      <c r="AT415" t="s" s="0">
        <v>9961</v>
      </c>
      <c r="AU415" t="s" s="0">
        <v>9962</v>
      </c>
      <c r="AV415" t="s" s="0">
        <v>82</v>
      </c>
      <c r="AW415" t="s" s="0">
        <v>9963</v>
      </c>
      <c r="AX415" t="s" s="0">
        <v>9964</v>
      </c>
      <c r="AY415" t="s" s="0">
        <v>6107</v>
      </c>
      <c r="AZ415" t="s" s="0">
        <v>181</v>
      </c>
      <c r="BA415" t="s" s="0">
        <v>4033</v>
      </c>
      <c r="BB415" t="s" s="0">
        <v>82</v>
      </c>
      <c r="BC415" t="s" s="0">
        <v>82</v>
      </c>
      <c r="BD415" t="s" s="0">
        <v>82</v>
      </c>
      <c r="BE415" t="s" s="0">
        <v>82</v>
      </c>
      <c r="BF415" t="s" s="0">
        <v>82</v>
      </c>
      <c r="BG415" t="s" s="0">
        <v>82</v>
      </c>
      <c r="BH415" t="s" s="0">
        <v>82</v>
      </c>
      <c r="BI415" t="s" s="0">
        <v>9965</v>
      </c>
      <c r="BJ415" t="s" s="0">
        <v>9966</v>
      </c>
      <c r="BK415" t="s" s="825">
        <f>HYPERLINK("http://dx.doi.org/10.1016/j.archger.2026.106284","http://dx.doi.org/10.1016/j.archger.2026.106284")</f>
        <v>9967</v>
      </c>
      <c r="BL415" t="s" s="0">
        <v>82</v>
      </c>
      <c r="BM415" t="s" s="0">
        <v>1003</v>
      </c>
      <c r="BN415" t="s" s="0">
        <v>245</v>
      </c>
      <c r="BO415" t="s" s="0">
        <v>5340</v>
      </c>
      <c r="BP415" t="s" s="0">
        <v>5340</v>
      </c>
      <c r="BQ415" t="s" s="0">
        <v>9968</v>
      </c>
      <c r="BR415" t="s" s="0">
        <v>9969</v>
      </c>
      <c r="BS415" t="s" s="0">
        <v>9970</v>
      </c>
      <c r="BT415" t="s" s="826">
        <f>HYPERLINK("https://www.webofscience.com/wos/woscc/full-record/WOS:001764909500001","View Record in Web of Science")</f>
        <v>120</v>
      </c>
      <c r="BU415" t="s" s="0">
        <v>82</v>
      </c>
      <c r="BV415" t="s" s="0">
        <v>82</v>
      </c>
      <c r="BW415" t="s" s="0">
        <v>82</v>
      </c>
      <c r="BX415" t="s" s="0">
        <v>122</v>
      </c>
    </row>
    <row r="416">
      <c r="A416" t="s" s="0">
        <v>78</v>
      </c>
      <c r="B416" t="s" s="0">
        <v>78</v>
      </c>
      <c r="C416" t="s" s="0">
        <v>101</v>
      </c>
      <c r="D416" t="s" s="0">
        <v>78</v>
      </c>
      <c r="E416" t="s" s="0">
        <v>9971</v>
      </c>
      <c r="F416" t="s" s="0">
        <v>9972</v>
      </c>
      <c r="G416" t="s" s="0">
        <v>9973</v>
      </c>
      <c r="H416" t="s" s="0">
        <v>82</v>
      </c>
      <c r="I416" t="s" s="0">
        <v>83</v>
      </c>
      <c r="J416" t="s" s="0">
        <v>9974</v>
      </c>
      <c r="K416" t="s" s="0">
        <v>9975</v>
      </c>
      <c r="L416" t="s" s="0">
        <v>9976</v>
      </c>
      <c r="M416" t="s" s="0">
        <v>9976</v>
      </c>
      <c r="N416" t="s" s="0">
        <v>9977</v>
      </c>
      <c r="O416" t="s" s="0">
        <v>9978</v>
      </c>
      <c r="P416" t="s" s="0">
        <v>9979</v>
      </c>
      <c r="Q416" t="s" s="0">
        <v>91</v>
      </c>
      <c r="R416" t="s" s="0">
        <v>82</v>
      </c>
      <c r="S416" t="s" s="0">
        <v>82</v>
      </c>
      <c r="T416" t="s" s="0">
        <v>82</v>
      </c>
      <c r="U416" t="s" s="0">
        <v>82</v>
      </c>
      <c r="V416" t="s" s="0">
        <v>9980</v>
      </c>
      <c r="W416" t="s" s="0">
        <v>8395</v>
      </c>
      <c r="X416" t="s" s="0">
        <v>82</v>
      </c>
      <c r="Y416" t="s" s="0">
        <v>82</v>
      </c>
      <c r="Z416" t="s" s="0">
        <v>94</v>
      </c>
      <c r="AA416" t="s" s="0">
        <v>95</v>
      </c>
      <c r="AB416" t="s" s="0">
        <v>82</v>
      </c>
      <c r="AC416" t="s" s="0">
        <v>82</v>
      </c>
      <c r="AD416" t="s" s="0">
        <v>82</v>
      </c>
      <c r="AE416" t="s" s="0">
        <v>82</v>
      </c>
      <c r="AF416" t="s" s="0">
        <v>82</v>
      </c>
      <c r="AG416" t="s" s="0">
        <v>9981</v>
      </c>
      <c r="AH416" t="s" s="0">
        <v>9982</v>
      </c>
      <c r="AI416" t="s" s="0">
        <v>9983</v>
      </c>
      <c r="AJ416" t="s" s="0">
        <v>82</v>
      </c>
      <c r="AK416" t="s" s="0">
        <v>82</v>
      </c>
      <c r="AL416" t="s" s="0">
        <v>1162</v>
      </c>
      <c r="AM416" t="s" s="0">
        <v>245</v>
      </c>
      <c r="AN416" t="s" s="0">
        <v>137</v>
      </c>
      <c r="AO416" t="s" s="0">
        <v>77</v>
      </c>
      <c r="AP416" t="s" s="0">
        <v>136</v>
      </c>
      <c r="AQ416" t="s" s="0">
        <v>103</v>
      </c>
      <c r="AR416" t="s" s="0">
        <v>104</v>
      </c>
      <c r="AS416" t="s" s="0">
        <v>105</v>
      </c>
      <c r="AT416" t="s" s="0">
        <v>82</v>
      </c>
      <c r="AU416" t="s" s="0">
        <v>8400</v>
      </c>
      <c r="AV416" t="s" s="0">
        <v>82</v>
      </c>
      <c r="AW416" t="s" s="0">
        <v>8401</v>
      </c>
      <c r="AX416" t="s" s="0">
        <v>8402</v>
      </c>
      <c r="AY416" t="s" s="0">
        <v>9984</v>
      </c>
      <c r="AZ416" t="s" s="0">
        <v>147</v>
      </c>
      <c r="BA416" t="s" s="0">
        <v>111</v>
      </c>
      <c r="BB416" t="s" s="0">
        <v>77</v>
      </c>
      <c r="BC416" t="s" s="0">
        <v>82</v>
      </c>
      <c r="BD416" t="s" s="0">
        <v>82</v>
      </c>
      <c r="BE416" t="s" s="0">
        <v>82</v>
      </c>
      <c r="BF416" t="s" s="0">
        <v>82</v>
      </c>
      <c r="BG416" t="s" s="0">
        <v>82</v>
      </c>
      <c r="BH416" t="s" s="0">
        <v>82</v>
      </c>
      <c r="BI416" t="s" s="0">
        <v>9985</v>
      </c>
      <c r="BJ416" t="s" s="0">
        <v>9986</v>
      </c>
      <c r="BK416" t="s" s="827">
        <f>HYPERLINK("http://dx.doi.org/10.1186/s12911-025-03082-9","http://dx.doi.org/10.1186/s12911-025-03082-9")</f>
        <v>9987</v>
      </c>
      <c r="BL416" t="s" s="0">
        <v>82</v>
      </c>
      <c r="BM416" t="s" s="0">
        <v>82</v>
      </c>
      <c r="BN416" t="s" s="0">
        <v>640</v>
      </c>
      <c r="BO416" t="s" s="0">
        <v>1815</v>
      </c>
      <c r="BP416" t="s" s="0">
        <v>1815</v>
      </c>
      <c r="BQ416" t="s" s="0">
        <v>9988</v>
      </c>
      <c r="BR416" t="s" s="0">
        <v>9989</v>
      </c>
      <c r="BS416" t="s" s="0">
        <v>9990</v>
      </c>
      <c r="BT416" t="s" s="828">
        <f>HYPERLINK("https://www.webofscience.com/wos/woscc/full-record/WOS:001522534500001","View Record in Web of Science")</f>
        <v>120</v>
      </c>
      <c r="BU416" t="s" s="0">
        <v>121</v>
      </c>
      <c r="BV416" t="s" s="0">
        <v>82</v>
      </c>
      <c r="BW416" t="s" s="0">
        <v>82</v>
      </c>
      <c r="BX416" t="s" s="0">
        <v>122</v>
      </c>
    </row>
    <row r="417">
      <c r="A417" t="s" s="0">
        <v>78</v>
      </c>
      <c r="B417" t="s" s="0">
        <v>78</v>
      </c>
      <c r="C417" t="s" s="0">
        <v>245</v>
      </c>
      <c r="D417" t="s" s="0">
        <v>78</v>
      </c>
      <c r="E417" t="s" s="0">
        <v>9991</v>
      </c>
      <c r="F417" t="s" s="0">
        <v>9992</v>
      </c>
      <c r="G417" t="s" s="0">
        <v>9993</v>
      </c>
      <c r="H417" t="s" s="0">
        <v>82</v>
      </c>
      <c r="I417" t="s" s="0">
        <v>83</v>
      </c>
      <c r="J417" t="s" s="0">
        <v>9994</v>
      </c>
      <c r="K417" t="s" s="0">
        <v>9995</v>
      </c>
      <c r="L417" t="s" s="0">
        <v>9996</v>
      </c>
      <c r="M417" t="s" s="0">
        <v>9997</v>
      </c>
      <c r="N417" t="s" s="0">
        <v>9998</v>
      </c>
      <c r="O417" t="s" s="0">
        <v>9999</v>
      </c>
      <c r="P417" t="s" s="0">
        <v>10000</v>
      </c>
      <c r="Q417" t="s" s="0">
        <v>91</v>
      </c>
      <c r="R417" t="s" s="0">
        <v>82</v>
      </c>
      <c r="S417" t="s" s="0">
        <v>82</v>
      </c>
      <c r="T417" t="s" s="0">
        <v>82</v>
      </c>
      <c r="U417" t="s" s="0">
        <v>82</v>
      </c>
      <c r="V417" t="s" s="0">
        <v>10001</v>
      </c>
      <c r="W417" t="s" s="0">
        <v>10002</v>
      </c>
      <c r="X417" t="s" s="0">
        <v>82</v>
      </c>
      <c r="Y417" t="s" s="0">
        <v>82</v>
      </c>
      <c r="Z417" t="s" s="0">
        <v>94</v>
      </c>
      <c r="AA417" t="s" s="0">
        <v>95</v>
      </c>
      <c r="AB417" t="s" s="0">
        <v>82</v>
      </c>
      <c r="AC417" t="s" s="0">
        <v>82</v>
      </c>
      <c r="AD417" t="s" s="0">
        <v>82</v>
      </c>
      <c r="AE417" t="s" s="0">
        <v>82</v>
      </c>
      <c r="AF417" t="s" s="0">
        <v>82</v>
      </c>
      <c r="AG417" t="s" s="0">
        <v>10003</v>
      </c>
      <c r="AH417" t="s" s="0">
        <v>10004</v>
      </c>
      <c r="AI417" t="s" s="0">
        <v>10005</v>
      </c>
      <c r="AJ417" t="s" s="0">
        <v>10006</v>
      </c>
      <c r="AK417" t="s" s="0">
        <v>82</v>
      </c>
      <c r="AL417" t="s" s="0">
        <v>276</v>
      </c>
      <c r="AM417" t="s" s="0">
        <v>1161</v>
      </c>
      <c r="AN417" t="s" s="0">
        <v>353</v>
      </c>
      <c r="AO417" t="s" s="0">
        <v>78</v>
      </c>
      <c r="AP417" t="s" s="0">
        <v>640</v>
      </c>
      <c r="AQ417" t="s" s="0">
        <v>103</v>
      </c>
      <c r="AR417" t="s" s="0">
        <v>104</v>
      </c>
      <c r="AS417" t="s" s="0">
        <v>105</v>
      </c>
      <c r="AT417" t="s" s="0">
        <v>82</v>
      </c>
      <c r="AU417" t="s" s="0">
        <v>10007</v>
      </c>
      <c r="AV417" t="s" s="0">
        <v>82</v>
      </c>
      <c r="AW417" t="s" s="0">
        <v>10008</v>
      </c>
      <c r="AX417" t="s" s="0">
        <v>10009</v>
      </c>
      <c r="AY417" t="s" s="0">
        <v>10010</v>
      </c>
      <c r="AZ417" t="s" s="0">
        <v>525</v>
      </c>
      <c r="BA417" t="s" s="0">
        <v>1320</v>
      </c>
      <c r="BB417" t="s" s="0">
        <v>77</v>
      </c>
      <c r="BC417" t="s" s="0">
        <v>82</v>
      </c>
      <c r="BD417" t="s" s="0">
        <v>82</v>
      </c>
      <c r="BE417" t="s" s="0">
        <v>82</v>
      </c>
      <c r="BF417" t="s" s="0">
        <v>82</v>
      </c>
      <c r="BG417" t="s" s="0">
        <v>82</v>
      </c>
      <c r="BH417" t="s" s="0">
        <v>82</v>
      </c>
      <c r="BI417" t="s" s="0">
        <v>10011</v>
      </c>
      <c r="BJ417" t="s" s="0">
        <v>10012</v>
      </c>
      <c r="BK417" t="s" s="829">
        <f>HYPERLINK("http://dx.doi.org/10.1186/s12967-021-02955-7","http://dx.doi.org/10.1186/s12967-021-02955-7")</f>
        <v>10013</v>
      </c>
      <c r="BL417" t="s" s="0">
        <v>82</v>
      </c>
      <c r="BM417" t="s" s="0">
        <v>82</v>
      </c>
      <c r="BN417" t="s" s="0">
        <v>245</v>
      </c>
      <c r="BO417" t="s" s="0">
        <v>2464</v>
      </c>
      <c r="BP417" t="s" s="0">
        <v>2465</v>
      </c>
      <c r="BQ417" t="s" s="0">
        <v>10014</v>
      </c>
      <c r="BR417" t="s" s="0">
        <v>10015</v>
      </c>
      <c r="BS417" t="s" s="0">
        <v>10016</v>
      </c>
      <c r="BT417" t="s" s="830">
        <f>HYPERLINK("https://www.webofscience.com/wos/woscc/full-record/WOS:000671296400005","View Record in Web of Science")</f>
        <v>120</v>
      </c>
      <c r="BU417" t="s" s="0">
        <v>121</v>
      </c>
      <c r="BV417" t="s" s="0">
        <v>82</v>
      </c>
      <c r="BW417" t="s" s="0">
        <v>82</v>
      </c>
      <c r="BX417" t="s" s="0">
        <v>122</v>
      </c>
    </row>
    <row r="418">
      <c r="A418" t="s" s="0">
        <v>78</v>
      </c>
      <c r="B418" t="s" s="0">
        <v>78</v>
      </c>
      <c r="C418" t="s" s="0">
        <v>78</v>
      </c>
      <c r="D418" t="s" s="0">
        <v>78</v>
      </c>
      <c r="E418" t="s" s="0">
        <v>10017</v>
      </c>
      <c r="F418" t="s" s="0">
        <v>10018</v>
      </c>
      <c r="G418" t="s" s="0">
        <v>10019</v>
      </c>
      <c r="H418" t="s" s="0">
        <v>82</v>
      </c>
      <c r="I418" t="s" s="0">
        <v>83</v>
      </c>
      <c r="J418" t="s" s="0">
        <v>10020</v>
      </c>
      <c r="K418" t="s" s="0">
        <v>10021</v>
      </c>
      <c r="L418" t="s" s="0">
        <v>10022</v>
      </c>
      <c r="M418" t="s" s="0">
        <v>10023</v>
      </c>
      <c r="N418" t="s" s="0">
        <v>10024</v>
      </c>
      <c r="O418" t="s" s="0">
        <v>10025</v>
      </c>
      <c r="P418" t="s" s="0">
        <v>10026</v>
      </c>
      <c r="Q418" t="s" s="0">
        <v>91</v>
      </c>
      <c r="R418" t="s" s="0">
        <v>82</v>
      </c>
      <c r="S418" t="s" s="0">
        <v>82</v>
      </c>
      <c r="T418" t="s" s="0">
        <v>82</v>
      </c>
      <c r="U418" t="s" s="0">
        <v>82</v>
      </c>
      <c r="V418" t="s" s="0">
        <v>10027</v>
      </c>
      <c r="W418" t="s" s="0">
        <v>10028</v>
      </c>
      <c r="X418" t="s" s="0">
        <v>82</v>
      </c>
      <c r="Y418" t="s" s="0">
        <v>82</v>
      </c>
      <c r="Z418" t="s" s="0">
        <v>94</v>
      </c>
      <c r="AA418" t="s" s="0">
        <v>95</v>
      </c>
      <c r="AB418" t="s" s="0">
        <v>82</v>
      </c>
      <c r="AC418" t="s" s="0">
        <v>82</v>
      </c>
      <c r="AD418" t="s" s="0">
        <v>82</v>
      </c>
      <c r="AE418" t="s" s="0">
        <v>82</v>
      </c>
      <c r="AF418" t="s" s="0">
        <v>82</v>
      </c>
      <c r="AG418" t="s" s="0">
        <v>10029</v>
      </c>
      <c r="AH418" t="s" s="0">
        <v>82</v>
      </c>
      <c r="AI418" t="s" s="0">
        <v>82</v>
      </c>
      <c r="AJ418" t="s" s="0">
        <v>82</v>
      </c>
      <c r="AK418" t="s" s="0">
        <v>82</v>
      </c>
      <c r="AL418" t="s" s="0">
        <v>344</v>
      </c>
      <c r="AM418" t="s" s="0">
        <v>78</v>
      </c>
      <c r="AN418" t="s" s="0">
        <v>78</v>
      </c>
      <c r="AO418" t="s" s="0">
        <v>78</v>
      </c>
      <c r="AP418" t="s" s="0">
        <v>78</v>
      </c>
      <c r="AQ418" t="s" s="0">
        <v>2484</v>
      </c>
      <c r="AR418" t="s" s="0">
        <v>2485</v>
      </c>
      <c r="AS418" t="s" s="0">
        <v>2486</v>
      </c>
      <c r="AT418" t="s" s="0">
        <v>82</v>
      </c>
      <c r="AU418" t="s" s="0">
        <v>10030</v>
      </c>
      <c r="AV418" t="s" s="0">
        <v>82</v>
      </c>
      <c r="AW418" t="s" s="0">
        <v>10031</v>
      </c>
      <c r="AX418" t="s" s="0">
        <v>10032</v>
      </c>
      <c r="AY418" t="s" s="0">
        <v>10033</v>
      </c>
      <c r="AZ418" t="s" s="0">
        <v>181</v>
      </c>
      <c r="BA418" t="s" s="0">
        <v>239</v>
      </c>
      <c r="BB418" t="s" s="0">
        <v>82</v>
      </c>
      <c r="BC418" t="s" s="0">
        <v>82</v>
      </c>
      <c r="BD418" t="s" s="0">
        <v>82</v>
      </c>
      <c r="BE418" t="s" s="0">
        <v>82</v>
      </c>
      <c r="BF418" t="s" s="0">
        <v>82</v>
      </c>
      <c r="BG418" t="s" s="0">
        <v>82</v>
      </c>
      <c r="BH418" t="s" s="0">
        <v>82</v>
      </c>
      <c r="BI418" t="s" s="0">
        <v>10034</v>
      </c>
      <c r="BJ418" t="s" s="0">
        <v>10035</v>
      </c>
      <c r="BK418" t="s" s="831">
        <f>HYPERLINK("http://dx.doi.org/10.3389/fphys.2026.1826313","http://dx.doi.org/10.3389/fphys.2026.1826313")</f>
        <v>10036</v>
      </c>
      <c r="BL418" t="s" s="0">
        <v>82</v>
      </c>
      <c r="BM418" t="s" s="0">
        <v>184</v>
      </c>
      <c r="BN418" t="s" s="0">
        <v>149</v>
      </c>
      <c r="BO418" t="s" s="0">
        <v>10037</v>
      </c>
      <c r="BP418" t="s" s="0">
        <v>10037</v>
      </c>
      <c r="BQ418" t="s" s="0">
        <v>10038</v>
      </c>
      <c r="BR418" t="s" s="0">
        <v>10039</v>
      </c>
      <c r="BS418" t="s" s="0">
        <v>10040</v>
      </c>
      <c r="BT418" t="s" s="832">
        <f>HYPERLINK("https://www.webofscience.com/wos/woscc/full-record/WOS:001810841400001","View Record in Web of Science")</f>
        <v>120</v>
      </c>
      <c r="BU418" t="s" s="0">
        <v>121</v>
      </c>
      <c r="BV418" t="s" s="0">
        <v>82</v>
      </c>
      <c r="BW418" t="s" s="0">
        <v>82</v>
      </c>
      <c r="BX418" t="s" s="0">
        <v>122</v>
      </c>
    </row>
    <row r="419">
      <c r="A419" t="s" s="0">
        <v>78</v>
      </c>
      <c r="B419" t="s" s="0">
        <v>78</v>
      </c>
      <c r="C419" t="s" s="0">
        <v>77</v>
      </c>
      <c r="D419" t="s" s="0">
        <v>78</v>
      </c>
      <c r="E419" t="s" s="0">
        <v>10041</v>
      </c>
      <c r="F419" t="s" s="0">
        <v>10042</v>
      </c>
      <c r="G419" t="s" s="0">
        <v>10043</v>
      </c>
      <c r="H419" t="s" s="0">
        <v>82</v>
      </c>
      <c r="I419" t="s" s="0">
        <v>83</v>
      </c>
      <c r="J419" t="s" s="0">
        <v>10044</v>
      </c>
      <c r="K419" t="s" s="0">
        <v>10045</v>
      </c>
      <c r="L419" t="s" s="0">
        <v>10046</v>
      </c>
      <c r="M419" t="s" s="0">
        <v>10047</v>
      </c>
      <c r="N419" t="s" s="0">
        <v>10048</v>
      </c>
      <c r="O419" t="s" s="0">
        <v>10049</v>
      </c>
      <c r="P419" t="s" s="0">
        <v>82</v>
      </c>
      <c r="Q419" t="s" s="0">
        <v>91</v>
      </c>
      <c r="R419" t="s" s="0">
        <v>82</v>
      </c>
      <c r="S419" t="s" s="0">
        <v>82</v>
      </c>
      <c r="T419" t="s" s="0">
        <v>82</v>
      </c>
      <c r="U419" t="s" s="0">
        <v>82</v>
      </c>
      <c r="V419" t="s" s="0">
        <v>10050</v>
      </c>
      <c r="W419" t="s" s="0">
        <v>10028</v>
      </c>
      <c r="X419" t="s" s="0">
        <v>82</v>
      </c>
      <c r="Y419" t="s" s="0">
        <v>82</v>
      </c>
      <c r="Z419" t="s" s="0">
        <v>94</v>
      </c>
      <c r="AA419" t="s" s="0">
        <v>95</v>
      </c>
      <c r="AB419" t="s" s="0">
        <v>82</v>
      </c>
      <c r="AC419" t="s" s="0">
        <v>82</v>
      </c>
      <c r="AD419" t="s" s="0">
        <v>82</v>
      </c>
      <c r="AE419" t="s" s="0">
        <v>82</v>
      </c>
      <c r="AF419" t="s" s="0">
        <v>82</v>
      </c>
      <c r="AG419" t="s" s="0">
        <v>10051</v>
      </c>
      <c r="AH419" t="s" s="0">
        <v>10052</v>
      </c>
      <c r="AI419" t="s" s="0">
        <v>10053</v>
      </c>
      <c r="AJ419" t="s" s="0">
        <v>82</v>
      </c>
      <c r="AK419" t="s" s="0">
        <v>82</v>
      </c>
      <c r="AL419" t="s" s="0">
        <v>239</v>
      </c>
      <c r="AM419" t="s" s="0">
        <v>447</v>
      </c>
      <c r="AN419" t="s" s="0">
        <v>101</v>
      </c>
      <c r="AO419" t="s" s="0">
        <v>221</v>
      </c>
      <c r="AP419" t="s" s="0">
        <v>138</v>
      </c>
      <c r="AQ419" t="s" s="0">
        <v>2484</v>
      </c>
      <c r="AR419" t="s" s="0">
        <v>2485</v>
      </c>
      <c r="AS419" t="s" s="0">
        <v>2486</v>
      </c>
      <c r="AT419" t="s" s="0">
        <v>82</v>
      </c>
      <c r="AU419" t="s" s="0">
        <v>10030</v>
      </c>
      <c r="AV419" t="s" s="0">
        <v>82</v>
      </c>
      <c r="AW419" t="s" s="0">
        <v>10031</v>
      </c>
      <c r="AX419" t="s" s="0">
        <v>10032</v>
      </c>
      <c r="AY419" t="s" s="0">
        <v>10054</v>
      </c>
      <c r="AZ419" t="s" s="0">
        <v>147</v>
      </c>
      <c r="BA419" t="s" s="0">
        <v>640</v>
      </c>
      <c r="BB419" t="s" s="0">
        <v>82</v>
      </c>
      <c r="BC419" t="s" s="0">
        <v>82</v>
      </c>
      <c r="BD419" t="s" s="0">
        <v>82</v>
      </c>
      <c r="BE419" t="s" s="0">
        <v>82</v>
      </c>
      <c r="BF419" t="s" s="0">
        <v>82</v>
      </c>
      <c r="BG419" t="s" s="0">
        <v>82</v>
      </c>
      <c r="BH419" t="s" s="0">
        <v>82</v>
      </c>
      <c r="BI419" t="s" s="0">
        <v>10055</v>
      </c>
      <c r="BJ419" t="s" s="0">
        <v>10056</v>
      </c>
      <c r="BK419" t="s" s="833">
        <f>HYPERLINK("http://dx.doi.org/10.3389/fphys.2025.1665383","http://dx.doi.org/10.3389/fphys.2025.1665383")</f>
        <v>10057</v>
      </c>
      <c r="BL419" t="s" s="0">
        <v>82</v>
      </c>
      <c r="BM419" t="s" s="0">
        <v>82</v>
      </c>
      <c r="BN419" t="s" s="0">
        <v>154</v>
      </c>
      <c r="BO419" t="s" s="0">
        <v>10037</v>
      </c>
      <c r="BP419" t="s" s="0">
        <v>10037</v>
      </c>
      <c r="BQ419" t="s" s="0">
        <v>10058</v>
      </c>
      <c r="BR419" t="s" s="0">
        <v>10059</v>
      </c>
      <c r="BS419" t="s" s="0">
        <v>10060</v>
      </c>
      <c r="BT419" t="s" s="834">
        <f>HYPERLINK("https://www.webofscience.com/wos/woscc/full-record/WOS:001611722000001","View Record in Web of Science")</f>
        <v>120</v>
      </c>
      <c r="BU419" t="s" s="0">
        <v>121</v>
      </c>
      <c r="BV419" t="s" s="0">
        <v>82</v>
      </c>
      <c r="BW419" t="s" s="0">
        <v>82</v>
      </c>
      <c r="BX419" t="s" s="0">
        <v>122</v>
      </c>
    </row>
    <row r="420">
      <c r="A420" t="s" s="0">
        <v>77</v>
      </c>
      <c r="B420" t="s" s="0">
        <v>78</v>
      </c>
      <c r="C420" t="s" s="0">
        <v>245</v>
      </c>
      <c r="D420" t="s" s="0">
        <v>78</v>
      </c>
      <c r="E420" t="s" s="0">
        <v>10061</v>
      </c>
      <c r="F420" t="s" s="0">
        <v>10062</v>
      </c>
      <c r="G420" t="s" s="0">
        <v>10063</v>
      </c>
      <c r="H420" t="s" s="0">
        <v>82</v>
      </c>
      <c r="I420" t="s" s="0">
        <v>83</v>
      </c>
      <c r="J420" t="s" s="0">
        <v>10064</v>
      </c>
      <c r="K420" t="s" s="0">
        <v>10065</v>
      </c>
      <c r="L420" t="s" s="0">
        <v>10066</v>
      </c>
      <c r="M420" t="s" s="0">
        <v>10067</v>
      </c>
      <c r="N420" t="s" s="0">
        <v>10068</v>
      </c>
      <c r="O420" t="s" s="0">
        <v>10069</v>
      </c>
      <c r="P420" t="s" s="0">
        <v>10070</v>
      </c>
      <c r="Q420" t="s" s="0">
        <v>91</v>
      </c>
      <c r="R420" t="s" s="0">
        <v>82</v>
      </c>
      <c r="S420" t="s" s="0">
        <v>82</v>
      </c>
      <c r="T420" t="s" s="0">
        <v>82</v>
      </c>
      <c r="U420" t="s" s="0">
        <v>82</v>
      </c>
      <c r="V420" t="s" s="0">
        <v>10071</v>
      </c>
      <c r="W420" t="s" s="0">
        <v>10072</v>
      </c>
      <c r="X420" t="s" s="0">
        <v>82</v>
      </c>
      <c r="Y420" t="s" s="0">
        <v>82</v>
      </c>
      <c r="Z420" t="s" s="0">
        <v>94</v>
      </c>
      <c r="AA420" t="s" s="0">
        <v>95</v>
      </c>
      <c r="AB420" t="s" s="0">
        <v>82</v>
      </c>
      <c r="AC420" t="s" s="0">
        <v>82</v>
      </c>
      <c r="AD420" t="s" s="0">
        <v>82</v>
      </c>
      <c r="AE420" t="s" s="0">
        <v>82</v>
      </c>
      <c r="AF420" t="s" s="0">
        <v>82</v>
      </c>
      <c r="AG420" t="s" s="0">
        <v>10073</v>
      </c>
      <c r="AH420" t="s" s="0">
        <v>10074</v>
      </c>
      <c r="AI420" t="s" s="0">
        <v>10075</v>
      </c>
      <c r="AJ420" t="s" s="0">
        <v>10076</v>
      </c>
      <c r="AK420" t="s" s="0">
        <v>82</v>
      </c>
      <c r="AL420" t="s" s="0">
        <v>353</v>
      </c>
      <c r="AM420" t="s" s="0">
        <v>1279</v>
      </c>
      <c r="AN420" t="s" s="0">
        <v>463</v>
      </c>
      <c r="AO420" t="s" s="0">
        <v>77</v>
      </c>
      <c r="AP420" t="s" s="0">
        <v>238</v>
      </c>
      <c r="AQ420" t="s" s="0">
        <v>10077</v>
      </c>
      <c r="AR420" t="s" s="0">
        <v>1134</v>
      </c>
      <c r="AS420" t="s" s="0">
        <v>10078</v>
      </c>
      <c r="AT420" t="s" s="0">
        <v>10079</v>
      </c>
      <c r="AU420" t="s" s="0">
        <v>10080</v>
      </c>
      <c r="AV420" t="s" s="0">
        <v>82</v>
      </c>
      <c r="AW420" t="s" s="0">
        <v>10081</v>
      </c>
      <c r="AX420" t="s" s="0">
        <v>10082</v>
      </c>
      <c r="AY420" t="s" s="0">
        <v>10083</v>
      </c>
      <c r="AZ420" t="s" s="0">
        <v>4301</v>
      </c>
      <c r="BA420" t="s" s="0">
        <v>1502</v>
      </c>
      <c r="BB420" t="s" s="0">
        <v>148</v>
      </c>
      <c r="BC420" t="s" s="0">
        <v>82</v>
      </c>
      <c r="BD420" t="s" s="0">
        <v>82</v>
      </c>
      <c r="BE420" t="s" s="0">
        <v>82</v>
      </c>
      <c r="BF420" t="s" s="0">
        <v>82</v>
      </c>
      <c r="BG420" t="s" s="0">
        <v>82</v>
      </c>
      <c r="BH420" t="s" s="0">
        <v>82</v>
      </c>
      <c r="BI420" t="s" s="0">
        <v>82</v>
      </c>
      <c r="BJ420" t="s" s="0">
        <v>10084</v>
      </c>
      <c r="BK420" t="s" s="835">
        <f>HYPERLINK("http://dx.doi.org/10.3346/jkms.2018.33.e152","http://dx.doi.org/10.3346/jkms.2018.33.e152")</f>
        <v>10085</v>
      </c>
      <c r="BL420" t="s" s="0">
        <v>82</v>
      </c>
      <c r="BM420" t="s" s="0">
        <v>82</v>
      </c>
      <c r="BN420" t="s" s="0">
        <v>138</v>
      </c>
      <c r="BO420" t="s" s="0">
        <v>354</v>
      </c>
      <c r="BP420" t="s" s="0">
        <v>355</v>
      </c>
      <c r="BQ420" t="s" s="0">
        <v>10086</v>
      </c>
      <c r="BR420" t="s" s="0">
        <v>10087</v>
      </c>
      <c r="BS420" t="s" s="0">
        <v>10088</v>
      </c>
      <c r="BT420" t="s" s="836">
        <f>HYPERLINK("https://www.webofscience.com/wos/woscc/full-record/WOS:000433234500001","View Record in Web of Science")</f>
        <v>120</v>
      </c>
      <c r="BU420" t="s" s="0">
        <v>4918</v>
      </c>
      <c r="BV420" t="s" s="0">
        <v>82</v>
      </c>
      <c r="BW420" t="s" s="0">
        <v>82</v>
      </c>
      <c r="BX420" t="s" s="0">
        <v>122</v>
      </c>
    </row>
    <row r="421">
      <c r="A421" t="s" s="0">
        <v>78</v>
      </c>
      <c r="B421" t="s" s="0">
        <v>78</v>
      </c>
      <c r="C421" t="s" s="0">
        <v>78</v>
      </c>
      <c r="D421" t="s" s="0">
        <v>78</v>
      </c>
      <c r="E421" t="s" s="0">
        <v>10089</v>
      </c>
      <c r="F421" t="s" s="0">
        <v>10090</v>
      </c>
      <c r="G421" t="s" s="0">
        <v>10091</v>
      </c>
      <c r="H421" t="s" s="0">
        <v>82</v>
      </c>
      <c r="I421" t="s" s="0">
        <v>83</v>
      </c>
      <c r="J421" t="s" s="0">
        <v>10092</v>
      </c>
      <c r="K421" t="s" s="0">
        <v>10093</v>
      </c>
      <c r="L421" t="s" s="0">
        <v>10094</v>
      </c>
      <c r="M421" t="s" s="0">
        <v>10095</v>
      </c>
      <c r="N421" t="s" s="0">
        <v>10096</v>
      </c>
      <c r="O421" t="s" s="0">
        <v>10097</v>
      </c>
      <c r="P421" t="s" s="0">
        <v>10098</v>
      </c>
      <c r="Q421" t="s" s="0">
        <v>91</v>
      </c>
      <c r="R421" t="s" s="0">
        <v>82</v>
      </c>
      <c r="S421" t="s" s="0">
        <v>82</v>
      </c>
      <c r="T421" t="s" s="0">
        <v>82</v>
      </c>
      <c r="U421" t="s" s="0">
        <v>82</v>
      </c>
      <c r="V421" t="s" s="0">
        <v>10099</v>
      </c>
      <c r="W421" t="s" s="0">
        <v>2480</v>
      </c>
      <c r="X421" t="s" s="0">
        <v>82</v>
      </c>
      <c r="Y421" t="s" s="0">
        <v>82</v>
      </c>
      <c r="Z421" t="s" s="0">
        <v>94</v>
      </c>
      <c r="AA421" t="s" s="0">
        <v>95</v>
      </c>
      <c r="AB421" t="s" s="0">
        <v>82</v>
      </c>
      <c r="AC421" t="s" s="0">
        <v>82</v>
      </c>
      <c r="AD421" t="s" s="0">
        <v>82</v>
      </c>
      <c r="AE421" t="s" s="0">
        <v>82</v>
      </c>
      <c r="AF421" t="s" s="0">
        <v>82</v>
      </c>
      <c r="AG421" t="s" s="0">
        <v>10100</v>
      </c>
      <c r="AH421" t="s" s="0">
        <v>10101</v>
      </c>
      <c r="AI421" t="s" s="0">
        <v>82</v>
      </c>
      <c r="AJ421" t="s" s="0">
        <v>82</v>
      </c>
      <c r="AK421" t="s" s="0">
        <v>82</v>
      </c>
      <c r="AL421" t="s" s="0">
        <v>974</v>
      </c>
      <c r="AM421" t="s" s="0">
        <v>78</v>
      </c>
      <c r="AN421" t="s" s="0">
        <v>78</v>
      </c>
      <c r="AO421" t="s" s="0">
        <v>78</v>
      </c>
      <c r="AP421" t="s" s="0">
        <v>78</v>
      </c>
      <c r="AQ421" t="s" s="0">
        <v>2484</v>
      </c>
      <c r="AR421" t="s" s="0">
        <v>2485</v>
      </c>
      <c r="AS421" t="s" s="0">
        <v>2486</v>
      </c>
      <c r="AT421" t="s" s="0">
        <v>2487</v>
      </c>
      <c r="AU421" t="s" s="0">
        <v>82</v>
      </c>
      <c r="AV421" t="s" s="0">
        <v>82</v>
      </c>
      <c r="AW421" t="s" s="0">
        <v>2488</v>
      </c>
      <c r="AX421" t="s" s="0">
        <v>2489</v>
      </c>
      <c r="AY421" t="s" s="0">
        <v>10102</v>
      </c>
      <c r="AZ421" t="s" s="0">
        <v>181</v>
      </c>
      <c r="BA421" t="s" s="0">
        <v>239</v>
      </c>
      <c r="BB421" t="s" s="0">
        <v>82</v>
      </c>
      <c r="BC421" t="s" s="0">
        <v>82</v>
      </c>
      <c r="BD421" t="s" s="0">
        <v>82</v>
      </c>
      <c r="BE421" t="s" s="0">
        <v>82</v>
      </c>
      <c r="BF421" t="s" s="0">
        <v>82</v>
      </c>
      <c r="BG421" t="s" s="0">
        <v>82</v>
      </c>
      <c r="BH421" t="s" s="0">
        <v>82</v>
      </c>
      <c r="BI421" t="s" s="0">
        <v>10103</v>
      </c>
      <c r="BJ421" t="s" s="0">
        <v>10104</v>
      </c>
      <c r="BK421" t="s" s="837">
        <f>HYPERLINK("http://dx.doi.org/10.3389/fendo.2026.1821550","http://dx.doi.org/10.3389/fendo.2026.1821550")</f>
        <v>10105</v>
      </c>
      <c r="BL421" t="s" s="0">
        <v>82</v>
      </c>
      <c r="BM421" t="s" s="0">
        <v>1003</v>
      </c>
      <c r="BN421" t="s" s="0">
        <v>323</v>
      </c>
      <c r="BO421" t="s" s="0">
        <v>697</v>
      </c>
      <c r="BP421" t="s" s="0">
        <v>697</v>
      </c>
      <c r="BQ421" t="s" s="0">
        <v>10106</v>
      </c>
      <c r="BR421" t="s" s="0">
        <v>10107</v>
      </c>
      <c r="BS421" t="s" s="0">
        <v>10108</v>
      </c>
      <c r="BT421" t="s" s="838">
        <f>HYPERLINK("https://www.webofscience.com/wos/woscc/full-record/WOS:001784374900001","View Record in Web of Science")</f>
        <v>120</v>
      </c>
      <c r="BU421" t="s" s="0">
        <v>121</v>
      </c>
      <c r="BV421" t="s" s="0">
        <v>82</v>
      </c>
      <c r="BW421" t="s" s="0">
        <v>82</v>
      </c>
      <c r="BX421" t="s" s="0">
        <v>122</v>
      </c>
    </row>
    <row r="422">
      <c r="A422" t="s" s="0">
        <v>78</v>
      </c>
      <c r="B422" t="s" s="0">
        <v>78</v>
      </c>
      <c r="C422" t="s" s="0">
        <v>138</v>
      </c>
      <c r="D422" t="s" s="0">
        <v>78</v>
      </c>
      <c r="E422" t="s" s="0">
        <v>10109</v>
      </c>
      <c r="F422" t="s" s="0">
        <v>10110</v>
      </c>
      <c r="G422" t="s" s="0">
        <v>10111</v>
      </c>
      <c r="H422" t="s" s="0">
        <v>82</v>
      </c>
      <c r="I422" t="s" s="0">
        <v>83</v>
      </c>
      <c r="J422" t="s" s="0">
        <v>10112</v>
      </c>
      <c r="K422" t="s" s="0">
        <v>10113</v>
      </c>
      <c r="L422" t="s" s="0">
        <v>10114</v>
      </c>
      <c r="M422" t="s" s="0">
        <v>10114</v>
      </c>
      <c r="N422" t="s" s="0">
        <v>10115</v>
      </c>
      <c r="O422" t="s" s="0">
        <v>10116</v>
      </c>
      <c r="P422" t="s" s="0">
        <v>10117</v>
      </c>
      <c r="Q422" t="s" s="0">
        <v>91</v>
      </c>
      <c r="R422" t="s" s="0">
        <v>82</v>
      </c>
      <c r="S422" t="s" s="0">
        <v>10118</v>
      </c>
      <c r="T422" t="s" s="0">
        <v>82</v>
      </c>
      <c r="U422" t="s" s="0">
        <v>82</v>
      </c>
      <c r="V422" t="s" s="0">
        <v>10119</v>
      </c>
      <c r="W422" t="s" s="0">
        <v>7015</v>
      </c>
      <c r="X422" t="s" s="0">
        <v>82</v>
      </c>
      <c r="Y422" t="s" s="0">
        <v>82</v>
      </c>
      <c r="Z422" t="s" s="0">
        <v>94</v>
      </c>
      <c r="AA422" t="s" s="0">
        <v>95</v>
      </c>
      <c r="AB422" t="s" s="0">
        <v>82</v>
      </c>
      <c r="AC422" t="s" s="0">
        <v>82</v>
      </c>
      <c r="AD422" t="s" s="0">
        <v>82</v>
      </c>
      <c r="AE422" t="s" s="0">
        <v>82</v>
      </c>
      <c r="AF422" t="s" s="0">
        <v>82</v>
      </c>
      <c r="AG422" t="s" s="0">
        <v>10120</v>
      </c>
      <c r="AH422" t="s" s="0">
        <v>10121</v>
      </c>
      <c r="AI422" t="s" s="0">
        <v>10122</v>
      </c>
      <c r="AJ422" t="s" s="0">
        <v>10123</v>
      </c>
      <c r="AK422" t="s" s="0">
        <v>82</v>
      </c>
      <c r="AL422" t="s" s="0">
        <v>201</v>
      </c>
      <c r="AM422" t="s" s="0">
        <v>154</v>
      </c>
      <c r="AN422" t="s" s="0">
        <v>685</v>
      </c>
      <c r="AO422" t="s" s="0">
        <v>77</v>
      </c>
      <c r="AP422" t="s" s="0">
        <v>1320</v>
      </c>
      <c r="AQ422" t="s" s="0">
        <v>202</v>
      </c>
      <c r="AR422" t="s" s="0">
        <v>203</v>
      </c>
      <c r="AS422" t="s" s="0">
        <v>204</v>
      </c>
      <c r="AT422" t="s" s="0">
        <v>7021</v>
      </c>
      <c r="AU422" t="s" s="0">
        <v>7022</v>
      </c>
      <c r="AV422" t="s" s="0">
        <v>82</v>
      </c>
      <c r="AW422" t="s" s="0">
        <v>7023</v>
      </c>
      <c r="AX422" t="s" s="0">
        <v>7024</v>
      </c>
      <c r="AY422" t="s" s="0">
        <v>1631</v>
      </c>
      <c r="AZ422" t="s" s="0">
        <v>110</v>
      </c>
      <c r="BA422" t="s" s="0">
        <v>1161</v>
      </c>
      <c r="BB422" t="s" s="0">
        <v>375</v>
      </c>
      <c r="BC422" t="s" s="0">
        <v>82</v>
      </c>
      <c r="BD422" t="s" s="0">
        <v>82</v>
      </c>
      <c r="BE422" t="s" s="0">
        <v>82</v>
      </c>
      <c r="BF422" t="s" s="0">
        <v>82</v>
      </c>
      <c r="BG422" t="s" s="0">
        <v>10124</v>
      </c>
      <c r="BH422" t="s" s="0">
        <v>10125</v>
      </c>
      <c r="BI422" t="s" s="0">
        <v>82</v>
      </c>
      <c r="BJ422" t="s" s="0">
        <v>10126</v>
      </c>
      <c r="BK422" t="s" s="839">
        <f>HYPERLINK("http://dx.doi.org/10.1016/j.spinee.2024.02.010","http://dx.doi.org/10.1016/j.spinee.2024.02.010")</f>
        <v>10127</v>
      </c>
      <c r="BL422" t="s" s="0">
        <v>82</v>
      </c>
      <c r="BM422" t="s" s="0">
        <v>376</v>
      </c>
      <c r="BN422" t="s" s="0">
        <v>323</v>
      </c>
      <c r="BO422" t="s" s="0">
        <v>2062</v>
      </c>
      <c r="BP422" t="s" s="0">
        <v>2063</v>
      </c>
      <c r="BQ422" t="s" s="0">
        <v>10128</v>
      </c>
      <c r="BR422" t="s" s="0">
        <v>10129</v>
      </c>
      <c r="BS422" t="s" s="0">
        <v>10130</v>
      </c>
      <c r="BT422" t="s" s="840">
        <f>HYPERLINK("https://www.webofscience.com/wos/woscc/full-record/WOS:001249218700001","View Record in Web of Science")</f>
        <v>120</v>
      </c>
      <c r="BU422" t="s" s="0">
        <v>82</v>
      </c>
      <c r="BV422" t="s" s="0">
        <v>82</v>
      </c>
      <c r="BW422" t="s" s="0">
        <v>82</v>
      </c>
      <c r="BX422" t="s" s="0">
        <v>122</v>
      </c>
    </row>
    <row r="423">
      <c r="A423" t="s" s="0">
        <v>78</v>
      </c>
      <c r="B423" t="s" s="0">
        <v>78</v>
      </c>
      <c r="C423" t="s" s="0">
        <v>78</v>
      </c>
      <c r="D423" t="s" s="0">
        <v>78</v>
      </c>
      <c r="E423" t="s" s="0">
        <v>10131</v>
      </c>
      <c r="F423" t="s" s="0">
        <v>10132</v>
      </c>
      <c r="G423" t="s" s="0">
        <v>10133</v>
      </c>
      <c r="H423" t="s" s="0">
        <v>82</v>
      </c>
      <c r="I423" t="s" s="0">
        <v>83</v>
      </c>
      <c r="J423" t="s" s="0">
        <v>10134</v>
      </c>
      <c r="K423" t="s" s="0">
        <v>82</v>
      </c>
      <c r="L423" t="s" s="0">
        <v>10135</v>
      </c>
      <c r="M423" t="s" s="0">
        <v>10136</v>
      </c>
      <c r="N423" t="s" s="0">
        <v>10137</v>
      </c>
      <c r="O423" t="s" s="0">
        <v>10138</v>
      </c>
      <c r="P423" t="s" s="0">
        <v>10139</v>
      </c>
      <c r="Q423" t="s" s="0">
        <v>91</v>
      </c>
      <c r="R423" t="s" s="0">
        <v>82</v>
      </c>
      <c r="S423" t="s" s="0">
        <v>82</v>
      </c>
      <c r="T423" t="s" s="0">
        <v>82</v>
      </c>
      <c r="U423" t="s" s="0">
        <v>82</v>
      </c>
      <c r="V423" t="s" s="0">
        <v>10140</v>
      </c>
      <c r="W423" t="s" s="0">
        <v>10141</v>
      </c>
      <c r="X423" t="s" s="0">
        <v>82</v>
      </c>
      <c r="Y423" t="s" s="0">
        <v>82</v>
      </c>
      <c r="Z423" t="s" s="0">
        <v>94</v>
      </c>
      <c r="AA423" t="s" s="0">
        <v>95</v>
      </c>
      <c r="AB423" t="s" s="0">
        <v>82</v>
      </c>
      <c r="AC423" t="s" s="0">
        <v>82</v>
      </c>
      <c r="AD423" t="s" s="0">
        <v>82</v>
      </c>
      <c r="AE423" t="s" s="0">
        <v>82</v>
      </c>
      <c r="AF423" t="s" s="0">
        <v>82</v>
      </c>
      <c r="AG423" t="s" s="0">
        <v>10142</v>
      </c>
      <c r="AH423" t="s" s="0">
        <v>82</v>
      </c>
      <c r="AI423" t="s" s="0">
        <v>82</v>
      </c>
      <c r="AJ423" t="s" s="0">
        <v>82</v>
      </c>
      <c r="AK423" t="s" s="0">
        <v>82</v>
      </c>
      <c r="AL423" t="s" s="0">
        <v>1161</v>
      </c>
      <c r="AM423" t="s" s="0">
        <v>78</v>
      </c>
      <c r="AN423" t="s" s="0">
        <v>78</v>
      </c>
      <c r="AO423" t="s" s="0">
        <v>78</v>
      </c>
      <c r="AP423" t="s" s="0">
        <v>78</v>
      </c>
      <c r="AQ423" t="s" s="0">
        <v>5760</v>
      </c>
      <c r="AR423" t="s" s="0">
        <v>5761</v>
      </c>
      <c r="AS423" t="s" s="0">
        <v>5762</v>
      </c>
      <c r="AT423" t="s" s="0">
        <v>10143</v>
      </c>
      <c r="AU423" t="s" s="0">
        <v>10144</v>
      </c>
      <c r="AV423" t="s" s="0">
        <v>82</v>
      </c>
      <c r="AW423" t="s" s="0">
        <v>10145</v>
      </c>
      <c r="AX423" t="s" s="0">
        <v>10146</v>
      </c>
      <c r="AY423" t="s" s="0">
        <v>10147</v>
      </c>
      <c r="AZ423" t="s" s="0">
        <v>181</v>
      </c>
      <c r="BA423" t="s" s="0">
        <v>349</v>
      </c>
      <c r="BB423" t="s" s="0">
        <v>138</v>
      </c>
      <c r="BC423" t="s" s="0">
        <v>82</v>
      </c>
      <c r="BD423" t="s" s="0">
        <v>82</v>
      </c>
      <c r="BE423" t="s" s="0">
        <v>82</v>
      </c>
      <c r="BF423" t="s" s="0">
        <v>82</v>
      </c>
      <c r="BG423" t="s" s="0">
        <v>82</v>
      </c>
      <c r="BH423" t="s" s="0">
        <v>82</v>
      </c>
      <c r="BI423" t="s" s="0">
        <v>10148</v>
      </c>
      <c r="BJ423" t="s" s="0">
        <v>10149</v>
      </c>
      <c r="BK423" t="s" s="841">
        <f>HYPERLINK("http://dx.doi.org/10.21037/tcr-2026-1-0341","http://dx.doi.org/10.21037/tcr-2026-1-0341")</f>
        <v>10150</v>
      </c>
      <c r="BL423" t="s" s="0">
        <v>82</v>
      </c>
      <c r="BM423" t="s" s="0">
        <v>82</v>
      </c>
      <c r="BN423" t="s" s="0">
        <v>173</v>
      </c>
      <c r="BO423" t="s" s="0">
        <v>4833</v>
      </c>
      <c r="BP423" t="s" s="0">
        <v>4833</v>
      </c>
      <c r="BQ423" t="s" s="0">
        <v>10151</v>
      </c>
      <c r="BR423" t="s" s="0">
        <v>82</v>
      </c>
      <c r="BS423" t="s" s="0">
        <v>10152</v>
      </c>
      <c r="BT423" t="s" s="842">
        <f>HYPERLINK("https://www.webofscience.com/wos/woscc/full-record/WOS:001845941400024","View Record in Web of Science")</f>
        <v>120</v>
      </c>
      <c r="BU423" t="s" s="0">
        <v>1008</v>
      </c>
      <c r="BV423" t="s" s="0">
        <v>82</v>
      </c>
      <c r="BW423" t="s" s="0">
        <v>82</v>
      </c>
      <c r="BX423" t="s" s="0">
        <v>122</v>
      </c>
    </row>
    <row r="424">
      <c r="A424" t="s" s="0">
        <v>78</v>
      </c>
      <c r="B424" t="s" s="0">
        <v>78</v>
      </c>
      <c r="C424" t="s" s="0">
        <v>78</v>
      </c>
      <c r="D424" t="s" s="0">
        <v>78</v>
      </c>
      <c r="E424" t="s" s="0">
        <v>10153</v>
      </c>
      <c r="F424" t="s" s="0">
        <v>10154</v>
      </c>
      <c r="G424" t="s" s="0">
        <v>10155</v>
      </c>
      <c r="H424" t="s" s="0">
        <v>82</v>
      </c>
      <c r="I424" t="s" s="0">
        <v>83</v>
      </c>
      <c r="J424" t="s" s="0">
        <v>10156</v>
      </c>
      <c r="K424" t="s" s="0">
        <v>10157</v>
      </c>
      <c r="L424" t="s" s="0">
        <v>10158</v>
      </c>
      <c r="M424" t="s" s="0">
        <v>10159</v>
      </c>
      <c r="N424" t="s" s="0">
        <v>10160</v>
      </c>
      <c r="O424" t="s" s="0">
        <v>10161</v>
      </c>
      <c r="P424" t="s" s="0">
        <v>10162</v>
      </c>
      <c r="Q424" t="s" s="0">
        <v>91</v>
      </c>
      <c r="R424" t="s" s="0">
        <v>82</v>
      </c>
      <c r="S424" t="s" s="0">
        <v>82</v>
      </c>
      <c r="T424" t="s" s="0">
        <v>82</v>
      </c>
      <c r="U424" t="s" s="0">
        <v>82</v>
      </c>
      <c r="V424" t="s" s="0">
        <v>10163</v>
      </c>
      <c r="W424" t="s" s="0">
        <v>3565</v>
      </c>
      <c r="X424" t="s" s="0">
        <v>82</v>
      </c>
      <c r="Y424" t="s" s="0">
        <v>82</v>
      </c>
      <c r="Z424" t="s" s="0">
        <v>94</v>
      </c>
      <c r="AA424" t="s" s="0">
        <v>95</v>
      </c>
      <c r="AB424" t="s" s="0">
        <v>82</v>
      </c>
      <c r="AC424" t="s" s="0">
        <v>82</v>
      </c>
      <c r="AD424" t="s" s="0">
        <v>82</v>
      </c>
      <c r="AE424" t="s" s="0">
        <v>82</v>
      </c>
      <c r="AF424" t="s" s="0">
        <v>82</v>
      </c>
      <c r="AG424" t="s" s="0">
        <v>10164</v>
      </c>
      <c r="AH424" t="s" s="0">
        <v>82</v>
      </c>
      <c r="AI424" t="s" s="0">
        <v>82</v>
      </c>
      <c r="AJ424" t="s" s="0">
        <v>82</v>
      </c>
      <c r="AK424" t="s" s="0">
        <v>82</v>
      </c>
      <c r="AL424" t="s" s="0">
        <v>273</v>
      </c>
      <c r="AM424" t="s" s="0">
        <v>78</v>
      </c>
      <c r="AN424" t="s" s="0">
        <v>78</v>
      </c>
      <c r="AO424" t="s" s="0">
        <v>78</v>
      </c>
      <c r="AP424" t="s" s="0">
        <v>78</v>
      </c>
      <c r="AQ424" t="s" s="0">
        <v>2484</v>
      </c>
      <c r="AR424" t="s" s="0">
        <v>2485</v>
      </c>
      <c r="AS424" t="s" s="0">
        <v>2486</v>
      </c>
      <c r="AT424" t="s" s="0">
        <v>82</v>
      </c>
      <c r="AU424" t="s" s="0">
        <v>3568</v>
      </c>
      <c r="AV424" t="s" s="0">
        <v>82</v>
      </c>
      <c r="AW424" t="s" s="0">
        <v>3569</v>
      </c>
      <c r="AX424" t="s" s="0">
        <v>3570</v>
      </c>
      <c r="AY424" t="s" s="0">
        <v>10165</v>
      </c>
      <c r="AZ424" t="s" s="0">
        <v>181</v>
      </c>
      <c r="BA424" t="s" s="0">
        <v>115</v>
      </c>
      <c r="BB424" t="s" s="0">
        <v>82</v>
      </c>
      <c r="BC424" t="s" s="0">
        <v>82</v>
      </c>
      <c r="BD424" t="s" s="0">
        <v>82</v>
      </c>
      <c r="BE424" t="s" s="0">
        <v>82</v>
      </c>
      <c r="BF424" t="s" s="0">
        <v>82</v>
      </c>
      <c r="BG424" t="s" s="0">
        <v>82</v>
      </c>
      <c r="BH424" t="s" s="0">
        <v>82</v>
      </c>
      <c r="BI424" t="s" s="0">
        <v>10166</v>
      </c>
      <c r="BJ424" t="s" s="0">
        <v>10167</v>
      </c>
      <c r="BK424" t="s" s="843">
        <f>HYPERLINK("http://dx.doi.org/10.3389/fmed.2026.1894008","http://dx.doi.org/10.3389/fmed.2026.1894008")</f>
        <v>10168</v>
      </c>
      <c r="BL424" t="s" s="0">
        <v>82</v>
      </c>
      <c r="BM424" t="s" s="0">
        <v>82</v>
      </c>
      <c r="BN424" t="s" s="0">
        <v>115</v>
      </c>
      <c r="BO424" t="s" s="0">
        <v>354</v>
      </c>
      <c r="BP424" t="s" s="0">
        <v>355</v>
      </c>
      <c r="BQ424" t="s" s="0">
        <v>10169</v>
      </c>
      <c r="BR424" t="s" s="0">
        <v>10170</v>
      </c>
      <c r="BS424" t="s" s="0">
        <v>10171</v>
      </c>
      <c r="BT424" t="s" s="844">
        <f>HYPERLINK("https://www.webofscience.com/wos/woscc/full-record/WOS:001838373400001","View Record in Web of Science")</f>
        <v>120</v>
      </c>
      <c r="BU424" t="s" s="0">
        <v>1008</v>
      </c>
      <c r="BV424" t="s" s="0">
        <v>82</v>
      </c>
      <c r="BW424" t="s" s="0">
        <v>82</v>
      </c>
      <c r="BX424" t="s" s="0">
        <v>122</v>
      </c>
    </row>
    <row r="425">
      <c r="A425" t="s" s="0">
        <v>78</v>
      </c>
      <c r="B425" t="s" s="0">
        <v>78</v>
      </c>
      <c r="C425" t="s" s="0">
        <v>102</v>
      </c>
      <c r="D425" t="s" s="0">
        <v>78</v>
      </c>
      <c r="E425" t="s" s="0">
        <v>10172</v>
      </c>
      <c r="F425" t="s" s="0">
        <v>10173</v>
      </c>
      <c r="G425" t="s" s="0">
        <v>10174</v>
      </c>
      <c r="H425" t="s" s="0">
        <v>82</v>
      </c>
      <c r="I425" t="s" s="0">
        <v>83</v>
      </c>
      <c r="J425" t="s" s="0">
        <v>10175</v>
      </c>
      <c r="K425" t="s" s="0">
        <v>10176</v>
      </c>
      <c r="L425" t="s" s="0">
        <v>10177</v>
      </c>
      <c r="M425" t="s" s="0">
        <v>10178</v>
      </c>
      <c r="N425" t="s" s="0">
        <v>10179</v>
      </c>
      <c r="O425" t="s" s="0">
        <v>10180</v>
      </c>
      <c r="P425" t="s" s="0">
        <v>10181</v>
      </c>
      <c r="Q425" t="s" s="0">
        <v>91</v>
      </c>
      <c r="R425" t="s" s="0">
        <v>82</v>
      </c>
      <c r="S425" t="s" s="0">
        <v>10182</v>
      </c>
      <c r="T425" t="s" s="0">
        <v>82</v>
      </c>
      <c r="U425" t="s" s="0">
        <v>82</v>
      </c>
      <c r="V425" t="s" s="0">
        <v>10183</v>
      </c>
      <c r="W425" t="s" s="0">
        <v>269</v>
      </c>
      <c r="X425" t="s" s="0">
        <v>82</v>
      </c>
      <c r="Y425" t="s" s="0">
        <v>82</v>
      </c>
      <c r="Z425" t="s" s="0">
        <v>94</v>
      </c>
      <c r="AA425" t="s" s="0">
        <v>95</v>
      </c>
      <c r="AB425" t="s" s="0">
        <v>82</v>
      </c>
      <c r="AC425" t="s" s="0">
        <v>82</v>
      </c>
      <c r="AD425" t="s" s="0">
        <v>82</v>
      </c>
      <c r="AE425" t="s" s="0">
        <v>82</v>
      </c>
      <c r="AF425" t="s" s="0">
        <v>82</v>
      </c>
      <c r="AG425" t="s" s="0">
        <v>10184</v>
      </c>
      <c r="AH425" t="s" s="0">
        <v>10185</v>
      </c>
      <c r="AI425" t="s" s="0">
        <v>10186</v>
      </c>
      <c r="AJ425" t="s" s="0">
        <v>10187</v>
      </c>
      <c r="AK425" t="s" s="0">
        <v>82</v>
      </c>
      <c r="AL425" t="s" s="0">
        <v>1186</v>
      </c>
      <c r="AM425" t="s" s="0">
        <v>149</v>
      </c>
      <c r="AN425" t="s" s="0">
        <v>115</v>
      </c>
      <c r="AO425" t="s" s="0">
        <v>78</v>
      </c>
      <c r="AP425" t="s" s="0">
        <v>319</v>
      </c>
      <c r="AQ425" t="s" s="0">
        <v>277</v>
      </c>
      <c r="AR425" t="s" s="0">
        <v>278</v>
      </c>
      <c r="AS425" t="s" s="0">
        <v>279</v>
      </c>
      <c r="AT425" t="s" s="0">
        <v>82</v>
      </c>
      <c r="AU425" t="s" s="0">
        <v>280</v>
      </c>
      <c r="AV425" t="s" s="0">
        <v>82</v>
      </c>
      <c r="AW425" t="s" s="0">
        <v>281</v>
      </c>
      <c r="AX425" t="s" s="0">
        <v>282</v>
      </c>
      <c r="AY425" t="s" s="0">
        <v>1196</v>
      </c>
      <c r="AZ425" t="s" s="0">
        <v>110</v>
      </c>
      <c r="BA425" t="s" s="0">
        <v>375</v>
      </c>
      <c r="BB425" t="s" s="0">
        <v>138</v>
      </c>
      <c r="BC425" t="s" s="0">
        <v>82</v>
      </c>
      <c r="BD425" t="s" s="0">
        <v>82</v>
      </c>
      <c r="BE425" t="s" s="0">
        <v>82</v>
      </c>
      <c r="BF425" t="s" s="0">
        <v>82</v>
      </c>
      <c r="BG425" t="s" s="0">
        <v>10188</v>
      </c>
      <c r="BH425" t="s" s="0">
        <v>10189</v>
      </c>
      <c r="BI425" t="s" s="0">
        <v>82</v>
      </c>
      <c r="BJ425" t="s" s="0">
        <v>10190</v>
      </c>
      <c r="BK425" t="s" s="845">
        <f>HYPERLINK("http://dx.doi.org/10.1016/S2589-7500(24)00088-8","http://dx.doi.org/10.1016/S2589-7500(24)00088-8")</f>
        <v>10191</v>
      </c>
      <c r="BL425" t="s" s="0">
        <v>82</v>
      </c>
      <c r="BM425" t="s" s="0">
        <v>82</v>
      </c>
      <c r="BN425" t="s" s="0">
        <v>319</v>
      </c>
      <c r="BO425" t="s" s="0">
        <v>289</v>
      </c>
      <c r="BP425" t="s" s="0">
        <v>290</v>
      </c>
      <c r="BQ425" t="s" s="0">
        <v>10192</v>
      </c>
      <c r="BR425" t="s" s="0">
        <v>10193</v>
      </c>
      <c r="BS425" t="s" s="0">
        <v>10194</v>
      </c>
      <c r="BT425" t="s" s="846">
        <f>HYPERLINK("https://www.webofscience.com/wos/woscc/full-record/WOS:001260289200001","View Record in Web of Science")</f>
        <v>120</v>
      </c>
      <c r="BU425" t="s" s="0">
        <v>1008</v>
      </c>
      <c r="BV425" t="s" s="0">
        <v>82</v>
      </c>
      <c r="BW425" t="s" s="0">
        <v>82</v>
      </c>
      <c r="BX425" t="s" s="0">
        <v>122</v>
      </c>
    </row>
    <row r="426">
      <c r="A426" t="s" s="0">
        <v>101</v>
      </c>
      <c r="B426" t="s" s="0">
        <v>78</v>
      </c>
      <c r="C426" t="s" s="0">
        <v>245</v>
      </c>
      <c r="D426" t="s" s="0">
        <v>78</v>
      </c>
      <c r="E426" t="s" s="0">
        <v>10195</v>
      </c>
      <c r="F426" t="s" s="0">
        <v>10196</v>
      </c>
      <c r="G426" t="s" s="0">
        <v>10197</v>
      </c>
      <c r="H426" t="s" s="0">
        <v>82</v>
      </c>
      <c r="I426" t="s" s="0">
        <v>83</v>
      </c>
      <c r="J426" t="s" s="0">
        <v>10198</v>
      </c>
      <c r="K426" t="s" s="0">
        <v>10199</v>
      </c>
      <c r="L426" t="s" s="0">
        <v>10200</v>
      </c>
      <c r="M426" t="s" s="0">
        <v>10201</v>
      </c>
      <c r="N426" t="s" s="0">
        <v>10202</v>
      </c>
      <c r="O426" t="s" s="0">
        <v>10203</v>
      </c>
      <c r="P426" t="s" s="0">
        <v>10204</v>
      </c>
      <c r="Q426" t="s" s="0">
        <v>91</v>
      </c>
      <c r="R426" t="s" s="0">
        <v>82</v>
      </c>
      <c r="S426" t="s" s="0">
        <v>82</v>
      </c>
      <c r="T426" t="s" s="0">
        <v>82</v>
      </c>
      <c r="U426" t="s" s="0">
        <v>82</v>
      </c>
      <c r="V426" t="s" s="0">
        <v>10205</v>
      </c>
      <c r="W426" t="s" s="0">
        <v>269</v>
      </c>
      <c r="X426" t="s" s="0">
        <v>82</v>
      </c>
      <c r="Y426" t="s" s="0">
        <v>82</v>
      </c>
      <c r="Z426" t="s" s="0">
        <v>94</v>
      </c>
      <c r="AA426" t="s" s="0">
        <v>95</v>
      </c>
      <c r="AB426" t="s" s="0">
        <v>82</v>
      </c>
      <c r="AC426" t="s" s="0">
        <v>82</v>
      </c>
      <c r="AD426" t="s" s="0">
        <v>82</v>
      </c>
      <c r="AE426" t="s" s="0">
        <v>82</v>
      </c>
      <c r="AF426" t="s" s="0">
        <v>82</v>
      </c>
      <c r="AG426" t="s" s="0">
        <v>82</v>
      </c>
      <c r="AH426" t="s" s="0">
        <v>10206</v>
      </c>
      <c r="AI426" t="s" s="0">
        <v>10207</v>
      </c>
      <c r="AJ426" t="s" s="0">
        <v>10208</v>
      </c>
      <c r="AK426" t="s" s="0">
        <v>82</v>
      </c>
      <c r="AL426" t="s" s="0">
        <v>685</v>
      </c>
      <c r="AM426" t="s" s="0">
        <v>745</v>
      </c>
      <c r="AN426" t="s" s="0">
        <v>3171</v>
      </c>
      <c r="AO426" t="s" s="0">
        <v>101</v>
      </c>
      <c r="AP426" t="s" s="0">
        <v>137</v>
      </c>
      <c r="AQ426" t="s" s="0">
        <v>277</v>
      </c>
      <c r="AR426" t="s" s="0">
        <v>278</v>
      </c>
      <c r="AS426" t="s" s="0">
        <v>279</v>
      </c>
      <c r="AT426" t="s" s="0">
        <v>82</v>
      </c>
      <c r="AU426" t="s" s="0">
        <v>280</v>
      </c>
      <c r="AV426" t="s" s="0">
        <v>82</v>
      </c>
      <c r="AW426" t="s" s="0">
        <v>281</v>
      </c>
      <c r="AX426" t="s" s="0">
        <v>282</v>
      </c>
      <c r="AY426" t="s" s="0">
        <v>4032</v>
      </c>
      <c r="AZ426" t="s" s="0">
        <v>110</v>
      </c>
      <c r="BA426" t="s" s="0">
        <v>375</v>
      </c>
      <c r="BB426" t="s" s="0">
        <v>319</v>
      </c>
      <c r="BC426" t="s" s="0">
        <v>82</v>
      </c>
      <c r="BD426" t="s" s="0">
        <v>82</v>
      </c>
      <c r="BE426" t="s" s="0">
        <v>82</v>
      </c>
      <c r="BF426" t="s" s="0">
        <v>82</v>
      </c>
      <c r="BG426" t="s" s="0">
        <v>10209</v>
      </c>
      <c r="BH426" t="s" s="0">
        <v>10210</v>
      </c>
      <c r="BI426" t="s" s="0">
        <v>82</v>
      </c>
      <c r="BJ426" t="s" s="0">
        <v>10211</v>
      </c>
      <c r="BK426" t="s" s="847">
        <f>HYPERLINK("http://dx.doi.org/10.1016/S2589-7500(24)00118-3","http://dx.doi.org/10.1016/S2589-7500(24)00118-3")</f>
        <v>10212</v>
      </c>
      <c r="BL426" t="s" s="0">
        <v>82</v>
      </c>
      <c r="BM426" t="s" s="0">
        <v>82</v>
      </c>
      <c r="BN426" t="s" s="0">
        <v>319</v>
      </c>
      <c r="BO426" t="s" s="0">
        <v>289</v>
      </c>
      <c r="BP426" t="s" s="0">
        <v>290</v>
      </c>
      <c r="BQ426" t="s" s="0">
        <v>10213</v>
      </c>
      <c r="BR426" t="s" s="0">
        <v>10214</v>
      </c>
      <c r="BS426" t="s" s="0">
        <v>10215</v>
      </c>
      <c r="BT426" t="s" s="848">
        <f>HYPERLINK("https://www.webofscience.com/wos/woscc/full-record/WOS:001301251100001","View Record in Web of Science")</f>
        <v>120</v>
      </c>
      <c r="BU426" t="s" s="0">
        <v>121</v>
      </c>
      <c r="BV426" t="s" s="0">
        <v>82</v>
      </c>
      <c r="BW426" t="s" s="0">
        <v>82</v>
      </c>
      <c r="BX426" t="s" s="0">
        <v>122</v>
      </c>
    </row>
    <row r="427">
      <c r="A427" t="s" s="0">
        <v>78</v>
      </c>
      <c r="B427" t="s" s="0">
        <v>78</v>
      </c>
      <c r="C427" t="s" s="0">
        <v>78</v>
      </c>
      <c r="D427" t="s" s="0">
        <v>78</v>
      </c>
      <c r="E427" t="s" s="0">
        <v>10216</v>
      </c>
      <c r="F427" t="s" s="0">
        <v>10217</v>
      </c>
      <c r="G427" t="s" s="0">
        <v>10218</v>
      </c>
      <c r="H427" t="s" s="0">
        <v>82</v>
      </c>
      <c r="I427" t="s" s="0">
        <v>83</v>
      </c>
      <c r="J427" t="s" s="0">
        <v>10219</v>
      </c>
      <c r="K427" t="s" s="0">
        <v>10220</v>
      </c>
      <c r="L427" t="s" s="0">
        <v>10221</v>
      </c>
      <c r="M427" t="s" s="0">
        <v>10222</v>
      </c>
      <c r="N427" t="s" s="0">
        <v>10223</v>
      </c>
      <c r="O427" t="s" s="0">
        <v>10224</v>
      </c>
      <c r="P427" t="s" s="0">
        <v>10225</v>
      </c>
      <c r="Q427" t="s" s="0">
        <v>91</v>
      </c>
      <c r="R427" t="s" s="0">
        <v>82</v>
      </c>
      <c r="S427" t="s" s="0">
        <v>82</v>
      </c>
      <c r="T427" t="s" s="0">
        <v>82</v>
      </c>
      <c r="U427" t="s" s="0">
        <v>82</v>
      </c>
      <c r="V427" t="s" s="0">
        <v>10226</v>
      </c>
      <c r="W427" t="s" s="0">
        <v>340</v>
      </c>
      <c r="X427" t="s" s="0">
        <v>82</v>
      </c>
      <c r="Y427" t="s" s="0">
        <v>82</v>
      </c>
      <c r="Z427" t="s" s="0">
        <v>94</v>
      </c>
      <c r="AA427" t="s" s="0">
        <v>95</v>
      </c>
      <c r="AB427" t="s" s="0">
        <v>82</v>
      </c>
      <c r="AC427" t="s" s="0">
        <v>82</v>
      </c>
      <c r="AD427" t="s" s="0">
        <v>82</v>
      </c>
      <c r="AE427" t="s" s="0">
        <v>82</v>
      </c>
      <c r="AF427" t="s" s="0">
        <v>82</v>
      </c>
      <c r="AG427" t="s" s="0">
        <v>10227</v>
      </c>
      <c r="AH427" t="s" s="0">
        <v>10228</v>
      </c>
      <c r="AI427" t="s" s="0">
        <v>82</v>
      </c>
      <c r="AJ427" t="s" s="0">
        <v>82</v>
      </c>
      <c r="AK427" t="s" s="0">
        <v>82</v>
      </c>
      <c r="AL427" t="s" s="0">
        <v>4685</v>
      </c>
      <c r="AM427" t="s" s="0">
        <v>78</v>
      </c>
      <c r="AN427" t="s" s="0">
        <v>78</v>
      </c>
      <c r="AO427" t="s" s="0">
        <v>78</v>
      </c>
      <c r="AP427" t="s" s="0">
        <v>78</v>
      </c>
      <c r="AQ427" t="s" s="0">
        <v>312</v>
      </c>
      <c r="AR427" t="s" s="0">
        <v>313</v>
      </c>
      <c r="AS427" t="s" s="0">
        <v>314</v>
      </c>
      <c r="AT427" t="s" s="0">
        <v>82</v>
      </c>
      <c r="AU427" t="s" s="0">
        <v>345</v>
      </c>
      <c r="AV427" t="s" s="0">
        <v>82</v>
      </c>
      <c r="AW427" t="s" s="0">
        <v>346</v>
      </c>
      <c r="AX427" t="s" s="0">
        <v>347</v>
      </c>
      <c r="AY427" t="s" s="0">
        <v>9494</v>
      </c>
      <c r="AZ427" t="s" s="0">
        <v>181</v>
      </c>
      <c r="BA427" t="s" s="0">
        <v>349</v>
      </c>
      <c r="BB427" t="s" s="0">
        <v>323</v>
      </c>
      <c r="BC427" t="s" s="0">
        <v>82</v>
      </c>
      <c r="BD427" t="s" s="0">
        <v>82</v>
      </c>
      <c r="BE427" t="s" s="0">
        <v>82</v>
      </c>
      <c r="BF427" t="s" s="0">
        <v>82</v>
      </c>
      <c r="BG427" t="s" s="0">
        <v>82</v>
      </c>
      <c r="BH427" t="s" s="0">
        <v>82</v>
      </c>
      <c r="BI427" t="s" s="0">
        <v>10229</v>
      </c>
      <c r="BJ427" t="s" s="0">
        <v>10230</v>
      </c>
      <c r="BK427" t="s" s="849">
        <f>HYPERLINK("http://dx.doi.org/10.3390/jcm15145375","http://dx.doi.org/10.3390/jcm15145375")</f>
        <v>10231</v>
      </c>
      <c r="BL427" t="s" s="0">
        <v>82</v>
      </c>
      <c r="BM427" t="s" s="0">
        <v>82</v>
      </c>
      <c r="BN427" t="s" s="0">
        <v>239</v>
      </c>
      <c r="BO427" t="s" s="0">
        <v>354</v>
      </c>
      <c r="BP427" t="s" s="0">
        <v>355</v>
      </c>
      <c r="BQ427" t="s" s="0">
        <v>10232</v>
      </c>
      <c r="BR427" t="s" s="0">
        <v>10233</v>
      </c>
      <c r="BS427" t="s" s="0">
        <v>10234</v>
      </c>
      <c r="BT427" t="s" s="850">
        <f>HYPERLINK("https://www.webofscience.com/wos/woscc/full-record/WOS:001832169100001","View Record in Web of Science")</f>
        <v>120</v>
      </c>
      <c r="BU427" t="s" s="0">
        <v>121</v>
      </c>
      <c r="BV427" t="s" s="0">
        <v>82</v>
      </c>
      <c r="BW427" t="s" s="0">
        <v>82</v>
      </c>
      <c r="BX427" t="s" s="0">
        <v>122</v>
      </c>
    </row>
    <row r="428">
      <c r="A428" t="s" s="0">
        <v>78</v>
      </c>
      <c r="B428" t="s" s="0">
        <v>78</v>
      </c>
      <c r="C428" t="s" s="0">
        <v>138</v>
      </c>
      <c r="D428" t="s" s="0">
        <v>78</v>
      </c>
      <c r="E428" t="s" s="0">
        <v>10235</v>
      </c>
      <c r="F428" t="s" s="0">
        <v>10236</v>
      </c>
      <c r="G428" t="s" s="0">
        <v>10237</v>
      </c>
      <c r="H428" t="s" s="0">
        <v>82</v>
      </c>
      <c r="I428" t="s" s="0">
        <v>83</v>
      </c>
      <c r="J428" t="s" s="0">
        <v>10238</v>
      </c>
      <c r="K428" t="s" s="0">
        <v>10239</v>
      </c>
      <c r="L428" t="s" s="0">
        <v>10240</v>
      </c>
      <c r="M428" t="s" s="0">
        <v>10241</v>
      </c>
      <c r="N428" t="s" s="0">
        <v>10242</v>
      </c>
      <c r="O428" t="s" s="0">
        <v>10243</v>
      </c>
      <c r="P428" t="s" s="0">
        <v>10244</v>
      </c>
      <c r="Q428" t="s" s="0">
        <v>91</v>
      </c>
      <c r="R428" t="s" s="0">
        <v>82</v>
      </c>
      <c r="S428" t="s" s="0">
        <v>82</v>
      </c>
      <c r="T428" t="s" s="0">
        <v>82</v>
      </c>
      <c r="U428" t="s" s="0">
        <v>82</v>
      </c>
      <c r="V428" t="s" s="0">
        <v>10245</v>
      </c>
      <c r="W428" t="s" s="0">
        <v>10246</v>
      </c>
      <c r="X428" t="s" s="0">
        <v>82</v>
      </c>
      <c r="Y428" t="s" s="0">
        <v>82</v>
      </c>
      <c r="Z428" t="s" s="0">
        <v>94</v>
      </c>
      <c r="AA428" t="s" s="0">
        <v>95</v>
      </c>
      <c r="AB428" t="s" s="0">
        <v>82</v>
      </c>
      <c r="AC428" t="s" s="0">
        <v>82</v>
      </c>
      <c r="AD428" t="s" s="0">
        <v>82</v>
      </c>
      <c r="AE428" t="s" s="0">
        <v>82</v>
      </c>
      <c r="AF428" t="s" s="0">
        <v>82</v>
      </c>
      <c r="AG428" t="s" s="0">
        <v>10247</v>
      </c>
      <c r="AH428" t="s" s="0">
        <v>5730</v>
      </c>
      <c r="AI428" t="s" s="0">
        <v>10248</v>
      </c>
      <c r="AJ428" t="s" s="0">
        <v>10249</v>
      </c>
      <c r="AK428" t="s" s="0">
        <v>82</v>
      </c>
      <c r="AL428" t="s" s="0">
        <v>1320</v>
      </c>
      <c r="AM428" t="s" s="0">
        <v>149</v>
      </c>
      <c r="AN428" t="s" s="0">
        <v>149</v>
      </c>
      <c r="AO428" t="s" s="0">
        <v>78</v>
      </c>
      <c r="AP428" t="s" s="0">
        <v>375</v>
      </c>
      <c r="AQ428" t="s" s="0">
        <v>202</v>
      </c>
      <c r="AR428" t="s" s="0">
        <v>203</v>
      </c>
      <c r="AS428" t="s" s="0">
        <v>204</v>
      </c>
      <c r="AT428" t="s" s="0">
        <v>10250</v>
      </c>
      <c r="AU428" t="s" s="0">
        <v>10251</v>
      </c>
      <c r="AV428" t="s" s="0">
        <v>82</v>
      </c>
      <c r="AW428" t="s" s="0">
        <v>10252</v>
      </c>
      <c r="AX428" t="s" s="0">
        <v>10253</v>
      </c>
      <c r="AY428" t="s" s="0">
        <v>1631</v>
      </c>
      <c r="AZ428" t="s" s="0">
        <v>110</v>
      </c>
      <c r="BA428" t="s" s="0">
        <v>828</v>
      </c>
      <c r="BB428" t="s" s="0">
        <v>375</v>
      </c>
      <c r="BC428" t="s" s="0">
        <v>82</v>
      </c>
      <c r="BD428" t="s" s="0">
        <v>82</v>
      </c>
      <c r="BE428" t="s" s="0">
        <v>82</v>
      </c>
      <c r="BF428" t="s" s="0">
        <v>82</v>
      </c>
      <c r="BG428" t="s" s="0">
        <v>82</v>
      </c>
      <c r="BH428" t="s" s="0">
        <v>82</v>
      </c>
      <c r="BI428" t="s" s="0">
        <v>10254</v>
      </c>
      <c r="BJ428" t="s" s="0">
        <v>10255</v>
      </c>
      <c r="BK428" t="s" s="851">
        <f>HYPERLINK("http://dx.doi.org/10.1016/j.modpat.2024.100496","http://dx.doi.org/10.1016/j.modpat.2024.100496")</f>
        <v>10256</v>
      </c>
      <c r="BL428" t="s" s="0">
        <v>82</v>
      </c>
      <c r="BM428" t="s" s="0">
        <v>376</v>
      </c>
      <c r="BN428" t="s" s="0">
        <v>319</v>
      </c>
      <c r="BO428" t="s" s="0">
        <v>10257</v>
      </c>
      <c r="BP428" t="s" s="0">
        <v>10257</v>
      </c>
      <c r="BQ428" t="s" s="0">
        <v>10258</v>
      </c>
      <c r="BR428" t="s" s="0">
        <v>10259</v>
      </c>
      <c r="BS428" t="s" s="0">
        <v>10260</v>
      </c>
      <c r="BT428" t="s" s="852">
        <f>HYPERLINK("https://www.webofscience.com/wos/woscc/full-record/WOS:001240535700001","View Record in Web of Science")</f>
        <v>120</v>
      </c>
      <c r="BU428" t="s" s="0">
        <v>159</v>
      </c>
      <c r="BV428" t="s" s="0">
        <v>82</v>
      </c>
      <c r="BW428" t="s" s="0">
        <v>82</v>
      </c>
      <c r="BX428" t="s" s="0">
        <v>122</v>
      </c>
    </row>
    <row r="429">
      <c r="A429" t="s" s="0">
        <v>78</v>
      </c>
      <c r="B429" t="s" s="0">
        <v>78</v>
      </c>
      <c r="C429" t="s" s="0">
        <v>77</v>
      </c>
      <c r="D429" t="s" s="0">
        <v>78</v>
      </c>
      <c r="E429" t="s" s="0">
        <v>10261</v>
      </c>
      <c r="F429" t="s" s="0">
        <v>10262</v>
      </c>
      <c r="G429" t="s" s="0">
        <v>10263</v>
      </c>
      <c r="H429" t="s" s="0">
        <v>82</v>
      </c>
      <c r="I429" t="s" s="0">
        <v>83</v>
      </c>
      <c r="J429" t="s" s="0">
        <v>10264</v>
      </c>
      <c r="K429" t="s" s="0">
        <v>10265</v>
      </c>
      <c r="L429" t="s" s="0">
        <v>10266</v>
      </c>
      <c r="M429" t="s" s="0">
        <v>10267</v>
      </c>
      <c r="N429" t="s" s="0">
        <v>10268</v>
      </c>
      <c r="O429" t="s" s="0">
        <v>10269</v>
      </c>
      <c r="P429" t="s" s="0">
        <v>10270</v>
      </c>
      <c r="Q429" t="s" s="0">
        <v>91</v>
      </c>
      <c r="R429" t="s" s="0">
        <v>82</v>
      </c>
      <c r="S429" t="s" s="0">
        <v>82</v>
      </c>
      <c r="T429" t="s" s="0">
        <v>82</v>
      </c>
      <c r="U429" t="s" s="0">
        <v>82</v>
      </c>
      <c r="V429" t="s" s="0">
        <v>10271</v>
      </c>
      <c r="W429" t="s" s="0">
        <v>10272</v>
      </c>
      <c r="X429" t="s" s="0">
        <v>82</v>
      </c>
      <c r="Y429" t="s" s="0">
        <v>82</v>
      </c>
      <c r="Z429" t="s" s="0">
        <v>94</v>
      </c>
      <c r="AA429" t="s" s="0">
        <v>95</v>
      </c>
      <c r="AB429" t="s" s="0">
        <v>82</v>
      </c>
      <c r="AC429" t="s" s="0">
        <v>82</v>
      </c>
      <c r="AD429" t="s" s="0">
        <v>82</v>
      </c>
      <c r="AE429" t="s" s="0">
        <v>82</v>
      </c>
      <c r="AF429" t="s" s="0">
        <v>82</v>
      </c>
      <c r="AG429" t="s" s="0">
        <v>10273</v>
      </c>
      <c r="AH429" t="s" s="0">
        <v>10274</v>
      </c>
      <c r="AI429" t="s" s="0">
        <v>10275</v>
      </c>
      <c r="AJ429" t="s" s="0">
        <v>10276</v>
      </c>
      <c r="AK429" t="s" s="0">
        <v>82</v>
      </c>
      <c r="AL429" t="s" s="0">
        <v>463</v>
      </c>
      <c r="AM429" t="s" s="0">
        <v>447</v>
      </c>
      <c r="AN429" t="s" s="0">
        <v>447</v>
      </c>
      <c r="AO429" t="s" s="0">
        <v>77</v>
      </c>
      <c r="AP429" t="s" s="0">
        <v>77</v>
      </c>
      <c r="AQ429" t="s" s="0">
        <v>5760</v>
      </c>
      <c r="AR429" t="s" s="0">
        <v>5761</v>
      </c>
      <c r="AS429" t="s" s="0">
        <v>5762</v>
      </c>
      <c r="AT429" t="s" s="0">
        <v>10277</v>
      </c>
      <c r="AU429" t="s" s="0">
        <v>10278</v>
      </c>
      <c r="AV429" t="s" s="0">
        <v>82</v>
      </c>
      <c r="AW429" t="s" s="0">
        <v>10279</v>
      </c>
      <c r="AX429" t="s" s="0">
        <v>10280</v>
      </c>
      <c r="AY429" t="s" s="0">
        <v>1394</v>
      </c>
      <c r="AZ429" t="s" s="0">
        <v>147</v>
      </c>
      <c r="BA429" t="s" s="0">
        <v>323</v>
      </c>
      <c r="BB429" t="s" s="0">
        <v>375</v>
      </c>
      <c r="BC429" t="s" s="0">
        <v>82</v>
      </c>
      <c r="BD429" t="s" s="0">
        <v>82</v>
      </c>
      <c r="BE429" t="s" s="0">
        <v>82</v>
      </c>
      <c r="BF429" t="s" s="0">
        <v>82</v>
      </c>
      <c r="BG429" t="s" s="0">
        <v>82</v>
      </c>
      <c r="BH429" t="s" s="0">
        <v>82</v>
      </c>
      <c r="BI429" t="s" s="0">
        <v>82</v>
      </c>
      <c r="BJ429" t="s" s="0">
        <v>10281</v>
      </c>
      <c r="BK429" t="s" s="853">
        <f>HYPERLINK("http://dx.doi.org/10.21037/gs-2025-35","http://dx.doi.org/10.21037/gs-2025-35")</f>
        <v>10282</v>
      </c>
      <c r="BL429" t="s" s="0">
        <v>82</v>
      </c>
      <c r="BM429" t="s" s="0">
        <v>82</v>
      </c>
      <c r="BN429" t="s" s="0">
        <v>349</v>
      </c>
      <c r="BO429" t="s" s="0">
        <v>950</v>
      </c>
      <c r="BP429" t="s" s="0">
        <v>950</v>
      </c>
      <c r="BQ429" t="s" s="0">
        <v>10283</v>
      </c>
      <c r="BR429" t="s" s="0">
        <v>10284</v>
      </c>
      <c r="BS429" t="s" s="0">
        <v>10285</v>
      </c>
      <c r="BT429" t="s" s="854">
        <f>HYPERLINK("https://www.webofscience.com/wos/woscc/full-record/WOS:001532526400008","View Record in Web of Science")</f>
        <v>120</v>
      </c>
      <c r="BU429" t="s" s="0">
        <v>121</v>
      </c>
      <c r="BV429" t="s" s="0">
        <v>82</v>
      </c>
      <c r="BW429" t="s" s="0">
        <v>82</v>
      </c>
      <c r="BX429" t="s" s="0">
        <v>122</v>
      </c>
    </row>
    <row r="430">
      <c r="A430" t="s" s="0">
        <v>78</v>
      </c>
      <c r="B430" t="s" s="0">
        <v>78</v>
      </c>
      <c r="C430" t="s" s="0">
        <v>221</v>
      </c>
      <c r="D430" t="s" s="0">
        <v>78</v>
      </c>
      <c r="E430" t="s" s="0">
        <v>10286</v>
      </c>
      <c r="F430" t="s" s="0">
        <v>10287</v>
      </c>
      <c r="G430" t="s" s="0">
        <v>10288</v>
      </c>
      <c r="H430" t="s" s="0">
        <v>82</v>
      </c>
      <c r="I430" t="s" s="0">
        <v>83</v>
      </c>
      <c r="J430" t="s" s="0">
        <v>10289</v>
      </c>
      <c r="K430" t="s" s="0">
        <v>10290</v>
      </c>
      <c r="L430" t="s" s="0">
        <v>10291</v>
      </c>
      <c r="M430" t="s" s="0">
        <v>10292</v>
      </c>
      <c r="N430" t="s" s="0">
        <v>10293</v>
      </c>
      <c r="O430" t="s" s="0">
        <v>10294</v>
      </c>
      <c r="P430" t="s" s="0">
        <v>10295</v>
      </c>
      <c r="Q430" t="s" s="0">
        <v>91</v>
      </c>
      <c r="R430" t="s" s="0">
        <v>82</v>
      </c>
      <c r="S430" t="s" s="0">
        <v>82</v>
      </c>
      <c r="T430" t="s" s="0">
        <v>82</v>
      </c>
      <c r="U430" t="s" s="0">
        <v>82</v>
      </c>
      <c r="V430" t="s" s="0">
        <v>10296</v>
      </c>
      <c r="W430" t="s" s="0">
        <v>10297</v>
      </c>
      <c r="X430" t="s" s="0">
        <v>82</v>
      </c>
      <c r="Y430" t="s" s="0">
        <v>82</v>
      </c>
      <c r="Z430" t="s" s="0">
        <v>94</v>
      </c>
      <c r="AA430" t="s" s="0">
        <v>95</v>
      </c>
      <c r="AB430" t="s" s="0">
        <v>82</v>
      </c>
      <c r="AC430" t="s" s="0">
        <v>82</v>
      </c>
      <c r="AD430" t="s" s="0">
        <v>82</v>
      </c>
      <c r="AE430" t="s" s="0">
        <v>82</v>
      </c>
      <c r="AF430" t="s" s="0">
        <v>82</v>
      </c>
      <c r="AG430" t="s" s="0">
        <v>82</v>
      </c>
      <c r="AH430" t="s" s="0">
        <v>10298</v>
      </c>
      <c r="AI430" t="s" s="0">
        <v>10299</v>
      </c>
      <c r="AJ430" t="s" s="0">
        <v>10300</v>
      </c>
      <c r="AK430" t="s" s="0">
        <v>82</v>
      </c>
      <c r="AL430" t="s" s="0">
        <v>111</v>
      </c>
      <c r="AM430" t="s" s="0">
        <v>245</v>
      </c>
      <c r="AN430" t="s" s="0">
        <v>245</v>
      </c>
      <c r="AO430" t="s" s="0">
        <v>78</v>
      </c>
      <c r="AP430" t="s" s="0">
        <v>375</v>
      </c>
      <c r="AQ430" t="s" s="0">
        <v>832</v>
      </c>
      <c r="AR430" t="s" s="0">
        <v>833</v>
      </c>
      <c r="AS430" t="s" s="0">
        <v>834</v>
      </c>
      <c r="AT430" t="s" s="0">
        <v>10301</v>
      </c>
      <c r="AU430" t="s" s="0">
        <v>10302</v>
      </c>
      <c r="AV430" t="s" s="0">
        <v>82</v>
      </c>
      <c r="AW430" t="s" s="0">
        <v>10297</v>
      </c>
      <c r="AX430" t="s" s="0">
        <v>10303</v>
      </c>
      <c r="AY430" t="s" s="0">
        <v>10304</v>
      </c>
      <c r="AZ430" t="s" s="0">
        <v>408</v>
      </c>
      <c r="BA430" t="s" s="0">
        <v>1024</v>
      </c>
      <c r="BB430" t="s" s="0">
        <v>245</v>
      </c>
      <c r="BC430" t="s" s="0">
        <v>82</v>
      </c>
      <c r="BD430" t="s" s="0">
        <v>82</v>
      </c>
      <c r="BE430" t="s" s="0">
        <v>82</v>
      </c>
      <c r="BF430" t="s" s="0">
        <v>82</v>
      </c>
      <c r="BG430" t="s" s="0">
        <v>10305</v>
      </c>
      <c r="BH430" t="s" s="0">
        <v>10306</v>
      </c>
      <c r="BI430" t="s" s="0">
        <v>82</v>
      </c>
      <c r="BJ430" t="s" s="0">
        <v>10307</v>
      </c>
      <c r="BK430" t="s" s="855">
        <f>HYPERLINK("http://dx.doi.org/10.1097/TP.0000000000004259","http://dx.doi.org/10.1097/TP.0000000000004259")</f>
        <v>10308</v>
      </c>
      <c r="BL430" t="s" s="0">
        <v>82</v>
      </c>
      <c r="BM430" t="s" s="0">
        <v>82</v>
      </c>
      <c r="BN430" t="s" s="0">
        <v>319</v>
      </c>
      <c r="BO430" t="s" s="0">
        <v>10309</v>
      </c>
      <c r="BP430" t="s" s="0">
        <v>10309</v>
      </c>
      <c r="BQ430" t="s" s="0">
        <v>10310</v>
      </c>
      <c r="BR430" t="s" s="0">
        <v>10311</v>
      </c>
      <c r="BS430" t="s" s="0">
        <v>10312</v>
      </c>
      <c r="BT430" t="s" s="856">
        <f>HYPERLINK("https://www.webofscience.com/wos/woscc/full-record/WOS:000862022400004","View Record in Web of Science")</f>
        <v>120</v>
      </c>
      <c r="BU430" t="s" s="0">
        <v>1265</v>
      </c>
      <c r="BV430" t="s" s="0">
        <v>82</v>
      </c>
      <c r="BW430" t="s" s="0">
        <v>82</v>
      </c>
      <c r="BX430" t="s" s="0">
        <v>122</v>
      </c>
    </row>
    <row r="431">
      <c r="A431" t="s" s="0">
        <v>78</v>
      </c>
      <c r="B431" t="s" s="0">
        <v>78</v>
      </c>
      <c r="C431" t="s" s="0">
        <v>319</v>
      </c>
      <c r="D431" t="s" s="0">
        <v>78</v>
      </c>
      <c r="E431" t="s" s="0">
        <v>10313</v>
      </c>
      <c r="F431" t="s" s="0">
        <v>10314</v>
      </c>
      <c r="G431" t="s" s="0">
        <v>10315</v>
      </c>
      <c r="H431" t="s" s="0">
        <v>82</v>
      </c>
      <c r="I431" t="s" s="0">
        <v>83</v>
      </c>
      <c r="J431" t="s" s="0">
        <v>10316</v>
      </c>
      <c r="K431" t="s" s="0">
        <v>10317</v>
      </c>
      <c r="L431" t="s" s="0">
        <v>10318</v>
      </c>
      <c r="M431" t="s" s="0">
        <v>10319</v>
      </c>
      <c r="N431" t="s" s="0">
        <v>10320</v>
      </c>
      <c r="O431" t="s" s="0">
        <v>10321</v>
      </c>
      <c r="P431" t="s" s="0">
        <v>10322</v>
      </c>
      <c r="Q431" t="s" s="0">
        <v>91</v>
      </c>
      <c r="R431" t="s" s="0">
        <v>82</v>
      </c>
      <c r="S431" t="s" s="0">
        <v>82</v>
      </c>
      <c r="T431" t="s" s="0">
        <v>82</v>
      </c>
      <c r="U431" t="s" s="0">
        <v>82</v>
      </c>
      <c r="V431" t="s" s="0">
        <v>10323</v>
      </c>
      <c r="W431" t="s" s="0">
        <v>10324</v>
      </c>
      <c r="X431" t="s" s="0">
        <v>82</v>
      </c>
      <c r="Y431" t="s" s="0">
        <v>82</v>
      </c>
      <c r="Z431" t="s" s="0">
        <v>94</v>
      </c>
      <c r="AA431" t="s" s="0">
        <v>95</v>
      </c>
      <c r="AB431" t="s" s="0">
        <v>82</v>
      </c>
      <c r="AC431" t="s" s="0">
        <v>82</v>
      </c>
      <c r="AD431" t="s" s="0">
        <v>82</v>
      </c>
      <c r="AE431" t="s" s="0">
        <v>82</v>
      </c>
      <c r="AF431" t="s" s="0">
        <v>82</v>
      </c>
      <c r="AG431" t="s" s="0">
        <v>82</v>
      </c>
      <c r="AH431" t="s" s="0">
        <v>10325</v>
      </c>
      <c r="AI431" t="s" s="0">
        <v>10326</v>
      </c>
      <c r="AJ431" t="s" s="0">
        <v>10327</v>
      </c>
      <c r="AK431" t="s" s="0">
        <v>82</v>
      </c>
      <c r="AL431" t="s" s="0">
        <v>111</v>
      </c>
      <c r="AM431" t="s" s="0">
        <v>353</v>
      </c>
      <c r="AN431" t="s" s="0">
        <v>1780</v>
      </c>
      <c r="AO431" t="s" s="0">
        <v>78</v>
      </c>
      <c r="AP431" t="s" s="0">
        <v>101</v>
      </c>
      <c r="AQ431" t="s" s="0">
        <v>174</v>
      </c>
      <c r="AR431" t="s" s="0">
        <v>175</v>
      </c>
      <c r="AS431" t="s" s="0">
        <v>176</v>
      </c>
      <c r="AT431" t="s" s="0">
        <v>10328</v>
      </c>
      <c r="AU431" t="s" s="0">
        <v>82</v>
      </c>
      <c r="AV431" t="s" s="0">
        <v>82</v>
      </c>
      <c r="AW431" t="s" s="0">
        <v>10329</v>
      </c>
      <c r="AX431" t="s" s="0">
        <v>10330</v>
      </c>
      <c r="AY431" t="s" s="0">
        <v>612</v>
      </c>
      <c r="AZ431" t="s" s="0">
        <v>408</v>
      </c>
      <c r="BA431" t="s" s="0">
        <v>137</v>
      </c>
      <c r="BB431" t="s" s="0">
        <v>77</v>
      </c>
      <c r="BC431" t="s" s="0">
        <v>82</v>
      </c>
      <c r="BD431" t="s" s="0">
        <v>82</v>
      </c>
      <c r="BE431" t="s" s="0">
        <v>82</v>
      </c>
      <c r="BF431" t="s" s="0">
        <v>82</v>
      </c>
      <c r="BG431" t="s" s="0">
        <v>173</v>
      </c>
      <c r="BH431" t="s" s="0">
        <v>311</v>
      </c>
      <c r="BI431" t="s" s="0">
        <v>82</v>
      </c>
      <c r="BJ431" t="s" s="0">
        <v>10331</v>
      </c>
      <c r="BK431" t="s" s="857">
        <f>HYPERLINK("http://dx.doi.org/10.1002/psp4.12740","http://dx.doi.org/10.1002/psp4.12740")</f>
        <v>10332</v>
      </c>
      <c r="BL431" t="s" s="0">
        <v>82</v>
      </c>
      <c r="BM431" t="s" s="0">
        <v>1657</v>
      </c>
      <c r="BN431" t="s" s="0">
        <v>245</v>
      </c>
      <c r="BO431" t="s" s="0">
        <v>156</v>
      </c>
      <c r="BP431" t="s" s="0">
        <v>156</v>
      </c>
      <c r="BQ431" t="s" s="0">
        <v>10333</v>
      </c>
      <c r="BR431" t="s" s="0">
        <v>10334</v>
      </c>
      <c r="BS431" t="s" s="0">
        <v>10335</v>
      </c>
      <c r="BT431" t="s" s="858">
        <f>HYPERLINK("https://www.webofscience.com/wos/woscc/full-record/WOS:000728461200001","View Record in Web of Science")</f>
        <v>120</v>
      </c>
      <c r="BU431" t="s" s="0">
        <v>121</v>
      </c>
      <c r="BV431" t="s" s="0">
        <v>82</v>
      </c>
      <c r="BW431" t="s" s="0">
        <v>82</v>
      </c>
      <c r="BX431" t="s" s="0">
        <v>122</v>
      </c>
    </row>
    <row r="432">
      <c r="A432" t="s" s="0">
        <v>78</v>
      </c>
      <c r="B432" t="s" s="0">
        <v>78</v>
      </c>
      <c r="C432" t="s" s="0">
        <v>77</v>
      </c>
      <c r="D432" t="s" s="0">
        <v>78</v>
      </c>
      <c r="E432" t="s" s="0">
        <v>10336</v>
      </c>
      <c r="F432" t="s" s="0">
        <v>10337</v>
      </c>
      <c r="G432" t="s" s="0">
        <v>10338</v>
      </c>
      <c r="H432" t="s" s="0">
        <v>82</v>
      </c>
      <c r="I432" t="s" s="0">
        <v>83</v>
      </c>
      <c r="J432" t="s" s="0">
        <v>10339</v>
      </c>
      <c r="K432" t="s" s="0">
        <v>10340</v>
      </c>
      <c r="L432" t="s" s="0">
        <v>10341</v>
      </c>
      <c r="M432" t="s" s="0">
        <v>10342</v>
      </c>
      <c r="N432" t="s" s="0">
        <v>10343</v>
      </c>
      <c r="O432" t="s" s="0">
        <v>10344</v>
      </c>
      <c r="P432" t="s" s="0">
        <v>10345</v>
      </c>
      <c r="Q432" t="s" s="0">
        <v>91</v>
      </c>
      <c r="R432" t="s" s="0">
        <v>82</v>
      </c>
      <c r="S432" t="s" s="0">
        <v>82</v>
      </c>
      <c r="T432" t="s" s="0">
        <v>82</v>
      </c>
      <c r="U432" t="s" s="0">
        <v>82</v>
      </c>
      <c r="V432" t="s" s="0">
        <v>10346</v>
      </c>
      <c r="W432" t="s" s="0">
        <v>6387</v>
      </c>
      <c r="X432" t="s" s="0">
        <v>82</v>
      </c>
      <c r="Y432" t="s" s="0">
        <v>82</v>
      </c>
      <c r="Z432" t="s" s="0">
        <v>94</v>
      </c>
      <c r="AA432" t="s" s="0">
        <v>95</v>
      </c>
      <c r="AB432" t="s" s="0">
        <v>82</v>
      </c>
      <c r="AC432" t="s" s="0">
        <v>82</v>
      </c>
      <c r="AD432" t="s" s="0">
        <v>82</v>
      </c>
      <c r="AE432" t="s" s="0">
        <v>82</v>
      </c>
      <c r="AF432" t="s" s="0">
        <v>82</v>
      </c>
      <c r="AG432" t="s" s="0">
        <v>10347</v>
      </c>
      <c r="AH432" t="s" s="0">
        <v>10348</v>
      </c>
      <c r="AI432" t="s" s="0">
        <v>10349</v>
      </c>
      <c r="AJ432" t="s" s="0">
        <v>10350</v>
      </c>
      <c r="AK432" t="s" s="0">
        <v>82</v>
      </c>
      <c r="AL432" t="s" s="0">
        <v>863</v>
      </c>
      <c r="AM432" t="s" s="0">
        <v>447</v>
      </c>
      <c r="AN432" t="s" s="0">
        <v>447</v>
      </c>
      <c r="AO432" t="s" s="0">
        <v>447</v>
      </c>
      <c r="AP432" t="s" s="0">
        <v>136</v>
      </c>
      <c r="AQ432" t="s" s="0">
        <v>2484</v>
      </c>
      <c r="AR432" t="s" s="0">
        <v>2485</v>
      </c>
      <c r="AS432" t="s" s="0">
        <v>2486</v>
      </c>
      <c r="AT432" t="s" s="0">
        <v>6391</v>
      </c>
      <c r="AU432" t="s" s="0">
        <v>82</v>
      </c>
      <c r="AV432" t="s" s="0">
        <v>82</v>
      </c>
      <c r="AW432" t="s" s="0">
        <v>6392</v>
      </c>
      <c r="AX432" t="s" s="0">
        <v>6393</v>
      </c>
      <c r="AY432" t="s" s="0">
        <v>10351</v>
      </c>
      <c r="AZ432" t="s" s="0">
        <v>147</v>
      </c>
      <c r="BA432" t="s" s="0">
        <v>349</v>
      </c>
      <c r="BB432" t="s" s="0">
        <v>82</v>
      </c>
      <c r="BC432" t="s" s="0">
        <v>82</v>
      </c>
      <c r="BD432" t="s" s="0">
        <v>82</v>
      </c>
      <c r="BE432" t="s" s="0">
        <v>82</v>
      </c>
      <c r="BF432" t="s" s="0">
        <v>82</v>
      </c>
      <c r="BG432" t="s" s="0">
        <v>82</v>
      </c>
      <c r="BH432" t="s" s="0">
        <v>82</v>
      </c>
      <c r="BI432" t="s" s="0">
        <v>10352</v>
      </c>
      <c r="BJ432" t="s" s="0">
        <v>10353</v>
      </c>
      <c r="BK432" t="s" s="859">
        <f>HYPERLINK("http://dx.doi.org/10.3389/fonc.2025.1509170","http://dx.doi.org/10.3389/fonc.2025.1509170")</f>
        <v>10354</v>
      </c>
      <c r="BL432" t="s" s="0">
        <v>82</v>
      </c>
      <c r="BM432" t="s" s="0">
        <v>82</v>
      </c>
      <c r="BN432" t="s" s="0">
        <v>323</v>
      </c>
      <c r="BO432" t="s" s="0">
        <v>4833</v>
      </c>
      <c r="BP432" t="s" s="0">
        <v>4833</v>
      </c>
      <c r="BQ432" t="s" s="0">
        <v>10355</v>
      </c>
      <c r="BR432" t="s" s="0">
        <v>10356</v>
      </c>
      <c r="BS432" t="s" s="0">
        <v>10357</v>
      </c>
      <c r="BT432" t="s" s="860">
        <f>HYPERLINK("https://www.webofscience.com/wos/woscc/full-record/WOS:001417725000001","View Record in Web of Science")</f>
        <v>120</v>
      </c>
      <c r="BU432" t="s" s="0">
        <v>121</v>
      </c>
      <c r="BV432" t="s" s="0">
        <v>82</v>
      </c>
      <c r="BW432" t="s" s="0">
        <v>82</v>
      </c>
      <c r="BX432" t="s" s="0">
        <v>122</v>
      </c>
    </row>
    <row r="433">
      <c r="A433" t="s" s="0">
        <v>78</v>
      </c>
      <c r="B433" t="s" s="0">
        <v>78</v>
      </c>
      <c r="C433" t="s" s="0">
        <v>447</v>
      </c>
      <c r="D433" t="s" s="0">
        <v>78</v>
      </c>
      <c r="E433" t="s" s="0">
        <v>10358</v>
      </c>
      <c r="F433" t="s" s="0">
        <v>10359</v>
      </c>
      <c r="G433" t="s" s="0">
        <v>10360</v>
      </c>
      <c r="H433" t="s" s="0">
        <v>82</v>
      </c>
      <c r="I433" t="s" s="0">
        <v>83</v>
      </c>
      <c r="J433" t="s" s="0">
        <v>10361</v>
      </c>
      <c r="K433" t="s" s="0">
        <v>10362</v>
      </c>
      <c r="L433" t="s" s="0">
        <v>82</v>
      </c>
      <c r="M433" t="s" s="0">
        <v>82</v>
      </c>
      <c r="N433" t="s" s="0">
        <v>82</v>
      </c>
      <c r="O433" t="s" s="0">
        <v>10363</v>
      </c>
      <c r="P433" t="s" s="0">
        <v>10364</v>
      </c>
      <c r="Q433" t="s" s="0">
        <v>91</v>
      </c>
      <c r="R433" t="s" s="0">
        <v>82</v>
      </c>
      <c r="S433" t="s" s="0">
        <v>10365</v>
      </c>
      <c r="T433" t="s" s="0">
        <v>82</v>
      </c>
      <c r="U433" t="s" s="0">
        <v>82</v>
      </c>
      <c r="V433" t="s" s="0">
        <v>10366</v>
      </c>
      <c r="W433" t="s" s="0">
        <v>10367</v>
      </c>
      <c r="X433" t="s" s="0">
        <v>82</v>
      </c>
      <c r="Y433" t="s" s="0">
        <v>82</v>
      </c>
      <c r="Z433" t="s" s="0">
        <v>94</v>
      </c>
      <c r="AA433" t="s" s="0">
        <v>95</v>
      </c>
      <c r="AB433" t="s" s="0">
        <v>82</v>
      </c>
      <c r="AC433" t="s" s="0">
        <v>82</v>
      </c>
      <c r="AD433" t="s" s="0">
        <v>82</v>
      </c>
      <c r="AE433" t="s" s="0">
        <v>82</v>
      </c>
      <c r="AF433" t="s" s="0">
        <v>82</v>
      </c>
      <c r="AG433" t="s" s="0">
        <v>10368</v>
      </c>
      <c r="AH433" t="s" s="0">
        <v>10369</v>
      </c>
      <c r="AI433" t="s" s="0">
        <v>10370</v>
      </c>
      <c r="AJ433" t="s" s="0">
        <v>10371</v>
      </c>
      <c r="AK433" t="s" s="0">
        <v>82</v>
      </c>
      <c r="AL433" t="s" s="0">
        <v>632</v>
      </c>
      <c r="AM433" t="s" s="0">
        <v>138</v>
      </c>
      <c r="AN433" t="s" s="0">
        <v>136</v>
      </c>
      <c r="AO433" t="s" s="0">
        <v>78</v>
      </c>
      <c r="AP433" t="s" s="0">
        <v>101</v>
      </c>
      <c r="AQ433" t="s" s="0">
        <v>312</v>
      </c>
      <c r="AR433" t="s" s="0">
        <v>313</v>
      </c>
      <c r="AS433" t="s" s="0">
        <v>314</v>
      </c>
      <c r="AT433" t="s" s="0">
        <v>10372</v>
      </c>
      <c r="AU433" t="s" s="0">
        <v>82</v>
      </c>
      <c r="AV433" t="s" s="0">
        <v>82</v>
      </c>
      <c r="AW433" t="s" s="0">
        <v>10367</v>
      </c>
      <c r="AX433" t="s" s="0">
        <v>10373</v>
      </c>
      <c r="AY433" t="s" s="0">
        <v>5018</v>
      </c>
      <c r="AZ433" t="s" s="0">
        <v>210</v>
      </c>
      <c r="BA433" t="s" s="0">
        <v>149</v>
      </c>
      <c r="BB433" t="s" s="0">
        <v>149</v>
      </c>
      <c r="BC433" t="s" s="0">
        <v>82</v>
      </c>
      <c r="BD433" t="s" s="0">
        <v>82</v>
      </c>
      <c r="BE433" t="s" s="0">
        <v>82</v>
      </c>
      <c r="BF433" t="s" s="0">
        <v>82</v>
      </c>
      <c r="BG433" t="s" s="0">
        <v>82</v>
      </c>
      <c r="BH433" t="s" s="0">
        <v>82</v>
      </c>
      <c r="BI433" t="s" s="0">
        <v>10374</v>
      </c>
      <c r="BJ433" t="s" s="0">
        <v>10375</v>
      </c>
      <c r="BK433" t="s" s="861">
        <f>HYPERLINK("http://dx.doi.org/10.3390/antibiotics12121674","http://dx.doi.org/10.3390/antibiotics12121674")</f>
        <v>10376</v>
      </c>
      <c r="BL433" t="s" s="0">
        <v>82</v>
      </c>
      <c r="BM433" t="s" s="0">
        <v>82</v>
      </c>
      <c r="BN433" t="s" s="0">
        <v>1320</v>
      </c>
      <c r="BO433" t="s" s="0">
        <v>1588</v>
      </c>
      <c r="BP433" t="s" s="0">
        <v>1588</v>
      </c>
      <c r="BQ433" t="s" s="0">
        <v>10377</v>
      </c>
      <c r="BR433" t="s" s="0">
        <v>10378</v>
      </c>
      <c r="BS433" t="s" s="0">
        <v>10379</v>
      </c>
      <c r="BT433" t="s" s="862">
        <f>HYPERLINK("https://www.webofscience.com/wos/woscc/full-record/WOS:001130998400001","View Record in Web of Science")</f>
        <v>120</v>
      </c>
      <c r="BU433" t="s" s="0">
        <v>4745</v>
      </c>
      <c r="BV433" t="s" s="0">
        <v>82</v>
      </c>
      <c r="BW433" t="s" s="0">
        <v>82</v>
      </c>
      <c r="BX433" t="s" s="0">
        <v>122</v>
      </c>
    </row>
    <row r="434">
      <c r="A434" t="s" s="0">
        <v>78</v>
      </c>
      <c r="B434" t="s" s="0">
        <v>78</v>
      </c>
      <c r="C434" t="s" s="0">
        <v>78</v>
      </c>
      <c r="D434" t="s" s="0">
        <v>78</v>
      </c>
      <c r="E434" t="s" s="0">
        <v>10380</v>
      </c>
      <c r="F434" t="s" s="0">
        <v>10381</v>
      </c>
      <c r="G434" t="s" s="0">
        <v>10382</v>
      </c>
      <c r="H434" t="s" s="0">
        <v>82</v>
      </c>
      <c r="I434" t="s" s="0">
        <v>297</v>
      </c>
      <c r="J434" t="s" s="0">
        <v>10383</v>
      </c>
      <c r="K434" t="s" s="0">
        <v>10384</v>
      </c>
      <c r="L434" t="s" s="0">
        <v>10385</v>
      </c>
      <c r="M434" t="s" s="0">
        <v>10385</v>
      </c>
      <c r="N434" t="s" s="0">
        <v>10386</v>
      </c>
      <c r="O434" t="s" s="0">
        <v>10387</v>
      </c>
      <c r="P434" t="s" s="0">
        <v>10388</v>
      </c>
      <c r="Q434" t="s" s="0">
        <v>91</v>
      </c>
      <c r="R434" t="s" s="0">
        <v>82</v>
      </c>
      <c r="S434" t="s" s="0">
        <v>82</v>
      </c>
      <c r="T434" t="s" s="0">
        <v>82</v>
      </c>
      <c r="U434" t="s" s="0">
        <v>82</v>
      </c>
      <c r="V434" t="s" s="0">
        <v>10389</v>
      </c>
      <c r="W434" t="s" s="0">
        <v>10390</v>
      </c>
      <c r="X434" t="s" s="0">
        <v>82</v>
      </c>
      <c r="Y434" t="s" s="0">
        <v>82</v>
      </c>
      <c r="Z434" t="s" s="0">
        <v>94</v>
      </c>
      <c r="AA434" t="s" s="0">
        <v>95</v>
      </c>
      <c r="AB434" t="s" s="0">
        <v>82</v>
      </c>
      <c r="AC434" t="s" s="0">
        <v>82</v>
      </c>
      <c r="AD434" t="s" s="0">
        <v>82</v>
      </c>
      <c r="AE434" t="s" s="0">
        <v>82</v>
      </c>
      <c r="AF434" t="s" s="0">
        <v>82</v>
      </c>
      <c r="AG434" t="s" s="0">
        <v>10391</v>
      </c>
      <c r="AH434" t="s" s="0">
        <v>10392</v>
      </c>
      <c r="AI434" t="s" s="0">
        <v>10393</v>
      </c>
      <c r="AJ434" t="s" s="0">
        <v>10394</v>
      </c>
      <c r="AK434" t="s" s="0">
        <v>82</v>
      </c>
      <c r="AL434" t="s" s="0">
        <v>1502</v>
      </c>
      <c r="AM434" t="s" s="0">
        <v>78</v>
      </c>
      <c r="AN434" t="s" s="0">
        <v>78</v>
      </c>
      <c r="AO434" t="s" s="0">
        <v>78</v>
      </c>
      <c r="AP434" t="s" s="0">
        <v>77</v>
      </c>
      <c r="AQ434" t="s" s="0">
        <v>312</v>
      </c>
      <c r="AR434" t="s" s="0">
        <v>313</v>
      </c>
      <c r="AS434" t="s" s="0">
        <v>314</v>
      </c>
      <c r="AT434" t="s" s="0">
        <v>82</v>
      </c>
      <c r="AU434" t="s" s="0">
        <v>10395</v>
      </c>
      <c r="AV434" t="s" s="0">
        <v>82</v>
      </c>
      <c r="AW434" t="s" s="0">
        <v>10390</v>
      </c>
      <c r="AX434" t="s" s="0">
        <v>10396</v>
      </c>
      <c r="AY434" t="s" s="0">
        <v>4429</v>
      </c>
      <c r="AZ434" t="s" s="0">
        <v>147</v>
      </c>
      <c r="BA434" t="s" s="0">
        <v>154</v>
      </c>
      <c r="BB434" t="s" s="0">
        <v>138</v>
      </c>
      <c r="BC434" t="s" s="0">
        <v>82</v>
      </c>
      <c r="BD434" t="s" s="0">
        <v>82</v>
      </c>
      <c r="BE434" t="s" s="0">
        <v>82</v>
      </c>
      <c r="BF434" t="s" s="0">
        <v>82</v>
      </c>
      <c r="BG434" t="s" s="0">
        <v>82</v>
      </c>
      <c r="BH434" t="s" s="0">
        <v>82</v>
      </c>
      <c r="BI434" t="s" s="0">
        <v>10397</v>
      </c>
      <c r="BJ434" t="s" s="0">
        <v>10398</v>
      </c>
      <c r="BK434" t="s" s="863">
        <f>HYPERLINK("http://dx.doi.org/10.3390/a18070432","http://dx.doi.org/10.3390/a18070432")</f>
        <v>10399</v>
      </c>
      <c r="BL434" t="s" s="0">
        <v>82</v>
      </c>
      <c r="BM434" t="s" s="0">
        <v>82</v>
      </c>
      <c r="BN434" t="s" s="0">
        <v>115</v>
      </c>
      <c r="BO434" t="s" s="0">
        <v>10400</v>
      </c>
      <c r="BP434" t="s" s="0">
        <v>1663</v>
      </c>
      <c r="BQ434" t="s" s="0">
        <v>10401</v>
      </c>
      <c r="BR434" t="s" s="0">
        <v>82</v>
      </c>
      <c r="BS434" t="s" s="0">
        <v>10402</v>
      </c>
      <c r="BT434" t="s" s="864">
        <f>HYPERLINK("https://www.webofscience.com/wos/woscc/full-record/WOS:001540811100001","View Record in Web of Science")</f>
        <v>120</v>
      </c>
      <c r="BU434" t="s" s="0">
        <v>121</v>
      </c>
      <c r="BV434" t="s" s="0">
        <v>82</v>
      </c>
      <c r="BW434" t="s" s="0">
        <v>82</v>
      </c>
      <c r="BX434" t="s" s="0">
        <v>122</v>
      </c>
    </row>
    <row r="435">
      <c r="A435" t="s" s="0">
        <v>78</v>
      </c>
      <c r="B435" t="s" s="0">
        <v>78</v>
      </c>
      <c r="C435" t="s" s="0">
        <v>77</v>
      </c>
      <c r="D435" t="s" s="0">
        <v>78</v>
      </c>
      <c r="E435" t="s" s="0">
        <v>10403</v>
      </c>
      <c r="F435" t="s" s="0">
        <v>10404</v>
      </c>
      <c r="G435" t="s" s="0">
        <v>10405</v>
      </c>
      <c r="H435" t="s" s="0">
        <v>82</v>
      </c>
      <c r="I435" t="s" s="0">
        <v>83</v>
      </c>
      <c r="J435" t="s" s="0">
        <v>10406</v>
      </c>
      <c r="K435" t="s" s="0">
        <v>10407</v>
      </c>
      <c r="L435" t="s" s="0">
        <v>10408</v>
      </c>
      <c r="M435" t="s" s="0">
        <v>10408</v>
      </c>
      <c r="N435" t="s" s="0">
        <v>10409</v>
      </c>
      <c r="O435" t="s" s="0">
        <v>10410</v>
      </c>
      <c r="P435" t="s" s="0">
        <v>10411</v>
      </c>
      <c r="Q435" t="s" s="0">
        <v>91</v>
      </c>
      <c r="R435" t="s" s="0">
        <v>82</v>
      </c>
      <c r="S435" t="s" s="0">
        <v>82</v>
      </c>
      <c r="T435" t="s" s="0">
        <v>82</v>
      </c>
      <c r="U435" t="s" s="0">
        <v>82</v>
      </c>
      <c r="V435" t="s" s="0">
        <v>10412</v>
      </c>
      <c r="W435" t="s" s="0">
        <v>10413</v>
      </c>
      <c r="X435" t="s" s="0">
        <v>82</v>
      </c>
      <c r="Y435" t="s" s="0">
        <v>82</v>
      </c>
      <c r="Z435" t="s" s="0">
        <v>94</v>
      </c>
      <c r="AA435" t="s" s="0">
        <v>95</v>
      </c>
      <c r="AB435" t="s" s="0">
        <v>82</v>
      </c>
      <c r="AC435" t="s" s="0">
        <v>82</v>
      </c>
      <c r="AD435" t="s" s="0">
        <v>82</v>
      </c>
      <c r="AE435" t="s" s="0">
        <v>82</v>
      </c>
      <c r="AF435" t="s" s="0">
        <v>82</v>
      </c>
      <c r="AG435" t="s" s="0">
        <v>10414</v>
      </c>
      <c r="AH435" t="s" s="0">
        <v>10415</v>
      </c>
      <c r="AI435" t="s" s="0">
        <v>82</v>
      </c>
      <c r="AJ435" t="s" s="0">
        <v>82</v>
      </c>
      <c r="AK435" t="s" s="0">
        <v>82</v>
      </c>
      <c r="AL435" t="s" s="0">
        <v>632</v>
      </c>
      <c r="AM435" t="s" s="0">
        <v>221</v>
      </c>
      <c r="AN435" t="s" s="0">
        <v>375</v>
      </c>
      <c r="AO435" t="s" s="0">
        <v>102</v>
      </c>
      <c r="AP435" t="s" s="0">
        <v>245</v>
      </c>
      <c r="AQ435" t="s" s="0">
        <v>174</v>
      </c>
      <c r="AR435" t="s" s="0">
        <v>175</v>
      </c>
      <c r="AS435" t="s" s="0">
        <v>176</v>
      </c>
      <c r="AT435" t="s" s="0">
        <v>10416</v>
      </c>
      <c r="AU435" t="s" s="0">
        <v>10417</v>
      </c>
      <c r="AV435" t="s" s="0">
        <v>82</v>
      </c>
      <c r="AW435" t="s" s="0">
        <v>10418</v>
      </c>
      <c r="AX435" t="s" s="0">
        <v>10419</v>
      </c>
      <c r="AY435" t="s" s="0">
        <v>6040</v>
      </c>
      <c r="AZ435" t="s" s="0">
        <v>181</v>
      </c>
      <c r="BA435" t="s" s="0">
        <v>238</v>
      </c>
      <c r="BB435" t="s" s="0">
        <v>77</v>
      </c>
      <c r="BC435" t="s" s="0">
        <v>82</v>
      </c>
      <c r="BD435" t="s" s="0">
        <v>82</v>
      </c>
      <c r="BE435" t="s" s="0">
        <v>82</v>
      </c>
      <c r="BF435" t="s" s="0">
        <v>82</v>
      </c>
      <c r="BG435" t="s" s="0">
        <v>82</v>
      </c>
      <c r="BH435" t="s" s="0">
        <v>82</v>
      </c>
      <c r="BI435" t="s" s="0">
        <v>10420</v>
      </c>
      <c r="BJ435" t="s" s="0">
        <v>10421</v>
      </c>
      <c r="BK435" t="s" s="865">
        <f>HYPERLINK("http://dx.doi.org/10.1111/jsr.70093","http://dx.doi.org/10.1111/jsr.70093")</f>
        <v>10422</v>
      </c>
      <c r="BL435" t="s" s="0">
        <v>82</v>
      </c>
      <c r="BM435" t="s" s="0">
        <v>1556</v>
      </c>
      <c r="BN435" t="s" s="0">
        <v>136</v>
      </c>
      <c r="BO435" t="s" s="0">
        <v>613</v>
      </c>
      <c r="BP435" t="s" s="0">
        <v>252</v>
      </c>
      <c r="BQ435" t="s" s="0">
        <v>10423</v>
      </c>
      <c r="BR435" t="s" s="0">
        <v>10424</v>
      </c>
      <c r="BS435" t="s" s="0">
        <v>10425</v>
      </c>
      <c r="BT435" t="s" s="866">
        <f>HYPERLINK("https://www.webofscience.com/wos/woscc/full-record/WOS:001484883200001","View Record in Web of Science")</f>
        <v>120</v>
      </c>
      <c r="BU435" t="s" s="0">
        <v>256</v>
      </c>
      <c r="BV435" t="s" s="0">
        <v>82</v>
      </c>
      <c r="BW435" t="s" s="0">
        <v>82</v>
      </c>
      <c r="BX435" t="s" s="0">
        <v>122</v>
      </c>
    </row>
    <row r="436">
      <c r="A436" t="s" s="0">
        <v>78</v>
      </c>
      <c r="B436" t="s" s="0">
        <v>78</v>
      </c>
      <c r="C436" t="s" s="0">
        <v>78</v>
      </c>
      <c r="D436" t="s" s="0">
        <v>78</v>
      </c>
      <c r="E436" t="s" s="0">
        <v>10426</v>
      </c>
      <c r="F436" t="s" s="0">
        <v>10427</v>
      </c>
      <c r="G436" t="s" s="0">
        <v>10428</v>
      </c>
      <c r="H436" t="s" s="0">
        <v>82</v>
      </c>
      <c r="I436" t="s" s="0">
        <v>83</v>
      </c>
      <c r="J436" t="s" s="0">
        <v>10429</v>
      </c>
      <c r="K436" t="s" s="0">
        <v>10430</v>
      </c>
      <c r="L436" t="s" s="0">
        <v>10431</v>
      </c>
      <c r="M436" t="s" s="0">
        <v>10432</v>
      </c>
      <c r="N436" t="s" s="0">
        <v>10433</v>
      </c>
      <c r="O436" t="s" s="0">
        <v>10434</v>
      </c>
      <c r="P436" t="s" s="0">
        <v>10435</v>
      </c>
      <c r="Q436" t="s" s="0">
        <v>91</v>
      </c>
      <c r="R436" t="s" s="0">
        <v>82</v>
      </c>
      <c r="S436" t="s" s="0">
        <v>82</v>
      </c>
      <c r="T436" t="s" s="0">
        <v>82</v>
      </c>
      <c r="U436" t="s" s="0">
        <v>82</v>
      </c>
      <c r="V436" t="s" s="0">
        <v>10436</v>
      </c>
      <c r="W436" t="s" s="0">
        <v>10437</v>
      </c>
      <c r="X436" t="s" s="0">
        <v>82</v>
      </c>
      <c r="Y436" t="s" s="0">
        <v>82</v>
      </c>
      <c r="Z436" t="s" s="0">
        <v>94</v>
      </c>
      <c r="AA436" t="s" s="0">
        <v>95</v>
      </c>
      <c r="AB436" t="s" s="0">
        <v>82</v>
      </c>
      <c r="AC436" t="s" s="0">
        <v>82</v>
      </c>
      <c r="AD436" t="s" s="0">
        <v>82</v>
      </c>
      <c r="AE436" t="s" s="0">
        <v>82</v>
      </c>
      <c r="AF436" t="s" s="0">
        <v>82</v>
      </c>
      <c r="AG436" t="s" s="0">
        <v>10438</v>
      </c>
      <c r="AH436" t="s" s="0">
        <v>10439</v>
      </c>
      <c r="AI436" t="s" s="0">
        <v>82</v>
      </c>
      <c r="AJ436" t="s" s="0">
        <v>82</v>
      </c>
      <c r="AK436" t="s" s="0">
        <v>82</v>
      </c>
      <c r="AL436" t="s" s="0">
        <v>1186</v>
      </c>
      <c r="AM436" t="s" s="0">
        <v>78</v>
      </c>
      <c r="AN436" t="s" s="0">
        <v>78</v>
      </c>
      <c r="AO436" t="s" s="0">
        <v>78</v>
      </c>
      <c r="AP436" t="s" s="0">
        <v>78</v>
      </c>
      <c r="AQ436" t="s" s="0">
        <v>2484</v>
      </c>
      <c r="AR436" t="s" s="0">
        <v>2485</v>
      </c>
      <c r="AS436" t="s" s="0">
        <v>2486</v>
      </c>
      <c r="AT436" t="s" s="0">
        <v>10440</v>
      </c>
      <c r="AU436" t="s" s="0">
        <v>82</v>
      </c>
      <c r="AV436" t="s" s="0">
        <v>82</v>
      </c>
      <c r="AW436" t="s" s="0">
        <v>10441</v>
      </c>
      <c r="AX436" t="s" s="0">
        <v>10442</v>
      </c>
      <c r="AY436" t="s" s="0">
        <v>10443</v>
      </c>
      <c r="AZ436" t="s" s="0">
        <v>181</v>
      </c>
      <c r="BA436" t="s" s="0">
        <v>239</v>
      </c>
      <c r="BB436" t="s" s="0">
        <v>82</v>
      </c>
      <c r="BC436" t="s" s="0">
        <v>82</v>
      </c>
      <c r="BD436" t="s" s="0">
        <v>82</v>
      </c>
      <c r="BE436" t="s" s="0">
        <v>82</v>
      </c>
      <c r="BF436" t="s" s="0">
        <v>82</v>
      </c>
      <c r="BG436" t="s" s="0">
        <v>82</v>
      </c>
      <c r="BH436" t="s" s="0">
        <v>82</v>
      </c>
      <c r="BI436" t="s" s="0">
        <v>10444</v>
      </c>
      <c r="BJ436" t="s" s="0">
        <v>10445</v>
      </c>
      <c r="BK436" t="s" s="867">
        <f>HYPERLINK("http://dx.doi.org/10.3389/fneur.2026.1889258","http://dx.doi.org/10.3389/fneur.2026.1889258")</f>
        <v>10446</v>
      </c>
      <c r="BL436" t="s" s="0">
        <v>82</v>
      </c>
      <c r="BM436" t="s" s="0">
        <v>82</v>
      </c>
      <c r="BN436" t="s" s="0">
        <v>245</v>
      </c>
      <c r="BO436" t="s" s="0">
        <v>613</v>
      </c>
      <c r="BP436" t="s" s="0">
        <v>252</v>
      </c>
      <c r="BQ436" t="s" s="0">
        <v>10447</v>
      </c>
      <c r="BR436" t="s" s="0">
        <v>82</v>
      </c>
      <c r="BS436" t="s" s="0">
        <v>10448</v>
      </c>
      <c r="BT436" t="s" s="868">
        <f>HYPERLINK("https://www.webofscience.com/wos/woscc/full-record/WOS:001843310000001","View Record in Web of Science")</f>
        <v>120</v>
      </c>
      <c r="BU436" t="s" s="0">
        <v>1008</v>
      </c>
      <c r="BV436" t="s" s="0">
        <v>82</v>
      </c>
      <c r="BW436" t="s" s="0">
        <v>82</v>
      </c>
      <c r="BX436" t="s" s="0">
        <v>122</v>
      </c>
    </row>
    <row r="437">
      <c r="A437" t="s" s="0">
        <v>78</v>
      </c>
      <c r="B437" t="s" s="0">
        <v>78</v>
      </c>
      <c r="C437" t="s" s="0">
        <v>447</v>
      </c>
      <c r="D437" t="s" s="0">
        <v>78</v>
      </c>
      <c r="E437" t="s" s="0">
        <v>10449</v>
      </c>
      <c r="F437" t="s" s="0">
        <v>10450</v>
      </c>
      <c r="G437" t="s" s="0">
        <v>10451</v>
      </c>
      <c r="H437" t="s" s="0">
        <v>82</v>
      </c>
      <c r="I437" t="s" s="0">
        <v>83</v>
      </c>
      <c r="J437" t="s" s="0">
        <v>10452</v>
      </c>
      <c r="K437" t="s" s="0">
        <v>10453</v>
      </c>
      <c r="L437" t="s" s="0">
        <v>10454</v>
      </c>
      <c r="M437" t="s" s="0">
        <v>10455</v>
      </c>
      <c r="N437" t="s" s="0">
        <v>10456</v>
      </c>
      <c r="O437" t="s" s="0">
        <v>10457</v>
      </c>
      <c r="P437" t="s" s="0">
        <v>10458</v>
      </c>
      <c r="Q437" t="s" s="0">
        <v>91</v>
      </c>
      <c r="R437" t="s" s="0">
        <v>82</v>
      </c>
      <c r="S437" t="s" s="0">
        <v>82</v>
      </c>
      <c r="T437" t="s" s="0">
        <v>82</v>
      </c>
      <c r="U437" t="s" s="0">
        <v>82</v>
      </c>
      <c r="V437" t="s" s="0">
        <v>10459</v>
      </c>
      <c r="W437" t="s" s="0">
        <v>6387</v>
      </c>
      <c r="X437" t="s" s="0">
        <v>82</v>
      </c>
      <c r="Y437" t="s" s="0">
        <v>82</v>
      </c>
      <c r="Z437" t="s" s="0">
        <v>94</v>
      </c>
      <c r="AA437" t="s" s="0">
        <v>95</v>
      </c>
      <c r="AB437" t="s" s="0">
        <v>82</v>
      </c>
      <c r="AC437" t="s" s="0">
        <v>82</v>
      </c>
      <c r="AD437" t="s" s="0">
        <v>82</v>
      </c>
      <c r="AE437" t="s" s="0">
        <v>82</v>
      </c>
      <c r="AF437" t="s" s="0">
        <v>82</v>
      </c>
      <c r="AG437" t="s" s="0">
        <v>10460</v>
      </c>
      <c r="AH437" t="s" s="0">
        <v>6762</v>
      </c>
      <c r="AI437" t="s" s="0">
        <v>10461</v>
      </c>
      <c r="AJ437" t="s" s="0">
        <v>82</v>
      </c>
      <c r="AK437" t="s" s="0">
        <v>82</v>
      </c>
      <c r="AL437" t="s" s="0">
        <v>399</v>
      </c>
      <c r="AM437" t="s" s="0">
        <v>138</v>
      </c>
      <c r="AN437" t="s" s="0">
        <v>138</v>
      </c>
      <c r="AO437" t="s" s="0">
        <v>447</v>
      </c>
      <c r="AP437" t="s" s="0">
        <v>101</v>
      </c>
      <c r="AQ437" t="s" s="0">
        <v>2484</v>
      </c>
      <c r="AR437" t="s" s="0">
        <v>2485</v>
      </c>
      <c r="AS437" t="s" s="0">
        <v>2486</v>
      </c>
      <c r="AT437" t="s" s="0">
        <v>6391</v>
      </c>
      <c r="AU437" t="s" s="0">
        <v>82</v>
      </c>
      <c r="AV437" t="s" s="0">
        <v>82</v>
      </c>
      <c r="AW437" t="s" s="0">
        <v>6392</v>
      </c>
      <c r="AX437" t="s" s="0">
        <v>6393</v>
      </c>
      <c r="AY437" t="s" s="0">
        <v>10462</v>
      </c>
      <c r="AZ437" t="s" s="0">
        <v>408</v>
      </c>
      <c r="BA437" t="s" s="0">
        <v>149</v>
      </c>
      <c r="BB437" t="s" s="0">
        <v>82</v>
      </c>
      <c r="BC437" t="s" s="0">
        <v>82</v>
      </c>
      <c r="BD437" t="s" s="0">
        <v>82</v>
      </c>
      <c r="BE437" t="s" s="0">
        <v>82</v>
      </c>
      <c r="BF437" t="s" s="0">
        <v>82</v>
      </c>
      <c r="BG437" t="s" s="0">
        <v>82</v>
      </c>
      <c r="BH437" t="s" s="0">
        <v>82</v>
      </c>
      <c r="BI437" t="s" s="0">
        <v>10463</v>
      </c>
      <c r="BJ437" t="s" s="0">
        <v>10464</v>
      </c>
      <c r="BK437" t="s" s="869">
        <f>HYPERLINK("http://dx.doi.org/10.3389/fonc.2022.934291","http://dx.doi.org/10.3389/fonc.2022.934291")</f>
        <v>10465</v>
      </c>
      <c r="BL437" t="s" s="0">
        <v>82</v>
      </c>
      <c r="BM437" t="s" s="0">
        <v>82</v>
      </c>
      <c r="BN437" t="s" s="0">
        <v>319</v>
      </c>
      <c r="BO437" t="s" s="0">
        <v>4833</v>
      </c>
      <c r="BP437" t="s" s="0">
        <v>4833</v>
      </c>
      <c r="BQ437" t="s" s="0">
        <v>10466</v>
      </c>
      <c r="BR437" t="s" s="0">
        <v>10467</v>
      </c>
      <c r="BS437" t="s" s="0">
        <v>10468</v>
      </c>
      <c r="BT437" t="s" s="870">
        <f>HYPERLINK("https://www.webofscience.com/wos/woscc/full-record/WOS:000824519800001","View Record in Web of Science")</f>
        <v>120</v>
      </c>
      <c r="BU437" t="s" s="0">
        <v>121</v>
      </c>
      <c r="BV437" t="s" s="0">
        <v>82</v>
      </c>
      <c r="BW437" t="s" s="0">
        <v>82</v>
      </c>
      <c r="BX437" t="s" s="0">
        <v>122</v>
      </c>
    </row>
    <row r="438">
      <c r="A438" t="s" s="0">
        <v>78</v>
      </c>
      <c r="B438" t="s" s="0">
        <v>78</v>
      </c>
      <c r="C438" t="s" s="0">
        <v>78</v>
      </c>
      <c r="D438" t="s" s="0">
        <v>78</v>
      </c>
      <c r="E438" t="s" s="0">
        <v>10469</v>
      </c>
      <c r="F438" t="s" s="0">
        <v>10470</v>
      </c>
      <c r="G438" t="s" s="0">
        <v>10471</v>
      </c>
      <c r="H438" t="s" s="0">
        <v>82</v>
      </c>
      <c r="I438" t="s" s="0">
        <v>83</v>
      </c>
      <c r="J438" t="s" s="0">
        <v>10472</v>
      </c>
      <c r="K438" t="s" s="0">
        <v>10473</v>
      </c>
      <c r="L438" t="s" s="0">
        <v>82</v>
      </c>
      <c r="M438" t="s" s="0">
        <v>82</v>
      </c>
      <c r="N438" t="s" s="0">
        <v>82</v>
      </c>
      <c r="O438" t="s" s="0">
        <v>10474</v>
      </c>
      <c r="P438" t="s" s="0">
        <v>10475</v>
      </c>
      <c r="Q438" t="s" s="0">
        <v>91</v>
      </c>
      <c r="R438" t="s" s="0">
        <v>82</v>
      </c>
      <c r="S438" t="s" s="0">
        <v>82</v>
      </c>
      <c r="T438" t="s" s="0">
        <v>82</v>
      </c>
      <c r="U438" t="s" s="0">
        <v>82</v>
      </c>
      <c r="V438" t="s" s="0">
        <v>10476</v>
      </c>
      <c r="W438" t="s" s="0">
        <v>10477</v>
      </c>
      <c r="X438" t="s" s="0">
        <v>82</v>
      </c>
      <c r="Y438" t="s" s="0">
        <v>82</v>
      </c>
      <c r="Z438" t="s" s="0">
        <v>94</v>
      </c>
      <c r="AA438" t="s" s="0">
        <v>95</v>
      </c>
      <c r="AB438" t="s" s="0">
        <v>82</v>
      </c>
      <c r="AC438" t="s" s="0">
        <v>82</v>
      </c>
      <c r="AD438" t="s" s="0">
        <v>82</v>
      </c>
      <c r="AE438" t="s" s="0">
        <v>82</v>
      </c>
      <c r="AF438" t="s" s="0">
        <v>82</v>
      </c>
      <c r="AG438" t="s" s="0">
        <v>10478</v>
      </c>
      <c r="AH438" t="s" s="0">
        <v>10479</v>
      </c>
      <c r="AI438" t="s" s="0">
        <v>82</v>
      </c>
      <c r="AJ438" t="s" s="0">
        <v>82</v>
      </c>
      <c r="AK438" t="s" s="0">
        <v>82</v>
      </c>
      <c r="AL438" t="s" s="0">
        <v>100</v>
      </c>
      <c r="AM438" t="s" s="0">
        <v>78</v>
      </c>
      <c r="AN438" t="s" s="0">
        <v>78</v>
      </c>
      <c r="AO438" t="s" s="0">
        <v>78</v>
      </c>
      <c r="AP438" t="s" s="0">
        <v>77</v>
      </c>
      <c r="AQ438" t="s" s="0">
        <v>1578</v>
      </c>
      <c r="AR438" t="s" s="0">
        <v>1579</v>
      </c>
      <c r="AS438" t="s" s="0">
        <v>1580</v>
      </c>
      <c r="AT438" t="s" s="0">
        <v>82</v>
      </c>
      <c r="AU438" t="s" s="0">
        <v>10480</v>
      </c>
      <c r="AV438" t="s" s="0">
        <v>82</v>
      </c>
      <c r="AW438" t="s" s="0">
        <v>10481</v>
      </c>
      <c r="AX438" t="s" s="0">
        <v>10482</v>
      </c>
      <c r="AY438" t="s" s="0">
        <v>147</v>
      </c>
      <c r="AZ438" t="s" s="0">
        <v>147</v>
      </c>
      <c r="BA438" t="s" s="0">
        <v>154</v>
      </c>
      <c r="BB438" t="s" s="0">
        <v>82</v>
      </c>
      <c r="BC438" t="s" s="0">
        <v>82</v>
      </c>
      <c r="BD438" t="s" s="0">
        <v>82</v>
      </c>
      <c r="BE438" t="s" s="0">
        <v>82</v>
      </c>
      <c r="BF438" t="s" s="0">
        <v>82</v>
      </c>
      <c r="BG438" t="s" s="0">
        <v>10483</v>
      </c>
      <c r="BH438" t="s" s="0">
        <v>10484</v>
      </c>
      <c r="BI438" t="s" s="0">
        <v>82</v>
      </c>
      <c r="BJ438" t="s" s="0">
        <v>10485</v>
      </c>
      <c r="BK438" t="s" s="871">
        <f>HYPERLINK("http://dx.doi.org/10.2147/IJGM.S498407","http://dx.doi.org/10.2147/IJGM.S498407")</f>
        <v>10486</v>
      </c>
      <c r="BL438" t="s" s="0">
        <v>82</v>
      </c>
      <c r="BM438" t="s" s="0">
        <v>82</v>
      </c>
      <c r="BN438" t="s" s="0">
        <v>640</v>
      </c>
      <c r="BO438" t="s" s="0">
        <v>354</v>
      </c>
      <c r="BP438" t="s" s="0">
        <v>355</v>
      </c>
      <c r="BQ438" t="s" s="0">
        <v>10487</v>
      </c>
      <c r="BR438" t="s" s="0">
        <v>10488</v>
      </c>
      <c r="BS438" t="s" s="0">
        <v>10489</v>
      </c>
      <c r="BT438" t="s" s="872">
        <f>HYPERLINK("https://www.webofscience.com/wos/woscc/full-record/WOS:001432701600001","View Record in Web of Science")</f>
        <v>120</v>
      </c>
      <c r="BU438" t="s" s="0">
        <v>4745</v>
      </c>
      <c r="BV438" t="s" s="0">
        <v>82</v>
      </c>
      <c r="BW438" t="s" s="0">
        <v>82</v>
      </c>
      <c r="BX438" t="s" s="0">
        <v>122</v>
      </c>
    </row>
    <row r="439">
      <c r="A439" t="s" s="0">
        <v>78</v>
      </c>
      <c r="B439" t="s" s="0">
        <v>78</v>
      </c>
      <c r="C439" t="s" s="0">
        <v>78</v>
      </c>
      <c r="D439" t="s" s="0">
        <v>78</v>
      </c>
      <c r="E439" t="s" s="0">
        <v>10490</v>
      </c>
      <c r="F439" t="s" s="0">
        <v>10491</v>
      </c>
      <c r="G439" t="s" s="0">
        <v>10492</v>
      </c>
      <c r="H439" t="s" s="0">
        <v>82</v>
      </c>
      <c r="I439" t="s" s="0">
        <v>83</v>
      </c>
      <c r="J439" t="s" s="0">
        <v>10493</v>
      </c>
      <c r="K439" t="s" s="0">
        <v>10494</v>
      </c>
      <c r="L439" t="s" s="0">
        <v>10495</v>
      </c>
      <c r="M439" t="s" s="0">
        <v>10496</v>
      </c>
      <c r="N439" t="s" s="0">
        <v>10497</v>
      </c>
      <c r="O439" t="s" s="0">
        <v>10498</v>
      </c>
      <c r="P439" t="s" s="0">
        <v>10499</v>
      </c>
      <c r="Q439" t="s" s="0">
        <v>91</v>
      </c>
      <c r="R439" t="s" s="0">
        <v>82</v>
      </c>
      <c r="S439" t="s" s="0">
        <v>82</v>
      </c>
      <c r="T439" t="s" s="0">
        <v>82</v>
      </c>
      <c r="U439" t="s" s="0">
        <v>82</v>
      </c>
      <c r="V439" t="s" s="0">
        <v>10500</v>
      </c>
      <c r="W439" t="s" s="0">
        <v>8395</v>
      </c>
      <c r="X439" t="s" s="0">
        <v>82</v>
      </c>
      <c r="Y439" t="s" s="0">
        <v>82</v>
      </c>
      <c r="Z439" t="s" s="0">
        <v>94</v>
      </c>
      <c r="AA439" t="s" s="0">
        <v>95</v>
      </c>
      <c r="AB439" t="s" s="0">
        <v>82</v>
      </c>
      <c r="AC439" t="s" s="0">
        <v>82</v>
      </c>
      <c r="AD439" t="s" s="0">
        <v>82</v>
      </c>
      <c r="AE439" t="s" s="0">
        <v>82</v>
      </c>
      <c r="AF439" t="s" s="0">
        <v>82</v>
      </c>
      <c r="AG439" t="s" s="0">
        <v>10501</v>
      </c>
      <c r="AH439" t="s" s="0">
        <v>10502</v>
      </c>
      <c r="AI439" t="s" s="0">
        <v>10503</v>
      </c>
      <c r="AJ439" t="s" s="0">
        <v>82</v>
      </c>
      <c r="AK439" t="s" s="0">
        <v>82</v>
      </c>
      <c r="AL439" t="s" s="0">
        <v>632</v>
      </c>
      <c r="AM439" t="s" s="0">
        <v>101</v>
      </c>
      <c r="AN439" t="s" s="0">
        <v>101</v>
      </c>
      <c r="AO439" t="s" s="0">
        <v>77</v>
      </c>
      <c r="AP439" t="s" s="0">
        <v>447</v>
      </c>
      <c r="AQ439" t="s" s="0">
        <v>103</v>
      </c>
      <c r="AR439" t="s" s="0">
        <v>104</v>
      </c>
      <c r="AS439" t="s" s="0">
        <v>105</v>
      </c>
      <c r="AT439" t="s" s="0">
        <v>82</v>
      </c>
      <c r="AU439" t="s" s="0">
        <v>8400</v>
      </c>
      <c r="AV439" t="s" s="0">
        <v>82</v>
      </c>
      <c r="AW439" t="s" s="0">
        <v>8401</v>
      </c>
      <c r="AX439" t="s" s="0">
        <v>8402</v>
      </c>
      <c r="AY439" t="s" s="0">
        <v>10504</v>
      </c>
      <c r="AZ439" t="s" s="0">
        <v>147</v>
      </c>
      <c r="BA439" t="s" s="0">
        <v>111</v>
      </c>
      <c r="BB439" t="s" s="0">
        <v>77</v>
      </c>
      <c r="BC439" t="s" s="0">
        <v>82</v>
      </c>
      <c r="BD439" t="s" s="0">
        <v>82</v>
      </c>
      <c r="BE439" t="s" s="0">
        <v>82</v>
      </c>
      <c r="BF439" t="s" s="0">
        <v>82</v>
      </c>
      <c r="BG439" t="s" s="0">
        <v>82</v>
      </c>
      <c r="BH439" t="s" s="0">
        <v>82</v>
      </c>
      <c r="BI439" t="s" s="0">
        <v>10505</v>
      </c>
      <c r="BJ439" t="s" s="0">
        <v>10506</v>
      </c>
      <c r="BK439" t="s" s="873">
        <f>HYPERLINK("http://dx.doi.org/10.1186/s12911-025-03203-4","http://dx.doi.org/10.1186/s12911-025-03203-4")</f>
        <v>10507</v>
      </c>
      <c r="BL439" t="s" s="0">
        <v>82</v>
      </c>
      <c r="BM439" t="s" s="0">
        <v>82</v>
      </c>
      <c r="BN439" t="s" s="0">
        <v>323</v>
      </c>
      <c r="BO439" t="s" s="0">
        <v>1815</v>
      </c>
      <c r="BP439" t="s" s="0">
        <v>1815</v>
      </c>
      <c r="BQ439" t="s" s="0">
        <v>10508</v>
      </c>
      <c r="BR439" t="s" s="0">
        <v>10509</v>
      </c>
      <c r="BS439" t="s" s="0">
        <v>10510</v>
      </c>
      <c r="BT439" t="s" s="874">
        <f>HYPERLINK("https://www.webofscience.com/wos/woscc/full-record/WOS:001589688600001","View Record in Web of Science")</f>
        <v>120</v>
      </c>
      <c r="BU439" t="s" s="0">
        <v>121</v>
      </c>
      <c r="BV439" t="s" s="0">
        <v>82</v>
      </c>
      <c r="BW439" t="s" s="0">
        <v>82</v>
      </c>
      <c r="BX439" t="s" s="0">
        <v>122</v>
      </c>
    </row>
    <row r="440">
      <c r="A440" t="s" s="0">
        <v>77</v>
      </c>
      <c r="B440" t="s" s="0">
        <v>78</v>
      </c>
      <c r="C440" t="s" s="0">
        <v>101</v>
      </c>
      <c r="D440" t="s" s="0">
        <v>78</v>
      </c>
      <c r="E440" t="s" s="0">
        <v>10511</v>
      </c>
      <c r="F440" t="s" s="0">
        <v>10512</v>
      </c>
      <c r="G440" t="s" s="0">
        <v>10513</v>
      </c>
      <c r="H440" t="s" s="0">
        <v>82</v>
      </c>
      <c r="I440" t="s" s="0">
        <v>83</v>
      </c>
      <c r="J440" t="s" s="0">
        <v>10514</v>
      </c>
      <c r="K440" t="s" s="0">
        <v>10515</v>
      </c>
      <c r="L440" t="s" s="0">
        <v>82</v>
      </c>
      <c r="M440" t="s" s="0">
        <v>82</v>
      </c>
      <c r="N440" t="s" s="0">
        <v>82</v>
      </c>
      <c r="O440" t="s" s="0">
        <v>10516</v>
      </c>
      <c r="P440" t="s" s="0">
        <v>10517</v>
      </c>
      <c r="Q440" t="s" s="0">
        <v>91</v>
      </c>
      <c r="R440" t="s" s="0">
        <v>82</v>
      </c>
      <c r="S440" t="s" s="0">
        <v>82</v>
      </c>
      <c r="T440" t="s" s="0">
        <v>82</v>
      </c>
      <c r="U440" t="s" s="0">
        <v>82</v>
      </c>
      <c r="V440" t="s" s="0">
        <v>10518</v>
      </c>
      <c r="W440" t="s" s="0">
        <v>10519</v>
      </c>
      <c r="X440" t="s" s="0">
        <v>82</v>
      </c>
      <c r="Y440" t="s" s="0">
        <v>82</v>
      </c>
      <c r="Z440" t="s" s="0">
        <v>94</v>
      </c>
      <c r="AA440" t="s" s="0">
        <v>95</v>
      </c>
      <c r="AB440" t="s" s="0">
        <v>82</v>
      </c>
      <c r="AC440" t="s" s="0">
        <v>82</v>
      </c>
      <c r="AD440" t="s" s="0">
        <v>82</v>
      </c>
      <c r="AE440" t="s" s="0">
        <v>82</v>
      </c>
      <c r="AF440" t="s" s="0">
        <v>82</v>
      </c>
      <c r="AG440" t="s" s="0">
        <v>10520</v>
      </c>
      <c r="AH440" t="s" s="0">
        <v>10521</v>
      </c>
      <c r="AI440" t="s" s="0">
        <v>10522</v>
      </c>
      <c r="AJ440" t="s" s="0">
        <v>82</v>
      </c>
      <c r="AK440" t="s" s="0">
        <v>82</v>
      </c>
      <c r="AL440" t="s" s="0">
        <v>344</v>
      </c>
      <c r="AM440" t="s" s="0">
        <v>136</v>
      </c>
      <c r="AN440" t="s" s="0">
        <v>319</v>
      </c>
      <c r="AO440" t="s" s="0">
        <v>77</v>
      </c>
      <c r="AP440" t="s" s="0">
        <v>349</v>
      </c>
      <c r="AQ440" t="s" s="0">
        <v>10523</v>
      </c>
      <c r="AR440" t="s" s="0">
        <v>10524</v>
      </c>
      <c r="AS440" t="s" s="0">
        <v>10525</v>
      </c>
      <c r="AT440" t="s" s="0">
        <v>10526</v>
      </c>
      <c r="AU440" t="s" s="0">
        <v>82</v>
      </c>
      <c r="AV440" t="s" s="0">
        <v>82</v>
      </c>
      <c r="AW440" t="s" s="0">
        <v>10527</v>
      </c>
      <c r="AX440" t="s" s="0">
        <v>10528</v>
      </c>
      <c r="AY440" t="s" s="0">
        <v>10529</v>
      </c>
      <c r="AZ440" t="s" s="0">
        <v>147</v>
      </c>
      <c r="BA440" t="s" s="0">
        <v>1186</v>
      </c>
      <c r="BB440" t="s" s="0">
        <v>447</v>
      </c>
      <c r="BC440" t="s" s="0">
        <v>82</v>
      </c>
      <c r="BD440" t="s" s="0">
        <v>82</v>
      </c>
      <c r="BE440" t="s" s="0">
        <v>82</v>
      </c>
      <c r="BF440" t="s" s="0">
        <v>82</v>
      </c>
      <c r="BG440" t="s" s="0">
        <v>82</v>
      </c>
      <c r="BH440" t="s" s="0">
        <v>82</v>
      </c>
      <c r="BI440" t="s" s="0">
        <v>10530</v>
      </c>
      <c r="BJ440" t="s" s="0">
        <v>10531</v>
      </c>
      <c r="BK440" t="s" s="875">
        <f>HYPERLINK("http://dx.doi.org/10.1016/j.aohep.2024.101585","http://dx.doi.org/10.1016/j.aohep.2024.101585")</f>
        <v>10532</v>
      </c>
      <c r="BL440" t="s" s="0">
        <v>82</v>
      </c>
      <c r="BM440" t="s" s="0">
        <v>1457</v>
      </c>
      <c r="BN440" t="s" s="0">
        <v>245</v>
      </c>
      <c r="BO440" t="s" s="0">
        <v>924</v>
      </c>
      <c r="BP440" t="s" s="0">
        <v>924</v>
      </c>
      <c r="BQ440" t="s" s="0">
        <v>10533</v>
      </c>
      <c r="BR440" t="s" s="0">
        <v>10534</v>
      </c>
      <c r="BS440" t="s" s="0">
        <v>10535</v>
      </c>
      <c r="BT440" t="s" s="876">
        <f>HYPERLINK("https://www.webofscience.com/wos/woscc/full-record/WOS:001350358500001","View Record in Web of Science")</f>
        <v>120</v>
      </c>
      <c r="BU440" t="s" s="0">
        <v>121</v>
      </c>
      <c r="BV440" t="s" s="0">
        <v>82</v>
      </c>
      <c r="BW440" t="s" s="0">
        <v>82</v>
      </c>
      <c r="BX440" t="s" s="0">
        <v>122</v>
      </c>
    </row>
    <row r="441">
      <c r="A441" t="s" s="0">
        <v>447</v>
      </c>
      <c r="B441" t="s" s="0">
        <v>78</v>
      </c>
      <c r="C441" t="s" s="0">
        <v>447</v>
      </c>
      <c r="D441" t="s" s="0">
        <v>78</v>
      </c>
      <c r="E441" t="s" s="0">
        <v>10536</v>
      </c>
      <c r="F441" t="s" s="0">
        <v>10537</v>
      </c>
      <c r="G441" t="s" s="0">
        <v>10538</v>
      </c>
      <c r="H441" t="s" s="0">
        <v>82</v>
      </c>
      <c r="I441" t="s" s="0">
        <v>83</v>
      </c>
      <c r="J441" t="s" s="0">
        <v>10539</v>
      </c>
      <c r="K441" t="s" s="0">
        <v>10540</v>
      </c>
      <c r="L441" t="s" s="0">
        <v>10541</v>
      </c>
      <c r="M441" t="s" s="0">
        <v>10541</v>
      </c>
      <c r="N441" t="s" s="0">
        <v>10542</v>
      </c>
      <c r="O441" t="s" s="0">
        <v>10543</v>
      </c>
      <c r="P441" t="s" s="0">
        <v>10544</v>
      </c>
      <c r="Q441" t="s" s="0">
        <v>91</v>
      </c>
      <c r="R441" t="s" s="0">
        <v>82</v>
      </c>
      <c r="S441" t="s" s="0">
        <v>82</v>
      </c>
      <c r="T441" t="s" s="0">
        <v>82</v>
      </c>
      <c r="U441" t="s" s="0">
        <v>82</v>
      </c>
      <c r="V441" t="s" s="0">
        <v>10545</v>
      </c>
      <c r="W441" t="s" s="0">
        <v>5619</v>
      </c>
      <c r="X441" t="s" s="0">
        <v>82</v>
      </c>
      <c r="Y441" t="s" s="0">
        <v>82</v>
      </c>
      <c r="Z441" t="s" s="0">
        <v>94</v>
      </c>
      <c r="AA441" t="s" s="0">
        <v>95</v>
      </c>
      <c r="AB441" t="s" s="0">
        <v>82</v>
      </c>
      <c r="AC441" t="s" s="0">
        <v>82</v>
      </c>
      <c r="AD441" t="s" s="0">
        <v>82</v>
      </c>
      <c r="AE441" t="s" s="0">
        <v>82</v>
      </c>
      <c r="AF441" t="s" s="0">
        <v>82</v>
      </c>
      <c r="AG441" t="s" s="0">
        <v>10546</v>
      </c>
      <c r="AH441" t="s" s="0">
        <v>10547</v>
      </c>
      <c r="AI441" t="s" s="0">
        <v>10548</v>
      </c>
      <c r="AJ441" t="s" s="0">
        <v>10549</v>
      </c>
      <c r="AK441" t="s" s="0">
        <v>82</v>
      </c>
      <c r="AL441" t="s" s="0">
        <v>1279</v>
      </c>
      <c r="AM441" t="s" s="0">
        <v>831</v>
      </c>
      <c r="AN441" t="s" s="0">
        <v>685</v>
      </c>
      <c r="AO441" t="s" s="0">
        <v>78</v>
      </c>
      <c r="AP441" t="s" s="0">
        <v>173</v>
      </c>
      <c r="AQ441" t="s" s="0">
        <v>2484</v>
      </c>
      <c r="AR441" t="s" s="0">
        <v>2485</v>
      </c>
      <c r="AS441" t="s" s="0">
        <v>2486</v>
      </c>
      <c r="AT441" t="s" s="0">
        <v>5623</v>
      </c>
      <c r="AU441" t="s" s="0">
        <v>82</v>
      </c>
      <c r="AV441" t="s" s="0">
        <v>82</v>
      </c>
      <c r="AW441" t="s" s="0">
        <v>5624</v>
      </c>
      <c r="AX441" t="s" s="0">
        <v>5625</v>
      </c>
      <c r="AY441" t="s" s="0">
        <v>10550</v>
      </c>
      <c r="AZ441" t="s" s="0">
        <v>408</v>
      </c>
      <c r="BA441" t="s" s="0">
        <v>319</v>
      </c>
      <c r="BB441" t="s" s="0">
        <v>82</v>
      </c>
      <c r="BC441" t="s" s="0">
        <v>82</v>
      </c>
      <c r="BD441" t="s" s="0">
        <v>82</v>
      </c>
      <c r="BE441" t="s" s="0">
        <v>82</v>
      </c>
      <c r="BF441" t="s" s="0">
        <v>82</v>
      </c>
      <c r="BG441" t="s" s="0">
        <v>82</v>
      </c>
      <c r="BH441" t="s" s="0">
        <v>82</v>
      </c>
      <c r="BI441" t="s" s="0">
        <v>10551</v>
      </c>
      <c r="BJ441" t="s" s="0">
        <v>10552</v>
      </c>
      <c r="BK441" t="s" s="877">
        <f>HYPERLINK("http://dx.doi.org/10.3389/fcvm.2022.1035675","http://dx.doi.org/10.3389/fcvm.2022.1035675")</f>
        <v>10553</v>
      </c>
      <c r="BL441" t="s" s="0">
        <v>82</v>
      </c>
      <c r="BM441" t="s" s="0">
        <v>82</v>
      </c>
      <c r="BN441" t="s" s="0">
        <v>323</v>
      </c>
      <c r="BO441" t="s" s="0">
        <v>503</v>
      </c>
      <c r="BP441" t="s" s="0">
        <v>504</v>
      </c>
      <c r="BQ441" t="s" s="0">
        <v>10554</v>
      </c>
      <c r="BR441" t="s" s="0">
        <v>10555</v>
      </c>
      <c r="BS441" t="s" s="0">
        <v>10556</v>
      </c>
      <c r="BT441" t="s" s="878">
        <f>HYPERLINK("https://www.webofscience.com/wos/woscc/full-record/WOS:000885140400001","View Record in Web of Science")</f>
        <v>120</v>
      </c>
      <c r="BU441" t="s" s="0">
        <v>121</v>
      </c>
      <c r="BV441" t="s" s="0">
        <v>82</v>
      </c>
      <c r="BW441" t="s" s="0">
        <v>82</v>
      </c>
      <c r="BX441" t="s" s="0">
        <v>122</v>
      </c>
    </row>
    <row r="442">
      <c r="A442" t="s" s="0">
        <v>78</v>
      </c>
      <c r="B442" t="s" s="0">
        <v>78</v>
      </c>
      <c r="C442" t="s" s="0">
        <v>77</v>
      </c>
      <c r="D442" t="s" s="0">
        <v>78</v>
      </c>
      <c r="E442" t="s" s="0">
        <v>10557</v>
      </c>
      <c r="F442" t="s" s="0">
        <v>10558</v>
      </c>
      <c r="G442" t="s" s="0">
        <v>10559</v>
      </c>
      <c r="H442" t="s" s="0">
        <v>82</v>
      </c>
      <c r="I442" t="s" s="0">
        <v>83</v>
      </c>
      <c r="J442" t="s" s="0">
        <v>10560</v>
      </c>
      <c r="K442" t="s" s="0">
        <v>10561</v>
      </c>
      <c r="L442" t="s" s="0">
        <v>10562</v>
      </c>
      <c r="M442" t="s" s="0">
        <v>5154</v>
      </c>
      <c r="N442" t="s" s="0">
        <v>10563</v>
      </c>
      <c r="O442" t="s" s="0">
        <v>10564</v>
      </c>
      <c r="P442" t="s" s="0">
        <v>4338</v>
      </c>
      <c r="Q442" t="s" s="0">
        <v>91</v>
      </c>
      <c r="R442" t="s" s="0">
        <v>82</v>
      </c>
      <c r="S442" t="s" s="0">
        <v>82</v>
      </c>
      <c r="T442" t="s" s="0">
        <v>82</v>
      </c>
      <c r="U442" t="s" s="0">
        <v>82</v>
      </c>
      <c r="V442" t="s" s="0">
        <v>10565</v>
      </c>
      <c r="W442" t="s" s="0">
        <v>10566</v>
      </c>
      <c r="X442" t="s" s="0">
        <v>82</v>
      </c>
      <c r="Y442" t="s" s="0">
        <v>82</v>
      </c>
      <c r="Z442" t="s" s="0">
        <v>94</v>
      </c>
      <c r="AA442" t="s" s="0">
        <v>95</v>
      </c>
      <c r="AB442" t="s" s="0">
        <v>82</v>
      </c>
      <c r="AC442" t="s" s="0">
        <v>82</v>
      </c>
      <c r="AD442" t="s" s="0">
        <v>82</v>
      </c>
      <c r="AE442" t="s" s="0">
        <v>82</v>
      </c>
      <c r="AF442" t="s" s="0">
        <v>82</v>
      </c>
      <c r="AG442" t="s" s="0">
        <v>10567</v>
      </c>
      <c r="AH442" t="s" s="0">
        <v>10568</v>
      </c>
      <c r="AI442" t="s" s="0">
        <v>10569</v>
      </c>
      <c r="AJ442" t="s" s="0">
        <v>10570</v>
      </c>
      <c r="AK442" t="s" s="0">
        <v>82</v>
      </c>
      <c r="AL442" t="s" s="0">
        <v>608</v>
      </c>
      <c r="AM442" t="s" s="0">
        <v>77</v>
      </c>
      <c r="AN442" t="s" s="0">
        <v>77</v>
      </c>
      <c r="AO442" t="s" s="0">
        <v>77</v>
      </c>
      <c r="AP442" t="s" s="0">
        <v>101</v>
      </c>
      <c r="AQ442" t="s" s="0">
        <v>2051</v>
      </c>
      <c r="AR442" t="s" s="0">
        <v>203</v>
      </c>
      <c r="AS442" t="s" s="0">
        <v>2052</v>
      </c>
      <c r="AT442" t="s" s="0">
        <v>10571</v>
      </c>
      <c r="AU442" t="s" s="0">
        <v>10572</v>
      </c>
      <c r="AV442" t="s" s="0">
        <v>82</v>
      </c>
      <c r="AW442" t="s" s="0">
        <v>10573</v>
      </c>
      <c r="AX442" t="s" s="0">
        <v>10574</v>
      </c>
      <c r="AY442" t="s" s="0">
        <v>1394</v>
      </c>
      <c r="AZ442" t="s" s="0">
        <v>147</v>
      </c>
      <c r="BA442" t="s" s="0">
        <v>111</v>
      </c>
      <c r="BB442" t="s" s="0">
        <v>101</v>
      </c>
      <c r="BC442" t="s" s="0">
        <v>82</v>
      </c>
      <c r="BD442" t="s" s="0">
        <v>82</v>
      </c>
      <c r="BE442" t="s" s="0">
        <v>82</v>
      </c>
      <c r="BF442" t="s" s="0">
        <v>82</v>
      </c>
      <c r="BG442" t="s" s="0">
        <v>10575</v>
      </c>
      <c r="BH442" t="s" s="0">
        <v>10576</v>
      </c>
      <c r="BI442" t="s" s="0">
        <v>82</v>
      </c>
      <c r="BJ442" t="s" s="0">
        <v>10577</v>
      </c>
      <c r="BK442" t="s" s="879">
        <f>HYPERLINK("http://dx.doi.org/10.3758/s13415-025-01268-2","http://dx.doi.org/10.3758/s13415-025-01268-2")</f>
        <v>10578</v>
      </c>
      <c r="BL442" t="s" s="0">
        <v>82</v>
      </c>
      <c r="BM442" t="s" s="0">
        <v>3527</v>
      </c>
      <c r="BN442" t="s" s="0">
        <v>154</v>
      </c>
      <c r="BO442" t="s" s="0">
        <v>10579</v>
      </c>
      <c r="BP442" t="s" s="0">
        <v>10580</v>
      </c>
      <c r="BQ442" t="s" s="0">
        <v>10581</v>
      </c>
      <c r="BR442" t="s" s="0">
        <v>10582</v>
      </c>
      <c r="BS442" t="s" s="0">
        <v>10583</v>
      </c>
      <c r="BT442" t="s" s="880">
        <f>HYPERLINK("https://www.webofscience.com/wos/woscc/full-record/WOS:001424193200001","View Record in Web of Science")</f>
        <v>120</v>
      </c>
      <c r="BU442" t="s" s="0">
        <v>256</v>
      </c>
      <c r="BV442" t="s" s="0">
        <v>82</v>
      </c>
      <c r="BW442" t="s" s="0">
        <v>82</v>
      </c>
      <c r="BX442" t="s" s="0">
        <v>122</v>
      </c>
    </row>
    <row r="443">
      <c r="A443" t="s" s="0">
        <v>78</v>
      </c>
      <c r="B443" t="s" s="0">
        <v>78</v>
      </c>
      <c r="C443" t="s" s="0">
        <v>78</v>
      </c>
      <c r="D443" t="s" s="0">
        <v>78</v>
      </c>
      <c r="E443" t="s" s="0">
        <v>10584</v>
      </c>
      <c r="F443" t="s" s="0">
        <v>10585</v>
      </c>
      <c r="G443" t="s" s="0">
        <v>10586</v>
      </c>
      <c r="H443" t="s" s="0">
        <v>82</v>
      </c>
      <c r="I443" t="s" s="0">
        <v>83</v>
      </c>
      <c r="J443" t="s" s="0">
        <v>10587</v>
      </c>
      <c r="K443" t="s" s="0">
        <v>10588</v>
      </c>
      <c r="L443" t="s" s="0">
        <v>10589</v>
      </c>
      <c r="M443" t="s" s="0">
        <v>10590</v>
      </c>
      <c r="N443" t="s" s="0">
        <v>10591</v>
      </c>
      <c r="O443" t="s" s="0">
        <v>10592</v>
      </c>
      <c r="P443" t="s" s="0">
        <v>10593</v>
      </c>
      <c r="Q443" t="s" s="0">
        <v>91</v>
      </c>
      <c r="R443" t="s" s="0">
        <v>82</v>
      </c>
      <c r="S443" t="s" s="0">
        <v>82</v>
      </c>
      <c r="T443" t="s" s="0">
        <v>82</v>
      </c>
      <c r="U443" t="s" s="0">
        <v>82</v>
      </c>
      <c r="V443" t="s" s="0">
        <v>10594</v>
      </c>
      <c r="W443" t="s" s="0">
        <v>1623</v>
      </c>
      <c r="X443" t="s" s="0">
        <v>82</v>
      </c>
      <c r="Y443" t="s" s="0">
        <v>82</v>
      </c>
      <c r="Z443" t="s" s="0">
        <v>94</v>
      </c>
      <c r="AA443" t="s" s="0">
        <v>95</v>
      </c>
      <c r="AB443" t="s" s="0">
        <v>82</v>
      </c>
      <c r="AC443" t="s" s="0">
        <v>82</v>
      </c>
      <c r="AD443" t="s" s="0">
        <v>82</v>
      </c>
      <c r="AE443" t="s" s="0">
        <v>82</v>
      </c>
      <c r="AF443" t="s" s="0">
        <v>82</v>
      </c>
      <c r="AG443" t="s" s="0">
        <v>10595</v>
      </c>
      <c r="AH443" t="s" s="0">
        <v>10596</v>
      </c>
      <c r="AI443" t="s" s="0">
        <v>10597</v>
      </c>
      <c r="AJ443" t="s" s="0">
        <v>10598</v>
      </c>
      <c r="AK443" t="s" s="0">
        <v>82</v>
      </c>
      <c r="AL443" t="s" s="0">
        <v>1279</v>
      </c>
      <c r="AM443" t="s" s="0">
        <v>115</v>
      </c>
      <c r="AN443" t="s" s="0">
        <v>154</v>
      </c>
      <c r="AO443" t="s" s="0">
        <v>77</v>
      </c>
      <c r="AP443" t="s" s="0">
        <v>319</v>
      </c>
      <c r="AQ443" t="s" s="0">
        <v>312</v>
      </c>
      <c r="AR443" t="s" s="0">
        <v>313</v>
      </c>
      <c r="AS443" t="s" s="0">
        <v>549</v>
      </c>
      <c r="AT443" t="s" s="0">
        <v>82</v>
      </c>
      <c r="AU443" t="s" s="0">
        <v>1629</v>
      </c>
      <c r="AV443" t="s" s="0">
        <v>82</v>
      </c>
      <c r="AW443" t="s" s="0">
        <v>1623</v>
      </c>
      <c r="AX443" t="s" s="0">
        <v>1630</v>
      </c>
      <c r="AY443" t="s" s="0">
        <v>2658</v>
      </c>
      <c r="AZ443" t="s" s="0">
        <v>408</v>
      </c>
      <c r="BA443" t="s" s="0">
        <v>149</v>
      </c>
      <c r="BB443" t="s" s="0">
        <v>102</v>
      </c>
      <c r="BC443" t="s" s="0">
        <v>82</v>
      </c>
      <c r="BD443" t="s" s="0">
        <v>82</v>
      </c>
      <c r="BE443" t="s" s="0">
        <v>82</v>
      </c>
      <c r="BF443" t="s" s="0">
        <v>82</v>
      </c>
      <c r="BG443" t="s" s="0">
        <v>82</v>
      </c>
      <c r="BH443" t="s" s="0">
        <v>82</v>
      </c>
      <c r="BI443" t="s" s="0">
        <v>6183</v>
      </c>
      <c r="BJ443" t="s" s="0">
        <v>10599</v>
      </c>
      <c r="BK443" t="s" s="881">
        <f>HYPERLINK("http://dx.doi.org/10.3390/life12040604","http://dx.doi.org/10.3390/life12040604")</f>
        <v>10600</v>
      </c>
      <c r="BL443" t="s" s="0">
        <v>82</v>
      </c>
      <c r="BM443" t="s" s="0">
        <v>82</v>
      </c>
      <c r="BN443" t="s" s="0">
        <v>640</v>
      </c>
      <c r="BO443" t="s" s="0">
        <v>1635</v>
      </c>
      <c r="BP443" t="s" s="0">
        <v>1636</v>
      </c>
      <c r="BQ443" t="s" s="0">
        <v>10601</v>
      </c>
      <c r="BR443" t="s" s="0">
        <v>10602</v>
      </c>
      <c r="BS443" t="s" s="0">
        <v>10603</v>
      </c>
      <c r="BT443" t="s" s="882">
        <f>HYPERLINK("https://www.webofscience.com/wos/woscc/full-record/WOS:000785072100001","View Record in Web of Science")</f>
        <v>120</v>
      </c>
      <c r="BU443" t="s" s="0">
        <v>121</v>
      </c>
      <c r="BV443" t="s" s="0">
        <v>82</v>
      </c>
      <c r="BW443" t="s" s="0">
        <v>82</v>
      </c>
      <c r="BX443" t="s" s="0">
        <v>122</v>
      </c>
    </row>
    <row r="444">
      <c r="A444" t="s" s="0">
        <v>78</v>
      </c>
      <c r="B444" t="s" s="0">
        <v>78</v>
      </c>
      <c r="C444" t="s" s="0">
        <v>78</v>
      </c>
      <c r="D444" t="s" s="0">
        <v>78</v>
      </c>
      <c r="E444" t="s" s="0">
        <v>10604</v>
      </c>
      <c r="F444" t="s" s="0">
        <v>10605</v>
      </c>
      <c r="G444" t="s" s="0">
        <v>10606</v>
      </c>
      <c r="H444" t="s" s="0">
        <v>82</v>
      </c>
      <c r="I444" t="s" s="0">
        <v>83</v>
      </c>
      <c r="J444" t="s" s="0">
        <v>10607</v>
      </c>
      <c r="K444" t="s" s="0">
        <v>10608</v>
      </c>
      <c r="L444" t="s" s="0">
        <v>10609</v>
      </c>
      <c r="M444" t="s" s="0">
        <v>10610</v>
      </c>
      <c r="N444" t="s" s="0">
        <v>10611</v>
      </c>
      <c r="O444" t="s" s="0">
        <v>10612</v>
      </c>
      <c r="P444" t="s" s="0">
        <v>10613</v>
      </c>
      <c r="Q444" t="s" s="0">
        <v>91</v>
      </c>
      <c r="R444" t="s" s="0">
        <v>82</v>
      </c>
      <c r="S444" t="s" s="0">
        <v>82</v>
      </c>
      <c r="T444" t="s" s="0">
        <v>82</v>
      </c>
      <c r="U444" t="s" s="0">
        <v>82</v>
      </c>
      <c r="V444" t="s" s="0">
        <v>10614</v>
      </c>
      <c r="W444" t="s" s="0">
        <v>4704</v>
      </c>
      <c r="X444" t="s" s="0">
        <v>82</v>
      </c>
      <c r="Y444" t="s" s="0">
        <v>82</v>
      </c>
      <c r="Z444" t="s" s="0">
        <v>94</v>
      </c>
      <c r="AA444" t="s" s="0">
        <v>95</v>
      </c>
      <c r="AB444" t="s" s="0">
        <v>82</v>
      </c>
      <c r="AC444" t="s" s="0">
        <v>82</v>
      </c>
      <c r="AD444" t="s" s="0">
        <v>82</v>
      </c>
      <c r="AE444" t="s" s="0">
        <v>82</v>
      </c>
      <c r="AF444" t="s" s="0">
        <v>82</v>
      </c>
      <c r="AG444" t="s" s="0">
        <v>10615</v>
      </c>
      <c r="AH444" t="s" s="0">
        <v>10616</v>
      </c>
      <c r="AI444" t="s" s="0">
        <v>10617</v>
      </c>
      <c r="AJ444" t="s" s="0">
        <v>82</v>
      </c>
      <c r="AK444" t="s" s="0">
        <v>82</v>
      </c>
      <c r="AL444" t="s" s="0">
        <v>4685</v>
      </c>
      <c r="AM444" t="s" s="0">
        <v>221</v>
      </c>
      <c r="AN444" t="s" s="0">
        <v>221</v>
      </c>
      <c r="AO444" t="s" s="0">
        <v>102</v>
      </c>
      <c r="AP444" t="s" s="0">
        <v>399</v>
      </c>
      <c r="AQ444" t="s" s="0">
        <v>400</v>
      </c>
      <c r="AR444" t="s" s="0">
        <v>401</v>
      </c>
      <c r="AS444" t="s" s="0">
        <v>402</v>
      </c>
      <c r="AT444" t="s" s="0">
        <v>4707</v>
      </c>
      <c r="AU444" t="s" s="0">
        <v>4708</v>
      </c>
      <c r="AV444" t="s" s="0">
        <v>82</v>
      </c>
      <c r="AW444" t="s" s="0">
        <v>4709</v>
      </c>
      <c r="AX444" t="s" s="0">
        <v>4710</v>
      </c>
      <c r="AY444" t="s" s="0">
        <v>1425</v>
      </c>
      <c r="AZ444" t="s" s="0">
        <v>147</v>
      </c>
      <c r="BA444" t="s" s="0">
        <v>10618</v>
      </c>
      <c r="BB444" t="s" s="0">
        <v>82</v>
      </c>
      <c r="BC444" t="s" s="0">
        <v>82</v>
      </c>
      <c r="BD444" t="s" s="0">
        <v>82</v>
      </c>
      <c r="BE444" t="s" s="0">
        <v>82</v>
      </c>
      <c r="BF444" t="s" s="0">
        <v>82</v>
      </c>
      <c r="BG444" t="s" s="0">
        <v>82</v>
      </c>
      <c r="BH444" t="s" s="0">
        <v>82</v>
      </c>
      <c r="BI444" t="s" s="0">
        <v>10619</v>
      </c>
      <c r="BJ444" t="s" s="0">
        <v>10620</v>
      </c>
      <c r="BK444" t="s" s="883">
        <f>HYPERLINK("http://dx.doi.org/10.1016/j.ijmedinf.2025.106000","http://dx.doi.org/10.1016/j.ijmedinf.2025.106000")</f>
        <v>10621</v>
      </c>
      <c r="BL444" t="s" s="0">
        <v>82</v>
      </c>
      <c r="BM444" t="s" s="0">
        <v>1394</v>
      </c>
      <c r="BN444" t="s" s="0">
        <v>115</v>
      </c>
      <c r="BO444" t="s" s="0">
        <v>4716</v>
      </c>
      <c r="BP444" t="s" s="0">
        <v>4717</v>
      </c>
      <c r="BQ444" t="s" s="0">
        <v>10622</v>
      </c>
      <c r="BR444" t="s" s="0">
        <v>10623</v>
      </c>
      <c r="BS444" t="s" s="0">
        <v>10624</v>
      </c>
      <c r="BT444" t="s" s="884">
        <f>HYPERLINK("https://www.webofscience.com/wos/woscc/full-record/WOS:001512872300001","View Record in Web of Science")</f>
        <v>120</v>
      </c>
      <c r="BU444" t="s" s="0">
        <v>82</v>
      </c>
      <c r="BV444" t="s" s="0">
        <v>82</v>
      </c>
      <c r="BW444" t="s" s="0">
        <v>82</v>
      </c>
      <c r="BX444" t="s" s="0">
        <v>122</v>
      </c>
    </row>
    <row r="445">
      <c r="A445" t="s" s="0">
        <v>78</v>
      </c>
      <c r="B445" t="s" s="0">
        <v>78</v>
      </c>
      <c r="C445" t="s" s="0">
        <v>78</v>
      </c>
      <c r="D445" t="s" s="0">
        <v>78</v>
      </c>
      <c r="E445" t="s" s="0">
        <v>10625</v>
      </c>
      <c r="F445" t="s" s="0">
        <v>10626</v>
      </c>
      <c r="G445" t="s" s="0">
        <v>10627</v>
      </c>
      <c r="H445" t="s" s="0">
        <v>82</v>
      </c>
      <c r="I445" t="s" s="0">
        <v>83</v>
      </c>
      <c r="J445" t="s" s="0">
        <v>10628</v>
      </c>
      <c r="K445" t="s" s="0">
        <v>10629</v>
      </c>
      <c r="L445" t="s" s="0">
        <v>10630</v>
      </c>
      <c r="M445" t="s" s="0">
        <v>10631</v>
      </c>
      <c r="N445" t="s" s="0">
        <v>10632</v>
      </c>
      <c r="O445" t="s" s="0">
        <v>10633</v>
      </c>
      <c r="P445" t="s" s="0">
        <v>10634</v>
      </c>
      <c r="Q445" t="s" s="0">
        <v>91</v>
      </c>
      <c r="R445" t="s" s="0">
        <v>82</v>
      </c>
      <c r="S445" t="s" s="0">
        <v>82</v>
      </c>
      <c r="T445" t="s" s="0">
        <v>82</v>
      </c>
      <c r="U445" t="s" s="0">
        <v>82</v>
      </c>
      <c r="V445" t="s" s="0">
        <v>10635</v>
      </c>
      <c r="W445" t="s" s="0">
        <v>3565</v>
      </c>
      <c r="X445" t="s" s="0">
        <v>82</v>
      </c>
      <c r="Y445" t="s" s="0">
        <v>82</v>
      </c>
      <c r="Z445" t="s" s="0">
        <v>94</v>
      </c>
      <c r="AA445" t="s" s="0">
        <v>95</v>
      </c>
      <c r="AB445" t="s" s="0">
        <v>82</v>
      </c>
      <c r="AC445" t="s" s="0">
        <v>82</v>
      </c>
      <c r="AD445" t="s" s="0">
        <v>82</v>
      </c>
      <c r="AE445" t="s" s="0">
        <v>82</v>
      </c>
      <c r="AF445" t="s" s="0">
        <v>82</v>
      </c>
      <c r="AG445" t="s" s="0">
        <v>10636</v>
      </c>
      <c r="AH445" t="s" s="0">
        <v>10637</v>
      </c>
      <c r="AI445" t="s" s="0">
        <v>82</v>
      </c>
      <c r="AJ445" t="s" s="0">
        <v>82</v>
      </c>
      <c r="AK445" t="s" s="0">
        <v>82</v>
      </c>
      <c r="AL445" t="s" s="0">
        <v>1658</v>
      </c>
      <c r="AM445" t="s" s="0">
        <v>78</v>
      </c>
      <c r="AN445" t="s" s="0">
        <v>78</v>
      </c>
      <c r="AO445" t="s" s="0">
        <v>78</v>
      </c>
      <c r="AP445" t="s" s="0">
        <v>78</v>
      </c>
      <c r="AQ445" t="s" s="0">
        <v>2484</v>
      </c>
      <c r="AR445" t="s" s="0">
        <v>2485</v>
      </c>
      <c r="AS445" t="s" s="0">
        <v>2486</v>
      </c>
      <c r="AT445" t="s" s="0">
        <v>82</v>
      </c>
      <c r="AU445" t="s" s="0">
        <v>3568</v>
      </c>
      <c r="AV445" t="s" s="0">
        <v>82</v>
      </c>
      <c r="AW445" t="s" s="0">
        <v>3569</v>
      </c>
      <c r="AX445" t="s" s="0">
        <v>3570</v>
      </c>
      <c r="AY445" t="s" s="0">
        <v>10638</v>
      </c>
      <c r="AZ445" t="s" s="0">
        <v>181</v>
      </c>
      <c r="BA445" t="s" s="0">
        <v>149</v>
      </c>
      <c r="BB445" t="s" s="0">
        <v>82</v>
      </c>
      <c r="BC445" t="s" s="0">
        <v>82</v>
      </c>
      <c r="BD445" t="s" s="0">
        <v>82</v>
      </c>
      <c r="BE445" t="s" s="0">
        <v>82</v>
      </c>
      <c r="BF445" t="s" s="0">
        <v>82</v>
      </c>
      <c r="BG445" t="s" s="0">
        <v>82</v>
      </c>
      <c r="BH445" t="s" s="0">
        <v>82</v>
      </c>
      <c r="BI445" t="s" s="0">
        <v>10639</v>
      </c>
      <c r="BJ445" t="s" s="0">
        <v>10640</v>
      </c>
      <c r="BK445" t="s" s="885">
        <f>HYPERLINK("http://dx.doi.org/10.3389/fmed.2025.1717973","http://dx.doi.org/10.3389/fmed.2025.1717973")</f>
        <v>10641</v>
      </c>
      <c r="BL445" t="s" s="0">
        <v>82</v>
      </c>
      <c r="BM445" t="s" s="0">
        <v>82</v>
      </c>
      <c r="BN445" t="s" s="0">
        <v>115</v>
      </c>
      <c r="BO445" t="s" s="0">
        <v>354</v>
      </c>
      <c r="BP445" t="s" s="0">
        <v>355</v>
      </c>
      <c r="BQ445" t="s" s="0">
        <v>10642</v>
      </c>
      <c r="BR445" t="s" s="0">
        <v>10643</v>
      </c>
      <c r="BS445" t="s" s="0">
        <v>10644</v>
      </c>
      <c r="BT445" t="s" s="886">
        <f>HYPERLINK("https://www.webofscience.com/wos/woscc/full-record/WOS:001677769100001","View Record in Web of Science")</f>
        <v>120</v>
      </c>
      <c r="BU445" t="s" s="0">
        <v>121</v>
      </c>
      <c r="BV445" t="s" s="0">
        <v>82</v>
      </c>
      <c r="BW445" t="s" s="0">
        <v>82</v>
      </c>
      <c r="BX445" t="s" s="0">
        <v>122</v>
      </c>
    </row>
    <row r="446">
      <c r="A446" t="s" s="0">
        <v>78</v>
      </c>
      <c r="B446" t="s" s="0">
        <v>78</v>
      </c>
      <c r="C446" t="s" s="0">
        <v>78</v>
      </c>
      <c r="D446" t="s" s="0">
        <v>78</v>
      </c>
      <c r="E446" t="s" s="0">
        <v>10645</v>
      </c>
      <c r="F446" t="s" s="0">
        <v>10646</v>
      </c>
      <c r="G446" t="s" s="0">
        <v>10647</v>
      </c>
      <c r="H446" t="s" s="0">
        <v>82</v>
      </c>
      <c r="I446" t="s" s="0">
        <v>83</v>
      </c>
      <c r="J446" t="s" s="0">
        <v>10648</v>
      </c>
      <c r="K446" t="s" s="0">
        <v>10649</v>
      </c>
      <c r="L446" t="s" s="0">
        <v>82</v>
      </c>
      <c r="M446" t="s" s="0">
        <v>82</v>
      </c>
      <c r="N446" t="s" s="0">
        <v>82</v>
      </c>
      <c r="O446" t="s" s="0">
        <v>10650</v>
      </c>
      <c r="P446" t="s" s="0">
        <v>10651</v>
      </c>
      <c r="Q446" t="s" s="0">
        <v>91</v>
      </c>
      <c r="R446" t="s" s="0">
        <v>82</v>
      </c>
      <c r="S446" t="s" s="0">
        <v>82</v>
      </c>
      <c r="T446" t="s" s="0">
        <v>82</v>
      </c>
      <c r="U446" t="s" s="0">
        <v>82</v>
      </c>
      <c r="V446" t="s" s="0">
        <v>10652</v>
      </c>
      <c r="W446" t="s" s="0">
        <v>10653</v>
      </c>
      <c r="X446" t="s" s="0">
        <v>82</v>
      </c>
      <c r="Y446" t="s" s="0">
        <v>82</v>
      </c>
      <c r="Z446" t="s" s="0">
        <v>94</v>
      </c>
      <c r="AA446" t="s" s="0">
        <v>95</v>
      </c>
      <c r="AB446" t="s" s="0">
        <v>82</v>
      </c>
      <c r="AC446" t="s" s="0">
        <v>82</v>
      </c>
      <c r="AD446" t="s" s="0">
        <v>82</v>
      </c>
      <c r="AE446" t="s" s="0">
        <v>82</v>
      </c>
      <c r="AF446" t="s" s="0">
        <v>82</v>
      </c>
      <c r="AG446" t="s" s="0">
        <v>10654</v>
      </c>
      <c r="AH446" t="s" s="0">
        <v>82</v>
      </c>
      <c r="AI446" t="s" s="0">
        <v>82</v>
      </c>
      <c r="AJ446" t="s" s="0">
        <v>82</v>
      </c>
      <c r="AK446" t="s" s="0">
        <v>82</v>
      </c>
      <c r="AL446" t="s" s="0">
        <v>1320</v>
      </c>
      <c r="AM446" t="s" s="0">
        <v>447</v>
      </c>
      <c r="AN446" t="s" s="0">
        <v>447</v>
      </c>
      <c r="AO446" t="s" s="0">
        <v>77</v>
      </c>
      <c r="AP446" t="s" s="0">
        <v>77</v>
      </c>
      <c r="AQ446" t="s" s="0">
        <v>4242</v>
      </c>
      <c r="AR446" t="s" s="0">
        <v>4243</v>
      </c>
      <c r="AS446" t="s" s="0">
        <v>4244</v>
      </c>
      <c r="AT446" t="s" s="0">
        <v>10655</v>
      </c>
      <c r="AU446" t="s" s="0">
        <v>10656</v>
      </c>
      <c r="AV446" t="s" s="0">
        <v>82</v>
      </c>
      <c r="AW446" t="s" s="0">
        <v>10653</v>
      </c>
      <c r="AX446" t="s" s="0">
        <v>10657</v>
      </c>
      <c r="AY446" t="s" s="0">
        <v>181</v>
      </c>
      <c r="AZ446" t="s" s="0">
        <v>181</v>
      </c>
      <c r="BA446" t="s" s="0">
        <v>1502</v>
      </c>
      <c r="BB446" t="s" s="0">
        <v>82</v>
      </c>
      <c r="BC446" t="s" s="0">
        <v>82</v>
      </c>
      <c r="BD446" t="s" s="0">
        <v>82</v>
      </c>
      <c r="BE446" t="s" s="0">
        <v>82</v>
      </c>
      <c r="BF446" t="s" s="0">
        <v>82</v>
      </c>
      <c r="BG446" t="s" s="0">
        <v>82</v>
      </c>
      <c r="BH446" t="s" s="0">
        <v>82</v>
      </c>
      <c r="BI446" t="s" s="0">
        <v>10658</v>
      </c>
      <c r="BJ446" t="s" s="0">
        <v>10659</v>
      </c>
      <c r="BK446" t="s" s="887">
        <f>HYPERLINK("http://dx.doi.org/10.1177/10732748261419190","http://dx.doi.org/10.1177/10732748261419190")</f>
        <v>10660</v>
      </c>
      <c r="BL446" t="s" s="0">
        <v>82</v>
      </c>
      <c r="BM446" t="s" s="0">
        <v>82</v>
      </c>
      <c r="BN446" t="s" s="0">
        <v>1320</v>
      </c>
      <c r="BO446" t="s" s="0">
        <v>4833</v>
      </c>
      <c r="BP446" t="s" s="0">
        <v>4833</v>
      </c>
      <c r="BQ446" t="s" s="0">
        <v>10661</v>
      </c>
      <c r="BR446" t="s" s="0">
        <v>10662</v>
      </c>
      <c r="BS446" t="s" s="0">
        <v>10663</v>
      </c>
      <c r="BT446" t="s" s="888">
        <f>HYPERLINK("https://www.webofscience.com/wos/woscc/full-record/WOS:001665623200001","View Record in Web of Science")</f>
        <v>120</v>
      </c>
      <c r="BU446" t="s" s="0">
        <v>121</v>
      </c>
      <c r="BV446" t="s" s="0">
        <v>82</v>
      </c>
      <c r="BW446" t="s" s="0">
        <v>82</v>
      </c>
      <c r="BX446" t="s" s="0">
        <v>122</v>
      </c>
    </row>
    <row r="447">
      <c r="A447" t="s" s="0">
        <v>78</v>
      </c>
      <c r="B447" t="s" s="0">
        <v>78</v>
      </c>
      <c r="C447" t="s" s="0">
        <v>78</v>
      </c>
      <c r="D447" t="s" s="0">
        <v>78</v>
      </c>
      <c r="E447" t="s" s="0">
        <v>10664</v>
      </c>
      <c r="F447" t="s" s="0">
        <v>10665</v>
      </c>
      <c r="G447" t="s" s="0">
        <v>10666</v>
      </c>
      <c r="H447" t="s" s="0">
        <v>82</v>
      </c>
      <c r="I447" t="s" s="0">
        <v>297</v>
      </c>
      <c r="J447" t="s" s="0">
        <v>10667</v>
      </c>
      <c r="K447" t="s" s="0">
        <v>10668</v>
      </c>
      <c r="L447" t="s" s="0">
        <v>82</v>
      </c>
      <c r="M447" t="s" s="0">
        <v>82</v>
      </c>
      <c r="N447" t="s" s="0">
        <v>82</v>
      </c>
      <c r="O447" t="s" s="0">
        <v>10669</v>
      </c>
      <c r="P447" t="s" s="0">
        <v>82</v>
      </c>
      <c r="Q447" t="s" s="0">
        <v>91</v>
      </c>
      <c r="R447" t="s" s="0">
        <v>82</v>
      </c>
      <c r="S447" t="s" s="0">
        <v>82</v>
      </c>
      <c r="T447" t="s" s="0">
        <v>82</v>
      </c>
      <c r="U447" t="s" s="0">
        <v>82</v>
      </c>
      <c r="V447" t="s" s="0">
        <v>10670</v>
      </c>
      <c r="W447" t="s" s="0">
        <v>10671</v>
      </c>
      <c r="X447" t="s" s="0">
        <v>82</v>
      </c>
      <c r="Y447" t="s" s="0">
        <v>82</v>
      </c>
      <c r="Z447" t="s" s="0">
        <v>94</v>
      </c>
      <c r="AA447" t="s" s="0">
        <v>95</v>
      </c>
      <c r="AB447" t="s" s="0">
        <v>82</v>
      </c>
      <c r="AC447" t="s" s="0">
        <v>82</v>
      </c>
      <c r="AD447" t="s" s="0">
        <v>82</v>
      </c>
      <c r="AE447" t="s" s="0">
        <v>82</v>
      </c>
      <c r="AF447" t="s" s="0">
        <v>82</v>
      </c>
      <c r="AG447" t="s" s="0">
        <v>10672</v>
      </c>
      <c r="AH447" t="s" s="0">
        <v>82</v>
      </c>
      <c r="AI447" t="s" s="0">
        <v>82</v>
      </c>
      <c r="AJ447" t="s" s="0">
        <v>82</v>
      </c>
      <c r="AK447" t="s" s="0">
        <v>82</v>
      </c>
      <c r="AL447" t="s" s="0">
        <v>1320</v>
      </c>
      <c r="AM447" t="s" s="0">
        <v>78</v>
      </c>
      <c r="AN447" t="s" s="0">
        <v>78</v>
      </c>
      <c r="AO447" t="s" s="0">
        <v>78</v>
      </c>
      <c r="AP447" t="s" s="0">
        <v>78</v>
      </c>
      <c r="AQ447" t="s" s="0">
        <v>10673</v>
      </c>
      <c r="AR447" t="s" s="0">
        <v>10674</v>
      </c>
      <c r="AS447" t="s" s="0">
        <v>10675</v>
      </c>
      <c r="AT447" t="s" s="0">
        <v>10676</v>
      </c>
      <c r="AU447" t="s" s="0">
        <v>10677</v>
      </c>
      <c r="AV447" t="s" s="0">
        <v>82</v>
      </c>
      <c r="AW447" t="s" s="0">
        <v>10678</v>
      </c>
      <c r="AX447" t="s" s="0">
        <v>10679</v>
      </c>
      <c r="AY447" t="s" s="0">
        <v>3226</v>
      </c>
      <c r="AZ447" t="s" s="0">
        <v>181</v>
      </c>
      <c r="BA447" t="s" s="0">
        <v>1186</v>
      </c>
      <c r="BB447" t="s" s="0">
        <v>138</v>
      </c>
      <c r="BC447" t="s" s="0">
        <v>82</v>
      </c>
      <c r="BD447" t="s" s="0">
        <v>82</v>
      </c>
      <c r="BE447" t="s" s="0">
        <v>82</v>
      </c>
      <c r="BF447" t="s" s="0">
        <v>82</v>
      </c>
      <c r="BG447" t="s" s="0">
        <v>10680</v>
      </c>
      <c r="BH447" t="s" s="0">
        <v>10681</v>
      </c>
      <c r="BI447" t="s" s="0">
        <v>82</v>
      </c>
      <c r="BJ447" t="s" s="0">
        <v>10682</v>
      </c>
      <c r="BK447" t="s" s="889">
        <f>HYPERLINK("http://dx.doi.org/10.5005/jp-journals-10071-25242","http://dx.doi.org/10.5005/jp-journals-10071-25242")</f>
        <v>10683</v>
      </c>
      <c r="BL447" t="s" s="0">
        <v>82</v>
      </c>
      <c r="BM447" t="s" s="0">
        <v>82</v>
      </c>
      <c r="BN447" t="s" s="0">
        <v>136</v>
      </c>
      <c r="BO447" t="s" s="0">
        <v>2920</v>
      </c>
      <c r="BP447" t="s" s="0">
        <v>355</v>
      </c>
      <c r="BQ447" t="s" s="0">
        <v>10684</v>
      </c>
      <c r="BR447" t="s" s="0">
        <v>82</v>
      </c>
      <c r="BS447" t="s" s="0">
        <v>10685</v>
      </c>
      <c r="BT447" t="s" s="890">
        <f>HYPERLINK("https://www.webofscience.com/wos/woscc/full-record/WOS:001838774000012","View Record in Web of Science")</f>
        <v>120</v>
      </c>
      <c r="BU447" t="s" s="0">
        <v>121</v>
      </c>
      <c r="BV447" t="s" s="0">
        <v>82</v>
      </c>
      <c r="BW447" t="s" s="0">
        <v>82</v>
      </c>
      <c r="BX447" t="s" s="0">
        <v>122</v>
      </c>
    </row>
    <row r="448">
      <c r="A448" t="s" s="0">
        <v>78</v>
      </c>
      <c r="B448" t="s" s="0">
        <v>78</v>
      </c>
      <c r="C448" t="s" s="0">
        <v>77</v>
      </c>
      <c r="D448" t="s" s="0">
        <v>78</v>
      </c>
      <c r="E448" t="s" s="0">
        <v>10686</v>
      </c>
      <c r="F448" t="s" s="0">
        <v>10687</v>
      </c>
      <c r="G448" t="s" s="0">
        <v>10688</v>
      </c>
      <c r="H448" t="s" s="0">
        <v>82</v>
      </c>
      <c r="I448" t="s" s="0">
        <v>83</v>
      </c>
      <c r="J448" t="s" s="0">
        <v>10689</v>
      </c>
      <c r="K448" t="s" s="0">
        <v>10690</v>
      </c>
      <c r="L448" t="s" s="0">
        <v>10691</v>
      </c>
      <c r="M448" t="s" s="0">
        <v>10691</v>
      </c>
      <c r="N448" t="s" s="0">
        <v>10692</v>
      </c>
      <c r="O448" t="s" s="0">
        <v>10693</v>
      </c>
      <c r="P448" t="s" s="0">
        <v>10694</v>
      </c>
      <c r="Q448" t="s" s="0">
        <v>91</v>
      </c>
      <c r="R448" t="s" s="0">
        <v>82</v>
      </c>
      <c r="S448" t="s" s="0">
        <v>82</v>
      </c>
      <c r="T448" t="s" s="0">
        <v>82</v>
      </c>
      <c r="U448" t="s" s="0">
        <v>82</v>
      </c>
      <c r="V448" t="s" s="0">
        <v>10695</v>
      </c>
      <c r="W448" t="s" s="0">
        <v>6124</v>
      </c>
      <c r="X448" t="s" s="0">
        <v>82</v>
      </c>
      <c r="Y448" t="s" s="0">
        <v>82</v>
      </c>
      <c r="Z448" t="s" s="0">
        <v>94</v>
      </c>
      <c r="AA448" t="s" s="0">
        <v>95</v>
      </c>
      <c r="AB448" t="s" s="0">
        <v>82</v>
      </c>
      <c r="AC448" t="s" s="0">
        <v>82</v>
      </c>
      <c r="AD448" t="s" s="0">
        <v>82</v>
      </c>
      <c r="AE448" t="s" s="0">
        <v>82</v>
      </c>
      <c r="AF448" t="s" s="0">
        <v>82</v>
      </c>
      <c r="AG448" t="s" s="0">
        <v>10696</v>
      </c>
      <c r="AH448" t="s" s="0">
        <v>10697</v>
      </c>
      <c r="AI448" t="s" s="0">
        <v>10698</v>
      </c>
      <c r="AJ448" t="s" s="0">
        <v>82</v>
      </c>
      <c r="AK448" t="s" s="0">
        <v>82</v>
      </c>
      <c r="AL448" t="s" s="0">
        <v>745</v>
      </c>
      <c r="AM448" t="s" s="0">
        <v>77</v>
      </c>
      <c r="AN448" t="s" s="0">
        <v>447</v>
      </c>
      <c r="AO448" t="s" s="0">
        <v>102</v>
      </c>
      <c r="AP448" t="s" s="0">
        <v>102</v>
      </c>
      <c r="AQ448" t="s" s="0">
        <v>312</v>
      </c>
      <c r="AR448" t="s" s="0">
        <v>313</v>
      </c>
      <c r="AS448" t="s" s="0">
        <v>314</v>
      </c>
      <c r="AT448" t="s" s="0">
        <v>82</v>
      </c>
      <c r="AU448" t="s" s="0">
        <v>6129</v>
      </c>
      <c r="AV448" t="s" s="0">
        <v>82</v>
      </c>
      <c r="AW448" t="s" s="0">
        <v>6124</v>
      </c>
      <c r="AX448" t="s" s="0">
        <v>6130</v>
      </c>
      <c r="AY448" t="s" s="0">
        <v>9114</v>
      </c>
      <c r="AZ448" t="s" s="0">
        <v>181</v>
      </c>
      <c r="BA448" t="s" s="0">
        <v>154</v>
      </c>
      <c r="BB448" t="s" s="0">
        <v>319</v>
      </c>
      <c r="BC448" t="s" s="0">
        <v>82</v>
      </c>
      <c r="BD448" t="s" s="0">
        <v>82</v>
      </c>
      <c r="BE448" t="s" s="0">
        <v>82</v>
      </c>
      <c r="BF448" t="s" s="0">
        <v>82</v>
      </c>
      <c r="BG448" t="s" s="0">
        <v>82</v>
      </c>
      <c r="BH448" t="s" s="0">
        <v>82</v>
      </c>
      <c r="BI448" t="s" s="0">
        <v>10699</v>
      </c>
      <c r="BJ448" t="s" s="0">
        <v>10700</v>
      </c>
      <c r="BK448" t="s" s="891">
        <f>HYPERLINK("http://dx.doi.org/10.3390/cancers18091453","http://dx.doi.org/10.3390/cancers18091453")</f>
        <v>10701</v>
      </c>
      <c r="BL448" t="s" s="0">
        <v>82</v>
      </c>
      <c r="BM448" t="s" s="0">
        <v>1003</v>
      </c>
      <c r="BN448" t="s" s="0">
        <v>148</v>
      </c>
      <c r="BO448" t="s" s="0">
        <v>4833</v>
      </c>
      <c r="BP448" t="s" s="0">
        <v>4833</v>
      </c>
      <c r="BQ448" t="s" s="0">
        <v>10702</v>
      </c>
      <c r="BR448" t="s" s="0">
        <v>10703</v>
      </c>
      <c r="BS448" t="s" s="0">
        <v>10704</v>
      </c>
      <c r="BT448" t="s" s="892">
        <f>HYPERLINK("https://www.webofscience.com/wos/woscc/full-record/WOS:001763289300001","View Record in Web of Science")</f>
        <v>120</v>
      </c>
      <c r="BU448" t="s" s="0">
        <v>121</v>
      </c>
      <c r="BV448" t="s" s="0">
        <v>82</v>
      </c>
      <c r="BW448" t="s" s="0">
        <v>82</v>
      </c>
      <c r="BX448" t="s" s="0">
        <v>122</v>
      </c>
    </row>
    <row r="449">
      <c r="A449" t="s" s="0">
        <v>78</v>
      </c>
      <c r="B449" t="s" s="0">
        <v>78</v>
      </c>
      <c r="C449" t="s" s="0">
        <v>77</v>
      </c>
      <c r="D449" t="s" s="0">
        <v>78</v>
      </c>
      <c r="E449" t="s" s="0">
        <v>10705</v>
      </c>
      <c r="F449" t="s" s="0">
        <v>10706</v>
      </c>
      <c r="G449" t="s" s="0">
        <v>10707</v>
      </c>
      <c r="H449" t="s" s="0">
        <v>82</v>
      </c>
      <c r="I449" t="s" s="0">
        <v>83</v>
      </c>
      <c r="J449" t="s" s="0">
        <v>10708</v>
      </c>
      <c r="K449" t="s" s="0">
        <v>10709</v>
      </c>
      <c r="L449" t="s" s="0">
        <v>82</v>
      </c>
      <c r="M449" t="s" s="0">
        <v>82</v>
      </c>
      <c r="N449" t="s" s="0">
        <v>10710</v>
      </c>
      <c r="O449" t="s" s="0">
        <v>10711</v>
      </c>
      <c r="P449" t="s" s="0">
        <v>10712</v>
      </c>
      <c r="Q449" t="s" s="0">
        <v>91</v>
      </c>
      <c r="R449" t="s" s="0">
        <v>82</v>
      </c>
      <c r="S449" t="s" s="0">
        <v>82</v>
      </c>
      <c r="T449" t="s" s="0">
        <v>82</v>
      </c>
      <c r="U449" t="s" s="0">
        <v>82</v>
      </c>
      <c r="V449" t="s" s="0">
        <v>10713</v>
      </c>
      <c r="W449" t="s" s="0">
        <v>10714</v>
      </c>
      <c r="X449" t="s" s="0">
        <v>82</v>
      </c>
      <c r="Y449" t="s" s="0">
        <v>82</v>
      </c>
      <c r="Z449" t="s" s="0">
        <v>94</v>
      </c>
      <c r="AA449" t="s" s="0">
        <v>95</v>
      </c>
      <c r="AB449" t="s" s="0">
        <v>82</v>
      </c>
      <c r="AC449" t="s" s="0">
        <v>82</v>
      </c>
      <c r="AD449" t="s" s="0">
        <v>82</v>
      </c>
      <c r="AE449" t="s" s="0">
        <v>82</v>
      </c>
      <c r="AF449" t="s" s="0">
        <v>82</v>
      </c>
      <c r="AG449" t="s" s="0">
        <v>10715</v>
      </c>
      <c r="AH449" t="s" s="0">
        <v>10716</v>
      </c>
      <c r="AI449" t="s" s="0">
        <v>10717</v>
      </c>
      <c r="AJ449" t="s" s="0">
        <v>10718</v>
      </c>
      <c r="AK449" t="s" s="0">
        <v>82</v>
      </c>
      <c r="AL449" t="s" s="0">
        <v>344</v>
      </c>
      <c r="AM449" t="s" s="0">
        <v>319</v>
      </c>
      <c r="AN449" t="s" s="0">
        <v>245</v>
      </c>
      <c r="AO449" t="s" s="0">
        <v>77</v>
      </c>
      <c r="AP449" t="s" s="0">
        <v>447</v>
      </c>
      <c r="AQ449" t="s" s="0">
        <v>202</v>
      </c>
      <c r="AR449" t="s" s="0">
        <v>203</v>
      </c>
      <c r="AS449" t="s" s="0">
        <v>7020</v>
      </c>
      <c r="AT449" t="s" s="0">
        <v>10719</v>
      </c>
      <c r="AU449" t="s" s="0">
        <v>10720</v>
      </c>
      <c r="AV449" t="s" s="0">
        <v>82</v>
      </c>
      <c r="AW449" t="s" s="0">
        <v>10714</v>
      </c>
      <c r="AX449" t="s" s="0">
        <v>10721</v>
      </c>
      <c r="AY449" t="s" s="0">
        <v>376</v>
      </c>
      <c r="AZ449" t="s" s="0">
        <v>110</v>
      </c>
      <c r="BA449" t="s" s="0">
        <v>685</v>
      </c>
      <c r="BB449" t="s" s="0">
        <v>101</v>
      </c>
      <c r="BC449" t="s" s="0">
        <v>82</v>
      </c>
      <c r="BD449" t="s" s="0">
        <v>82</v>
      </c>
      <c r="BE449" t="s" s="0">
        <v>82</v>
      </c>
      <c r="BF449" t="s" s="0">
        <v>82</v>
      </c>
      <c r="BG449" t="s" s="0">
        <v>10722</v>
      </c>
      <c r="BH449" t="s" s="0">
        <v>7716</v>
      </c>
      <c r="BI449" t="s" s="0">
        <v>82</v>
      </c>
      <c r="BJ449" t="s" s="0">
        <v>10723</v>
      </c>
      <c r="BK449" t="s" s="893">
        <f>HYPERLINK("http://dx.doi.org/10.1016/j.brachy.2024.02.008","http://dx.doi.org/10.1016/j.brachy.2024.02.008")</f>
        <v>10724</v>
      </c>
      <c r="BL449" t="s" s="0">
        <v>82</v>
      </c>
      <c r="BM449" t="s" s="0">
        <v>376</v>
      </c>
      <c r="BN449" t="s" s="0">
        <v>319</v>
      </c>
      <c r="BO449" t="s" s="0">
        <v>2164</v>
      </c>
      <c r="BP449" t="s" s="0">
        <v>2164</v>
      </c>
      <c r="BQ449" t="s" s="0">
        <v>10725</v>
      </c>
      <c r="BR449" t="s" s="0">
        <v>10726</v>
      </c>
      <c r="BS449" t="s" s="0">
        <v>10727</v>
      </c>
      <c r="BT449" t="s" s="894">
        <f>HYPERLINK("https://www.webofscience.com/wos/woscc/full-record/WOS:001241299700001","View Record in Web of Science")</f>
        <v>120</v>
      </c>
      <c r="BU449" t="s" s="0">
        <v>82</v>
      </c>
      <c r="BV449" t="s" s="0">
        <v>82</v>
      </c>
      <c r="BW449" t="s" s="0">
        <v>82</v>
      </c>
      <c r="BX449" t="s" s="0">
        <v>122</v>
      </c>
    </row>
    <row r="450">
      <c r="A450" t="s" s="0">
        <v>102</v>
      </c>
      <c r="B450" t="s" s="0">
        <v>78</v>
      </c>
      <c r="C450" t="s" s="0">
        <v>640</v>
      </c>
      <c r="D450" t="s" s="0">
        <v>78</v>
      </c>
      <c r="E450" t="s" s="0">
        <v>10728</v>
      </c>
      <c r="F450" t="s" s="0">
        <v>10729</v>
      </c>
      <c r="G450" t="s" s="0">
        <v>10730</v>
      </c>
      <c r="H450" t="s" s="0">
        <v>82</v>
      </c>
      <c r="I450" t="s" s="0">
        <v>83</v>
      </c>
      <c r="J450" t="s" s="0">
        <v>10731</v>
      </c>
      <c r="K450" t="s" s="0">
        <v>10732</v>
      </c>
      <c r="L450" t="s" s="0">
        <v>10733</v>
      </c>
      <c r="M450" t="s" s="0">
        <v>10734</v>
      </c>
      <c r="N450" t="s" s="0">
        <v>10735</v>
      </c>
      <c r="O450" t="s" s="0">
        <v>10736</v>
      </c>
      <c r="P450" t="s" s="0">
        <v>10737</v>
      </c>
      <c r="Q450" t="s" s="0">
        <v>91</v>
      </c>
      <c r="R450" t="s" s="0">
        <v>82</v>
      </c>
      <c r="S450" t="s" s="0">
        <v>82</v>
      </c>
      <c r="T450" t="s" s="0">
        <v>82</v>
      </c>
      <c r="U450" t="s" s="0">
        <v>82</v>
      </c>
      <c r="V450" t="s" s="0">
        <v>10738</v>
      </c>
      <c r="W450" t="s" s="0">
        <v>269</v>
      </c>
      <c r="X450" t="s" s="0">
        <v>82</v>
      </c>
      <c r="Y450" t="s" s="0">
        <v>82</v>
      </c>
      <c r="Z450" t="s" s="0">
        <v>94</v>
      </c>
      <c r="AA450" t="s" s="0">
        <v>95</v>
      </c>
      <c r="AB450" t="s" s="0">
        <v>82</v>
      </c>
      <c r="AC450" t="s" s="0">
        <v>82</v>
      </c>
      <c r="AD450" t="s" s="0">
        <v>82</v>
      </c>
      <c r="AE450" t="s" s="0">
        <v>82</v>
      </c>
      <c r="AF450" t="s" s="0">
        <v>82</v>
      </c>
      <c r="AG450" t="s" s="0">
        <v>82</v>
      </c>
      <c r="AH450" t="s" s="0">
        <v>10739</v>
      </c>
      <c r="AI450" t="s" s="0">
        <v>10740</v>
      </c>
      <c r="AJ450" t="s" s="0">
        <v>10741</v>
      </c>
      <c r="AK450" t="s" s="0">
        <v>82</v>
      </c>
      <c r="AL450" t="s" s="0">
        <v>273</v>
      </c>
      <c r="AM450" t="s" s="0">
        <v>2191</v>
      </c>
      <c r="AN450" t="s" s="0">
        <v>1091</v>
      </c>
      <c r="AO450" t="s" s="0">
        <v>77</v>
      </c>
      <c r="AP450" t="s" s="0">
        <v>154</v>
      </c>
      <c r="AQ450" t="s" s="0">
        <v>277</v>
      </c>
      <c r="AR450" t="s" s="0">
        <v>278</v>
      </c>
      <c r="AS450" t="s" s="0">
        <v>279</v>
      </c>
      <c r="AT450" t="s" s="0">
        <v>82</v>
      </c>
      <c r="AU450" t="s" s="0">
        <v>280</v>
      </c>
      <c r="AV450" t="s" s="0">
        <v>82</v>
      </c>
      <c r="AW450" t="s" s="0">
        <v>281</v>
      </c>
      <c r="AX450" t="s" s="0">
        <v>282</v>
      </c>
      <c r="AY450" t="s" s="0">
        <v>6158</v>
      </c>
      <c r="AZ450" t="s" s="0">
        <v>408</v>
      </c>
      <c r="BA450" t="s" s="0">
        <v>102</v>
      </c>
      <c r="BB450" t="s" s="0">
        <v>319</v>
      </c>
      <c r="BC450" t="s" s="0">
        <v>82</v>
      </c>
      <c r="BD450" t="s" s="0">
        <v>82</v>
      </c>
      <c r="BE450" t="s" s="0">
        <v>82</v>
      </c>
      <c r="BF450" t="s" s="0">
        <v>82</v>
      </c>
      <c r="BG450" t="s" s="0">
        <v>10742</v>
      </c>
      <c r="BH450" t="s" s="0">
        <v>10743</v>
      </c>
      <c r="BI450" t="s" s="0">
        <v>82</v>
      </c>
      <c r="BJ450" t="s" s="0">
        <v>10744</v>
      </c>
      <c r="BK450" t="s" s="895">
        <f>HYPERLINK("http://dx.doi.org/10.1016/S2589-7500(22)00129-7","http://dx.doi.org/10.1016/S2589-7500(22)00129-7")</f>
        <v>10745</v>
      </c>
      <c r="BL450" t="s" s="0">
        <v>82</v>
      </c>
      <c r="BM450" t="s" s="0">
        <v>82</v>
      </c>
      <c r="BN450" t="s" s="0">
        <v>245</v>
      </c>
      <c r="BO450" t="s" s="0">
        <v>289</v>
      </c>
      <c r="BP450" t="s" s="0">
        <v>290</v>
      </c>
      <c r="BQ450" t="s" s="0">
        <v>10746</v>
      </c>
      <c r="BR450" t="s" s="0">
        <v>10747</v>
      </c>
      <c r="BS450" t="s" s="0">
        <v>10748</v>
      </c>
      <c r="BT450" t="s" s="896">
        <f>HYPERLINK("https://www.webofscience.com/wos/woscc/full-record/WOS:000889422500007","View Record in Web of Science")</f>
        <v>120</v>
      </c>
      <c r="BU450" t="s" s="0">
        <v>121</v>
      </c>
      <c r="BV450" t="s" s="0">
        <v>82</v>
      </c>
      <c r="BW450" t="s" s="0">
        <v>82</v>
      </c>
      <c r="BX450" t="s" s="0">
        <v>122</v>
      </c>
    </row>
    <row r="451">
      <c r="A451" t="s" s="0">
        <v>78</v>
      </c>
      <c r="B451" t="s" s="0">
        <v>78</v>
      </c>
      <c r="C451" t="s" s="0">
        <v>78</v>
      </c>
      <c r="D451" t="s" s="0">
        <v>78</v>
      </c>
      <c r="E451" t="s" s="0">
        <v>10749</v>
      </c>
      <c r="F451" t="s" s="0">
        <v>10750</v>
      </c>
      <c r="G451" t="s" s="0">
        <v>10751</v>
      </c>
      <c r="H451" t="s" s="0">
        <v>82</v>
      </c>
      <c r="I451" t="s" s="0">
        <v>83</v>
      </c>
      <c r="J451" t="s" s="0">
        <v>10752</v>
      </c>
      <c r="K451" t="s" s="0">
        <v>10753</v>
      </c>
      <c r="L451" t="s" s="0">
        <v>10754</v>
      </c>
      <c r="M451" t="s" s="0">
        <v>10755</v>
      </c>
      <c r="N451" t="s" s="0">
        <v>10756</v>
      </c>
      <c r="O451" t="s" s="0">
        <v>10757</v>
      </c>
      <c r="P451" t="s" s="0">
        <v>10758</v>
      </c>
      <c r="Q451" t="s" s="0">
        <v>91</v>
      </c>
      <c r="R451" t="s" s="0">
        <v>82</v>
      </c>
      <c r="S451" t="s" s="0">
        <v>82</v>
      </c>
      <c r="T451" t="s" s="0">
        <v>82</v>
      </c>
      <c r="U451" t="s" s="0">
        <v>82</v>
      </c>
      <c r="V451" t="s" s="0">
        <v>10759</v>
      </c>
      <c r="W451" t="s" s="0">
        <v>10760</v>
      </c>
      <c r="X451" t="s" s="0">
        <v>82</v>
      </c>
      <c r="Y451" t="s" s="0">
        <v>82</v>
      </c>
      <c r="Z451" t="s" s="0">
        <v>94</v>
      </c>
      <c r="AA451" t="s" s="0">
        <v>95</v>
      </c>
      <c r="AB451" t="s" s="0">
        <v>82</v>
      </c>
      <c r="AC451" t="s" s="0">
        <v>82</v>
      </c>
      <c r="AD451" t="s" s="0">
        <v>82</v>
      </c>
      <c r="AE451" t="s" s="0">
        <v>82</v>
      </c>
      <c r="AF451" t="s" s="0">
        <v>82</v>
      </c>
      <c r="AG451" t="s" s="0">
        <v>10761</v>
      </c>
      <c r="AH451" t="s" s="0">
        <v>10762</v>
      </c>
      <c r="AI451" t="s" s="0">
        <v>10763</v>
      </c>
      <c r="AJ451" t="s" s="0">
        <v>10764</v>
      </c>
      <c r="AK451" t="s" s="0">
        <v>82</v>
      </c>
      <c r="AL451" t="s" s="0">
        <v>273</v>
      </c>
      <c r="AM451" t="s" s="0">
        <v>78</v>
      </c>
      <c r="AN451" t="s" s="0">
        <v>78</v>
      </c>
      <c r="AO451" t="s" s="0">
        <v>102</v>
      </c>
      <c r="AP451" t="s" s="0">
        <v>102</v>
      </c>
      <c r="AQ451" t="s" s="0">
        <v>2051</v>
      </c>
      <c r="AR451" t="s" s="0">
        <v>203</v>
      </c>
      <c r="AS451" t="s" s="0">
        <v>2052</v>
      </c>
      <c r="AT451" t="s" s="0">
        <v>10765</v>
      </c>
      <c r="AU451" t="s" s="0">
        <v>10766</v>
      </c>
      <c r="AV451" t="s" s="0">
        <v>82</v>
      </c>
      <c r="AW451" t="s" s="0">
        <v>10767</v>
      </c>
      <c r="AX451" t="s" s="0">
        <v>10768</v>
      </c>
      <c r="AY451" t="s" s="0">
        <v>10769</v>
      </c>
      <c r="AZ451" t="s" s="0">
        <v>181</v>
      </c>
      <c r="BA451" t="s" s="0">
        <v>745</v>
      </c>
      <c r="BB451" t="s" s="0">
        <v>77</v>
      </c>
      <c r="BC451" t="s" s="0">
        <v>82</v>
      </c>
      <c r="BD451" t="s" s="0">
        <v>82</v>
      </c>
      <c r="BE451" t="s" s="0">
        <v>82</v>
      </c>
      <c r="BF451" t="s" s="0">
        <v>82</v>
      </c>
      <c r="BG451" t="s" s="0">
        <v>82</v>
      </c>
      <c r="BH451" t="s" s="0">
        <v>82</v>
      </c>
      <c r="BI451" t="s" s="0">
        <v>805</v>
      </c>
      <c r="BJ451" t="s" s="0">
        <v>10770</v>
      </c>
      <c r="BK451" t="s" s="897">
        <f>HYPERLINK("http://dx.doi.org/10.1007/s00384-026-05132-8","http://dx.doi.org/10.1007/s00384-026-05132-8")</f>
        <v>10771</v>
      </c>
      <c r="BL451" t="s" s="0">
        <v>82</v>
      </c>
      <c r="BM451" t="s" s="0">
        <v>1003</v>
      </c>
      <c r="BN451" t="s" s="0">
        <v>349</v>
      </c>
      <c r="BO451" t="s" s="0">
        <v>978</v>
      </c>
      <c r="BP451" t="s" s="0">
        <v>978</v>
      </c>
      <c r="BQ451" t="s" s="0">
        <v>10772</v>
      </c>
      <c r="BR451" t="s" s="0">
        <v>10773</v>
      </c>
      <c r="BS451" t="s" s="0">
        <v>10774</v>
      </c>
      <c r="BT451" t="s" s="898">
        <f>HYPERLINK("https://www.webofscience.com/wos/woscc/full-record/WOS:001796377600001","View Record in Web of Science")</f>
        <v>120</v>
      </c>
      <c r="BU451" t="s" s="0">
        <v>256</v>
      </c>
      <c r="BV451" t="s" s="0">
        <v>82</v>
      </c>
      <c r="BW451" t="s" s="0">
        <v>82</v>
      </c>
      <c r="BX451" t="s" s="0">
        <v>122</v>
      </c>
    </row>
    <row r="452">
      <c r="A452" t="s" s="0">
        <v>78</v>
      </c>
      <c r="B452" t="s" s="0">
        <v>78</v>
      </c>
      <c r="C452" t="s" s="0">
        <v>136</v>
      </c>
      <c r="D452" t="s" s="0">
        <v>78</v>
      </c>
      <c r="E452" t="s" s="0">
        <v>10775</v>
      </c>
      <c r="F452" t="s" s="0">
        <v>10776</v>
      </c>
      <c r="G452" t="s" s="0">
        <v>10777</v>
      </c>
      <c r="H452" t="s" s="0">
        <v>82</v>
      </c>
      <c r="I452" t="s" s="0">
        <v>83</v>
      </c>
      <c r="J452" t="s" s="0">
        <v>10778</v>
      </c>
      <c r="K452" t="s" s="0">
        <v>10779</v>
      </c>
      <c r="L452" t="s" s="0">
        <v>82</v>
      </c>
      <c r="M452" t="s" s="0">
        <v>82</v>
      </c>
      <c r="N452" t="s" s="0">
        <v>82</v>
      </c>
      <c r="O452" t="s" s="0">
        <v>10780</v>
      </c>
      <c r="P452" t="s" s="0">
        <v>10781</v>
      </c>
      <c r="Q452" t="s" s="0">
        <v>91</v>
      </c>
      <c r="R452" t="s" s="0">
        <v>82</v>
      </c>
      <c r="S452" t="s" s="0">
        <v>82</v>
      </c>
      <c r="T452" t="s" s="0">
        <v>82</v>
      </c>
      <c r="U452" t="s" s="0">
        <v>82</v>
      </c>
      <c r="V452" t="s" s="0">
        <v>10782</v>
      </c>
      <c r="W452" t="s" s="0">
        <v>10783</v>
      </c>
      <c r="X452" t="s" s="0">
        <v>82</v>
      </c>
      <c r="Y452" t="s" s="0">
        <v>82</v>
      </c>
      <c r="Z452" t="s" s="0">
        <v>94</v>
      </c>
      <c r="AA452" t="s" s="0">
        <v>95</v>
      </c>
      <c r="AB452" t="s" s="0">
        <v>82</v>
      </c>
      <c r="AC452" t="s" s="0">
        <v>82</v>
      </c>
      <c r="AD452" t="s" s="0">
        <v>82</v>
      </c>
      <c r="AE452" t="s" s="0">
        <v>82</v>
      </c>
      <c r="AF452" t="s" s="0">
        <v>82</v>
      </c>
      <c r="AG452" t="s" s="0">
        <v>10784</v>
      </c>
      <c r="AH452" t="s" s="0">
        <v>10785</v>
      </c>
      <c r="AI452" t="s" s="0">
        <v>10786</v>
      </c>
      <c r="AJ452" t="s" s="0">
        <v>10787</v>
      </c>
      <c r="AK452" t="s" s="0">
        <v>82</v>
      </c>
      <c r="AL452" t="s" s="0">
        <v>831</v>
      </c>
      <c r="AM452" t="s" s="0">
        <v>1320</v>
      </c>
      <c r="AN452" t="s" s="0">
        <v>1320</v>
      </c>
      <c r="AO452" t="s" s="0">
        <v>78</v>
      </c>
      <c r="AP452" t="s" s="0">
        <v>136</v>
      </c>
      <c r="AQ452" t="s" s="0">
        <v>491</v>
      </c>
      <c r="AR452" t="s" s="0">
        <v>492</v>
      </c>
      <c r="AS452" t="s" s="0">
        <v>493</v>
      </c>
      <c r="AT452" t="s" s="0">
        <v>10788</v>
      </c>
      <c r="AU452" t="s" s="0">
        <v>10789</v>
      </c>
      <c r="AV452" t="s" s="0">
        <v>82</v>
      </c>
      <c r="AW452" t="s" s="0">
        <v>10790</v>
      </c>
      <c r="AX452" t="s" s="0">
        <v>10791</v>
      </c>
      <c r="AY452" t="s" s="0">
        <v>1716</v>
      </c>
      <c r="AZ452" t="s" s="0">
        <v>408</v>
      </c>
      <c r="BA452" t="s" s="0">
        <v>238</v>
      </c>
      <c r="BB452" t="s" s="0">
        <v>136</v>
      </c>
      <c r="BC452" t="s" s="0">
        <v>82</v>
      </c>
      <c r="BD452" t="s" s="0">
        <v>82</v>
      </c>
      <c r="BE452" t="s" s="0">
        <v>82</v>
      </c>
      <c r="BF452" t="s" s="0">
        <v>82</v>
      </c>
      <c r="BG452" t="s" s="0">
        <v>10792</v>
      </c>
      <c r="BH452" t="s" s="0">
        <v>10793</v>
      </c>
      <c r="BI452" t="s" s="0">
        <v>82</v>
      </c>
      <c r="BJ452" t="s" s="0">
        <v>10794</v>
      </c>
      <c r="BK452" t="s" s="899">
        <f>HYPERLINK("http://dx.doi.org/10.1007/s40620-022-01335-8","http://dx.doi.org/10.1007/s40620-022-01335-8")</f>
        <v>10795</v>
      </c>
      <c r="BL452" t="s" s="0">
        <v>82</v>
      </c>
      <c r="BM452" t="s" s="0">
        <v>407</v>
      </c>
      <c r="BN452" t="s" s="0">
        <v>245</v>
      </c>
      <c r="BO452" t="s" s="0">
        <v>1197</v>
      </c>
      <c r="BP452" t="s" s="0">
        <v>1197</v>
      </c>
      <c r="BQ452" t="s" s="0">
        <v>10796</v>
      </c>
      <c r="BR452" t="s" s="0">
        <v>10797</v>
      </c>
      <c r="BS452" t="s" s="0">
        <v>10798</v>
      </c>
      <c r="BT452" t="s" s="900">
        <f>HYPERLINK("https://www.webofscience.com/wos/woscc/full-record/WOS:000794115000001","View Record in Web of Science")</f>
        <v>120</v>
      </c>
      <c r="BU452" t="s" s="0">
        <v>256</v>
      </c>
      <c r="BV452" t="s" s="0">
        <v>82</v>
      </c>
      <c r="BW452" t="s" s="0">
        <v>82</v>
      </c>
      <c r="BX452" t="s" s="0">
        <v>122</v>
      </c>
    </row>
    <row r="453">
      <c r="A453" t="s" s="0">
        <v>101</v>
      </c>
      <c r="B453" t="s" s="0">
        <v>78</v>
      </c>
      <c r="C453" t="s" s="0">
        <v>273</v>
      </c>
      <c r="D453" t="s" s="0">
        <v>78</v>
      </c>
      <c r="E453" t="s" s="0">
        <v>10799</v>
      </c>
      <c r="F453" t="s" s="0">
        <v>10800</v>
      </c>
      <c r="G453" t="s" s="0">
        <v>10801</v>
      </c>
      <c r="H453" t="s" s="0">
        <v>82</v>
      </c>
      <c r="I453" t="s" s="0">
        <v>83</v>
      </c>
      <c r="J453" t="s" s="0">
        <v>10802</v>
      </c>
      <c r="K453" t="s" s="0">
        <v>10803</v>
      </c>
      <c r="L453" t="s" s="0">
        <v>10804</v>
      </c>
      <c r="M453" t="s" s="0">
        <v>10805</v>
      </c>
      <c r="N453" t="s" s="0">
        <v>10806</v>
      </c>
      <c r="O453" t="s" s="0">
        <v>10807</v>
      </c>
      <c r="P453" t="s" s="0">
        <v>10808</v>
      </c>
      <c r="Q453" t="s" s="0">
        <v>91</v>
      </c>
      <c r="R453" t="s" s="0">
        <v>82</v>
      </c>
      <c r="S453" t="s" s="0">
        <v>82</v>
      </c>
      <c r="T453" t="s" s="0">
        <v>82</v>
      </c>
      <c r="U453" t="s" s="0">
        <v>82</v>
      </c>
      <c r="V453" t="s" s="0">
        <v>10809</v>
      </c>
      <c r="W453" t="s" s="0">
        <v>269</v>
      </c>
      <c r="X453" t="s" s="0">
        <v>82</v>
      </c>
      <c r="Y453" t="s" s="0">
        <v>82</v>
      </c>
      <c r="Z453" t="s" s="0">
        <v>94</v>
      </c>
      <c r="AA453" t="s" s="0">
        <v>95</v>
      </c>
      <c r="AB453" t="s" s="0">
        <v>82</v>
      </c>
      <c r="AC453" t="s" s="0">
        <v>82</v>
      </c>
      <c r="AD453" t="s" s="0">
        <v>82</v>
      </c>
      <c r="AE453" t="s" s="0">
        <v>82</v>
      </c>
      <c r="AF453" t="s" s="0">
        <v>82</v>
      </c>
      <c r="AG453" t="s" s="0">
        <v>82</v>
      </c>
      <c r="AH453" t="s" s="0">
        <v>10810</v>
      </c>
      <c r="AI453" t="s" s="0">
        <v>10811</v>
      </c>
      <c r="AJ453" t="s" s="0">
        <v>10812</v>
      </c>
      <c r="AK453" t="s" s="0">
        <v>82</v>
      </c>
      <c r="AL453" t="s" s="0">
        <v>1186</v>
      </c>
      <c r="AM453" t="s" s="0">
        <v>2192</v>
      </c>
      <c r="AN453" t="s" s="0">
        <v>1061</v>
      </c>
      <c r="AO453" t="s" s="0">
        <v>78</v>
      </c>
      <c r="AP453" t="s" s="0">
        <v>173</v>
      </c>
      <c r="AQ453" t="s" s="0">
        <v>277</v>
      </c>
      <c r="AR453" t="s" s="0">
        <v>278</v>
      </c>
      <c r="AS453" t="s" s="0">
        <v>279</v>
      </c>
      <c r="AT453" t="s" s="0">
        <v>82</v>
      </c>
      <c r="AU453" t="s" s="0">
        <v>280</v>
      </c>
      <c r="AV453" t="s" s="0">
        <v>82</v>
      </c>
      <c r="AW453" t="s" s="0">
        <v>281</v>
      </c>
      <c r="AX453" t="s" s="0">
        <v>282</v>
      </c>
      <c r="AY453" t="s" s="0">
        <v>1661</v>
      </c>
      <c r="AZ453" t="s" s="0">
        <v>525</v>
      </c>
      <c r="BA453" t="s" s="0">
        <v>101</v>
      </c>
      <c r="BB453" t="s" s="0">
        <v>245</v>
      </c>
      <c r="BC453" t="s" s="0">
        <v>82</v>
      </c>
      <c r="BD453" t="s" s="0">
        <v>82</v>
      </c>
      <c r="BE453" t="s" s="0">
        <v>82</v>
      </c>
      <c r="BF453" t="s" s="0">
        <v>82</v>
      </c>
      <c r="BG453" t="s" s="0">
        <v>10813</v>
      </c>
      <c r="BH453" t="s" s="0">
        <v>10814</v>
      </c>
      <c r="BI453" t="s" s="0">
        <v>82</v>
      </c>
      <c r="BJ453" t="s" s="0">
        <v>10815</v>
      </c>
      <c r="BK453" t="s" s="901">
        <f>HYPERLINK("http://dx.doi.org/10.1016/S2589-7500(21)00134-5","http://dx.doi.org/10.1016/S2589-7500(21)00134-5")</f>
        <v>10816</v>
      </c>
      <c r="BL453" t="s" s="0">
        <v>82</v>
      </c>
      <c r="BM453" t="s" s="0">
        <v>3505</v>
      </c>
      <c r="BN453" t="s" s="0">
        <v>137</v>
      </c>
      <c r="BO453" t="s" s="0">
        <v>289</v>
      </c>
      <c r="BP453" t="s" s="0">
        <v>290</v>
      </c>
      <c r="BQ453" t="s" s="0">
        <v>10817</v>
      </c>
      <c r="BR453" t="s" s="0">
        <v>10818</v>
      </c>
      <c r="BS453" t="s" s="0">
        <v>10819</v>
      </c>
      <c r="BT453" t="s" s="902">
        <f>HYPERLINK("https://www.webofscience.com/wos/woscc/full-record/WOS:000704394700011","View Record in Web of Science")</f>
        <v>120</v>
      </c>
      <c r="BU453" t="s" s="0">
        <v>121</v>
      </c>
      <c r="BV453" t="s" s="0">
        <v>82</v>
      </c>
      <c r="BW453" t="s" s="0">
        <v>82</v>
      </c>
      <c r="BX453" t="s" s="0">
        <v>122</v>
      </c>
    </row>
    <row r="454">
      <c r="A454" t="s" s="0">
        <v>78</v>
      </c>
      <c r="B454" t="s" s="0">
        <v>78</v>
      </c>
      <c r="C454" t="s" s="0">
        <v>78</v>
      </c>
      <c r="D454" t="s" s="0">
        <v>78</v>
      </c>
      <c r="E454" t="s" s="0">
        <v>10820</v>
      </c>
      <c r="F454" t="s" s="0">
        <v>10821</v>
      </c>
      <c r="G454" t="s" s="0">
        <v>10820</v>
      </c>
      <c r="H454" t="s" s="0">
        <v>82</v>
      </c>
      <c r="I454" t="s" s="0">
        <v>83</v>
      </c>
      <c r="J454" t="s" s="0">
        <v>82</v>
      </c>
      <c r="K454" t="s" s="0">
        <v>82</v>
      </c>
      <c r="L454" t="s" s="0">
        <v>82</v>
      </c>
      <c r="M454" t="s" s="0">
        <v>82</v>
      </c>
      <c r="N454" t="s" s="0">
        <v>82</v>
      </c>
      <c r="O454" t="s" s="0">
        <v>82</v>
      </c>
      <c r="P454" t="s" s="0">
        <v>82</v>
      </c>
      <c r="Q454" t="s" s="0">
        <v>91</v>
      </c>
      <c r="R454" t="s" s="0">
        <v>82</v>
      </c>
      <c r="S454" t="s" s="0">
        <v>82</v>
      </c>
      <c r="T454" t="s" s="0">
        <v>82</v>
      </c>
      <c r="U454" t="s" s="0">
        <v>82</v>
      </c>
      <c r="V454" t="s" s="0">
        <v>10822</v>
      </c>
      <c r="W454" t="s" s="0">
        <v>10823</v>
      </c>
      <c r="X454" t="s" s="0">
        <v>82</v>
      </c>
      <c r="Y454" t="s" s="0">
        <v>82</v>
      </c>
      <c r="Z454" t="s" s="0">
        <v>94</v>
      </c>
      <c r="AA454" t="s" s="0">
        <v>95</v>
      </c>
      <c r="AB454" t="s" s="0">
        <v>82</v>
      </c>
      <c r="AC454" t="s" s="0">
        <v>82</v>
      </c>
      <c r="AD454" t="s" s="0">
        <v>82</v>
      </c>
      <c r="AE454" t="s" s="0">
        <v>82</v>
      </c>
      <c r="AF454" t="s" s="0">
        <v>82</v>
      </c>
      <c r="AG454" t="s" s="0">
        <v>10824</v>
      </c>
      <c r="AH454" t="s" s="0">
        <v>82</v>
      </c>
      <c r="AI454" t="s" s="0">
        <v>10825</v>
      </c>
      <c r="AJ454" t="s" s="0">
        <v>82</v>
      </c>
      <c r="AK454" t="s" s="0">
        <v>82</v>
      </c>
      <c r="AL454" t="s" s="0">
        <v>1780</v>
      </c>
      <c r="AM454" t="s" s="0">
        <v>78</v>
      </c>
      <c r="AN454" t="s" s="0">
        <v>78</v>
      </c>
      <c r="AO454" t="s" s="0">
        <v>78</v>
      </c>
      <c r="AP454" t="s" s="0">
        <v>78</v>
      </c>
      <c r="AQ454" t="s" s="0">
        <v>4242</v>
      </c>
      <c r="AR454" t="s" s="0">
        <v>4243</v>
      </c>
      <c r="AS454" t="s" s="0">
        <v>4244</v>
      </c>
      <c r="AT454" t="s" s="0">
        <v>10826</v>
      </c>
      <c r="AU454" t="s" s="0">
        <v>10827</v>
      </c>
      <c r="AV454" t="s" s="0">
        <v>82</v>
      </c>
      <c r="AW454" t="s" s="0">
        <v>10828</v>
      </c>
      <c r="AX454" t="s" s="0">
        <v>10829</v>
      </c>
      <c r="AY454" t="s" s="0">
        <v>2833</v>
      </c>
      <c r="AZ454" t="s" s="0">
        <v>181</v>
      </c>
      <c r="BA454" t="s" s="0">
        <v>1526</v>
      </c>
      <c r="BB454" t="s" s="0">
        <v>10830</v>
      </c>
      <c r="BC454" t="s" s="0">
        <v>82</v>
      </c>
      <c r="BD454" t="s" s="0">
        <v>82</v>
      </c>
      <c r="BE454" t="s" s="0">
        <v>82</v>
      </c>
      <c r="BF454" t="s" s="0">
        <v>82</v>
      </c>
      <c r="BG454" t="s" s="0">
        <v>7935</v>
      </c>
      <c r="BH454" t="s" s="0">
        <v>10831</v>
      </c>
      <c r="BI454" t="s" s="0">
        <v>82</v>
      </c>
      <c r="BJ454" t="s" s="0">
        <v>10832</v>
      </c>
      <c r="BK454" t="s" s="903">
        <f>HYPERLINK("http://dx.doi.org/10.1177/08977151251408798","http://dx.doi.org/10.1177/08977151251408798")</f>
        <v>10833</v>
      </c>
      <c r="BL454" t="s" s="0">
        <v>82</v>
      </c>
      <c r="BM454" t="s" s="0">
        <v>1371</v>
      </c>
      <c r="BN454" t="s" s="0">
        <v>149</v>
      </c>
      <c r="BO454" t="s" s="0">
        <v>10834</v>
      </c>
      <c r="BP454" t="s" s="0">
        <v>10835</v>
      </c>
      <c r="BQ454" t="s" s="0">
        <v>10836</v>
      </c>
      <c r="BR454" t="s" s="0">
        <v>10837</v>
      </c>
      <c r="BS454" t="s" s="0">
        <v>10838</v>
      </c>
      <c r="BT454" t="s" s="904">
        <f>HYPERLINK("https://www.webofscience.com/wos/woscc/full-record/WOS:001693342300001","View Record in Web of Science")</f>
        <v>120</v>
      </c>
      <c r="BU454" t="s" s="0">
        <v>82</v>
      </c>
      <c r="BV454" t="s" s="0">
        <v>82</v>
      </c>
      <c r="BW454" t="s" s="0">
        <v>82</v>
      </c>
      <c r="BX454" t="s" s="0">
        <v>122</v>
      </c>
    </row>
    <row r="455">
      <c r="A455" t="s" s="0">
        <v>78</v>
      </c>
      <c r="B455" t="s" s="0">
        <v>78</v>
      </c>
      <c r="C455" t="s" s="0">
        <v>78</v>
      </c>
      <c r="D455" t="s" s="0">
        <v>78</v>
      </c>
      <c r="E455" t="s" s="0">
        <v>10839</v>
      </c>
      <c r="F455" t="s" s="0">
        <v>10840</v>
      </c>
      <c r="G455" t="s" s="0">
        <v>10841</v>
      </c>
      <c r="H455" t="s" s="0">
        <v>82</v>
      </c>
      <c r="I455" t="s" s="0">
        <v>83</v>
      </c>
      <c r="J455" t="s" s="0">
        <v>10842</v>
      </c>
      <c r="K455" t="s" s="0">
        <v>10843</v>
      </c>
      <c r="L455" t="s" s="0">
        <v>82</v>
      </c>
      <c r="M455" t="s" s="0">
        <v>82</v>
      </c>
      <c r="N455" t="s" s="0">
        <v>82</v>
      </c>
      <c r="O455" t="s" s="0">
        <v>10844</v>
      </c>
      <c r="P455" t="s" s="0">
        <v>10845</v>
      </c>
      <c r="Q455" t="s" s="0">
        <v>91</v>
      </c>
      <c r="R455" t="s" s="0">
        <v>82</v>
      </c>
      <c r="S455" t="s" s="0">
        <v>82</v>
      </c>
      <c r="T455" t="s" s="0">
        <v>82</v>
      </c>
      <c r="U455" t="s" s="0">
        <v>82</v>
      </c>
      <c r="V455" t="s" s="0">
        <v>10846</v>
      </c>
      <c r="W455" t="s" s="0">
        <v>7996</v>
      </c>
      <c r="X455" t="s" s="0">
        <v>82</v>
      </c>
      <c r="Y455" t="s" s="0">
        <v>82</v>
      </c>
      <c r="Z455" t="s" s="0">
        <v>94</v>
      </c>
      <c r="AA455" t="s" s="0">
        <v>95</v>
      </c>
      <c r="AB455" t="s" s="0">
        <v>82</v>
      </c>
      <c r="AC455" t="s" s="0">
        <v>82</v>
      </c>
      <c r="AD455" t="s" s="0">
        <v>82</v>
      </c>
      <c r="AE455" t="s" s="0">
        <v>82</v>
      </c>
      <c r="AF455" t="s" s="0">
        <v>82</v>
      </c>
      <c r="AG455" t="s" s="0">
        <v>10847</v>
      </c>
      <c r="AH455" t="s" s="0">
        <v>82</v>
      </c>
      <c r="AI455" t="s" s="0">
        <v>10848</v>
      </c>
      <c r="AJ455" t="s" s="0">
        <v>82</v>
      </c>
      <c r="AK455" t="s" s="0">
        <v>82</v>
      </c>
      <c r="AL455" t="s" s="0">
        <v>1502</v>
      </c>
      <c r="AM455" t="s" s="0">
        <v>447</v>
      </c>
      <c r="AN455" t="s" s="0">
        <v>447</v>
      </c>
      <c r="AO455" t="s" s="0">
        <v>77</v>
      </c>
      <c r="AP455" t="s" s="0">
        <v>102</v>
      </c>
      <c r="AQ455" t="s" s="0">
        <v>8001</v>
      </c>
      <c r="AR455" t="s" s="0">
        <v>8002</v>
      </c>
      <c r="AS455" t="s" s="0">
        <v>8003</v>
      </c>
      <c r="AT455" t="s" s="0">
        <v>8004</v>
      </c>
      <c r="AU455" t="s" s="0">
        <v>8005</v>
      </c>
      <c r="AV455" t="s" s="0">
        <v>82</v>
      </c>
      <c r="AW455" t="s" s="0">
        <v>8006</v>
      </c>
      <c r="AX455" t="s" s="0">
        <v>8007</v>
      </c>
      <c r="AY455" t="s" s="0">
        <v>10849</v>
      </c>
      <c r="AZ455" t="s" s="0">
        <v>147</v>
      </c>
      <c r="BA455" t="s" s="0">
        <v>2575</v>
      </c>
      <c r="BB455" t="s" s="0">
        <v>319</v>
      </c>
      <c r="BC455" t="s" s="0">
        <v>82</v>
      </c>
      <c r="BD455" t="s" s="0">
        <v>82</v>
      </c>
      <c r="BE455" t="s" s="0">
        <v>82</v>
      </c>
      <c r="BF455" t="s" s="0">
        <v>82</v>
      </c>
      <c r="BG455" t="s" s="0">
        <v>10850</v>
      </c>
      <c r="BH455" t="s" s="0">
        <v>10851</v>
      </c>
      <c r="BI455" t="s" s="0">
        <v>82</v>
      </c>
      <c r="BJ455" t="s" s="0">
        <v>10852</v>
      </c>
      <c r="BK455" t="s" s="905">
        <f>HYPERLINK("http://dx.doi.org/10.2967/jnumed.124.269234","http://dx.doi.org/10.2967/jnumed.124.269234")</f>
        <v>10853</v>
      </c>
      <c r="BL455" t="s" s="0">
        <v>82</v>
      </c>
      <c r="BM455" t="s" s="0">
        <v>82</v>
      </c>
      <c r="BN455" t="s" s="0">
        <v>319</v>
      </c>
      <c r="BO455" t="s" s="0">
        <v>414</v>
      </c>
      <c r="BP455" t="s" s="0">
        <v>414</v>
      </c>
      <c r="BQ455" t="s" s="0">
        <v>10854</v>
      </c>
      <c r="BR455" t="s" s="0">
        <v>10855</v>
      </c>
      <c r="BS455" t="s" s="0">
        <v>10856</v>
      </c>
      <c r="BT455" t="s" s="906">
        <f>HYPERLINK("https://www.webofscience.com/wos/woscc/full-record/WOS:001567701600017","View Record in Web of Science")</f>
        <v>120</v>
      </c>
      <c r="BU455" t="s" s="0">
        <v>82</v>
      </c>
      <c r="BV455" t="s" s="0">
        <v>82</v>
      </c>
      <c r="BW455" t="s" s="0">
        <v>82</v>
      </c>
      <c r="BX455" t="s" s="0">
        <v>122</v>
      </c>
    </row>
    <row r="456">
      <c r="A456" t="s" s="0">
        <v>78</v>
      </c>
      <c r="B456" t="s" s="0">
        <v>78</v>
      </c>
      <c r="C456" t="s" s="0">
        <v>78</v>
      </c>
      <c r="D456" t="s" s="0">
        <v>78</v>
      </c>
      <c r="E456" t="s" s="0">
        <v>10857</v>
      </c>
      <c r="F456" t="s" s="0">
        <v>10858</v>
      </c>
      <c r="G456" t="s" s="0">
        <v>10859</v>
      </c>
      <c r="H456" t="s" s="0">
        <v>82</v>
      </c>
      <c r="I456" t="s" s="0">
        <v>297</v>
      </c>
      <c r="J456" t="s" s="0">
        <v>10860</v>
      </c>
      <c r="K456" t="s" s="0">
        <v>10861</v>
      </c>
      <c r="L456" t="s" s="0">
        <v>10862</v>
      </c>
      <c r="M456" t="s" s="0">
        <v>10863</v>
      </c>
      <c r="N456" t="s" s="0">
        <v>10864</v>
      </c>
      <c r="O456" t="s" s="0">
        <v>10865</v>
      </c>
      <c r="P456" t="s" s="0">
        <v>10866</v>
      </c>
      <c r="Q456" t="s" s="0">
        <v>91</v>
      </c>
      <c r="R456" t="s" s="0">
        <v>82</v>
      </c>
      <c r="S456" t="s" s="0">
        <v>82</v>
      </c>
      <c r="T456" t="s" s="0">
        <v>82</v>
      </c>
      <c r="U456" t="s" s="0">
        <v>82</v>
      </c>
      <c r="V456" t="s" s="0">
        <v>10867</v>
      </c>
      <c r="W456" t="s" s="0">
        <v>10868</v>
      </c>
      <c r="X456" t="s" s="0">
        <v>82</v>
      </c>
      <c r="Y456" t="s" s="0">
        <v>82</v>
      </c>
      <c r="Z456" t="s" s="0">
        <v>94</v>
      </c>
      <c r="AA456" t="s" s="0">
        <v>95</v>
      </c>
      <c r="AB456" t="s" s="0">
        <v>82</v>
      </c>
      <c r="AC456" t="s" s="0">
        <v>82</v>
      </c>
      <c r="AD456" t="s" s="0">
        <v>82</v>
      </c>
      <c r="AE456" t="s" s="0">
        <v>82</v>
      </c>
      <c r="AF456" t="s" s="0">
        <v>82</v>
      </c>
      <c r="AG456" t="s" s="0">
        <v>82</v>
      </c>
      <c r="AH456" t="s" s="0">
        <v>10869</v>
      </c>
      <c r="AI456" t="s" s="0">
        <v>10870</v>
      </c>
      <c r="AJ456" t="s" s="0">
        <v>10871</v>
      </c>
      <c r="AK456" t="s" s="0">
        <v>82</v>
      </c>
      <c r="AL456" t="s" s="0">
        <v>201</v>
      </c>
      <c r="AM456" t="s" s="0">
        <v>115</v>
      </c>
      <c r="AN456" t="s" s="0">
        <v>115</v>
      </c>
      <c r="AO456" t="s" s="0">
        <v>77</v>
      </c>
      <c r="AP456" t="s" s="0">
        <v>101</v>
      </c>
      <c r="AQ456" t="s" s="0">
        <v>2241</v>
      </c>
      <c r="AR456" t="s" s="0">
        <v>2242</v>
      </c>
      <c r="AS456" t="s" s="0">
        <v>2243</v>
      </c>
      <c r="AT456" t="s" s="0">
        <v>10872</v>
      </c>
      <c r="AU456" t="s" s="0">
        <v>82</v>
      </c>
      <c r="AV456" t="s" s="0">
        <v>82</v>
      </c>
      <c r="AW456" t="s" s="0">
        <v>10873</v>
      </c>
      <c r="AX456" t="s" s="0">
        <v>10874</v>
      </c>
      <c r="AY456" t="s" s="0">
        <v>1457</v>
      </c>
      <c r="AZ456" t="s" s="0">
        <v>110</v>
      </c>
      <c r="BA456" t="s" s="0">
        <v>375</v>
      </c>
      <c r="BB456" t="s" s="0">
        <v>375</v>
      </c>
      <c r="BC456" t="s" s="0">
        <v>82</v>
      </c>
      <c r="BD456" t="s" s="0">
        <v>82</v>
      </c>
      <c r="BE456" t="s" s="0">
        <v>82</v>
      </c>
      <c r="BF456" t="s" s="0">
        <v>82</v>
      </c>
      <c r="BG456" t="s" s="0">
        <v>82</v>
      </c>
      <c r="BH456" t="s" s="0">
        <v>82</v>
      </c>
      <c r="BI456" t="s" s="0">
        <v>10875</v>
      </c>
      <c r="BJ456" t="s" s="0">
        <v>10876</v>
      </c>
      <c r="BK456" t="s" s="907">
        <f>HYPERLINK("http://dx.doi.org/10.1148/rycan.240050","http://dx.doi.org/10.1148/rycan.240050")</f>
        <v>10877</v>
      </c>
      <c r="BL456" t="s" s="0">
        <v>82</v>
      </c>
      <c r="BM456" t="s" s="0">
        <v>82</v>
      </c>
      <c r="BN456" t="s" s="0">
        <v>115</v>
      </c>
      <c r="BO456" t="s" s="0">
        <v>2164</v>
      </c>
      <c r="BP456" t="s" s="0">
        <v>2164</v>
      </c>
      <c r="BQ456" t="s" s="0">
        <v>10878</v>
      </c>
      <c r="BR456" t="s" s="0">
        <v>10879</v>
      </c>
      <c r="BS456" t="s" s="0">
        <v>10880</v>
      </c>
      <c r="BT456" t="s" s="908">
        <f>HYPERLINK("https://www.webofscience.com/wos/woscc/full-record/WOS:001412129200013","View Record in Web of Science")</f>
        <v>120</v>
      </c>
      <c r="BU456" t="s" s="0">
        <v>121</v>
      </c>
      <c r="BV456" t="s" s="0">
        <v>82</v>
      </c>
      <c r="BW456" t="s" s="0">
        <v>82</v>
      </c>
      <c r="BX456" t="s" s="0">
        <v>122</v>
      </c>
    </row>
    <row r="457">
      <c r="A457" t="s" s="0">
        <v>78</v>
      </c>
      <c r="B457" t="s" s="0">
        <v>78</v>
      </c>
      <c r="C457" t="s" s="0">
        <v>78</v>
      </c>
      <c r="D457" t="s" s="0">
        <v>78</v>
      </c>
      <c r="E457" t="s" s="0">
        <v>10881</v>
      </c>
      <c r="F457" t="s" s="0">
        <v>10882</v>
      </c>
      <c r="G457" t="s" s="0">
        <v>10883</v>
      </c>
      <c r="H457" t="s" s="0">
        <v>82</v>
      </c>
      <c r="I457" t="s" s="0">
        <v>297</v>
      </c>
      <c r="J457" t="s" s="0">
        <v>10884</v>
      </c>
      <c r="K457" t="s" s="0">
        <v>10885</v>
      </c>
      <c r="L457" t="s" s="0">
        <v>10886</v>
      </c>
      <c r="M457" t="s" s="0">
        <v>10887</v>
      </c>
      <c r="N457" t="s" s="0">
        <v>10888</v>
      </c>
      <c r="O457" t="s" s="0">
        <v>10889</v>
      </c>
      <c r="P457" t="s" s="0">
        <v>82</v>
      </c>
      <c r="Q457" t="s" s="0">
        <v>91</v>
      </c>
      <c r="R457" t="s" s="0">
        <v>82</v>
      </c>
      <c r="S457" t="s" s="0">
        <v>82</v>
      </c>
      <c r="T457" t="s" s="0">
        <v>82</v>
      </c>
      <c r="U457" t="s" s="0">
        <v>82</v>
      </c>
      <c r="V457" t="s" s="0">
        <v>10890</v>
      </c>
      <c r="W457" t="s" s="0">
        <v>10891</v>
      </c>
      <c r="X457" t="s" s="0">
        <v>82</v>
      </c>
      <c r="Y457" t="s" s="0">
        <v>82</v>
      </c>
      <c r="Z457" t="s" s="0">
        <v>94</v>
      </c>
      <c r="AA457" t="s" s="0">
        <v>95</v>
      </c>
      <c r="AB457" t="s" s="0">
        <v>82</v>
      </c>
      <c r="AC457" t="s" s="0">
        <v>82</v>
      </c>
      <c r="AD457" t="s" s="0">
        <v>82</v>
      </c>
      <c r="AE457" t="s" s="0">
        <v>82</v>
      </c>
      <c r="AF457" t="s" s="0">
        <v>82</v>
      </c>
      <c r="AG457" t="s" s="0">
        <v>10892</v>
      </c>
      <c r="AH457" t="s" s="0">
        <v>10893</v>
      </c>
      <c r="AI457" t="s" s="0">
        <v>10894</v>
      </c>
      <c r="AJ457" t="s" s="0">
        <v>10895</v>
      </c>
      <c r="AK457" t="s" s="0">
        <v>82</v>
      </c>
      <c r="AL457" t="s" s="0">
        <v>311</v>
      </c>
      <c r="AM457" t="s" s="0">
        <v>102</v>
      </c>
      <c r="AN457" t="s" s="0">
        <v>102</v>
      </c>
      <c r="AO457" t="s" s="0">
        <v>447</v>
      </c>
      <c r="AP457" t="s" s="0">
        <v>447</v>
      </c>
      <c r="AQ457" t="s" s="0">
        <v>312</v>
      </c>
      <c r="AR457" t="s" s="0">
        <v>313</v>
      </c>
      <c r="AS457" t="s" s="0">
        <v>314</v>
      </c>
      <c r="AT457" t="s" s="0">
        <v>82</v>
      </c>
      <c r="AU457" t="s" s="0">
        <v>10896</v>
      </c>
      <c r="AV457" t="s" s="0">
        <v>82</v>
      </c>
      <c r="AW457" t="s" s="0">
        <v>10891</v>
      </c>
      <c r="AX457" t="s" s="0">
        <v>10897</v>
      </c>
      <c r="AY457" t="s" s="0">
        <v>7478</v>
      </c>
      <c r="AZ457" t="s" s="0">
        <v>147</v>
      </c>
      <c r="BA457" t="s" s="0">
        <v>115</v>
      </c>
      <c r="BB457" t="s" s="0">
        <v>245</v>
      </c>
      <c r="BC457" t="s" s="0">
        <v>82</v>
      </c>
      <c r="BD457" t="s" s="0">
        <v>82</v>
      </c>
      <c r="BE457" t="s" s="0">
        <v>82</v>
      </c>
      <c r="BF457" t="s" s="0">
        <v>82</v>
      </c>
      <c r="BG457" t="s" s="0">
        <v>82</v>
      </c>
      <c r="BH457" t="s" s="0">
        <v>82</v>
      </c>
      <c r="BI457" t="s" s="0">
        <v>10898</v>
      </c>
      <c r="BJ457" t="s" s="0">
        <v>10899</v>
      </c>
      <c r="BK457" t="s" s="909">
        <f>HYPERLINK("http://dx.doi.org/10.3390/technologies13100447","http://dx.doi.org/10.3390/technologies13100447")</f>
        <v>10900</v>
      </c>
      <c r="BL457" t="s" s="0">
        <v>82</v>
      </c>
      <c r="BM457" t="s" s="0">
        <v>82</v>
      </c>
      <c r="BN457" t="s" s="0">
        <v>831</v>
      </c>
      <c r="BO457" t="s" s="0">
        <v>7869</v>
      </c>
      <c r="BP457" t="s" s="0">
        <v>2763</v>
      </c>
      <c r="BQ457" t="s" s="0">
        <v>10901</v>
      </c>
      <c r="BR457" t="s" s="0">
        <v>82</v>
      </c>
      <c r="BS457" t="s" s="0">
        <v>10902</v>
      </c>
      <c r="BT457" t="s" s="910">
        <f>HYPERLINK("https://www.webofscience.com/wos/woscc/full-record/WOS:001604478800001","View Record in Web of Science")</f>
        <v>120</v>
      </c>
      <c r="BU457" t="s" s="0">
        <v>121</v>
      </c>
      <c r="BV457" t="s" s="0">
        <v>82</v>
      </c>
      <c r="BW457" t="s" s="0">
        <v>82</v>
      </c>
      <c r="BX457" t="s" s="0">
        <v>122</v>
      </c>
    </row>
    <row r="458">
      <c r="A458" t="s" s="0">
        <v>78</v>
      </c>
      <c r="B458" t="s" s="0">
        <v>78</v>
      </c>
      <c r="C458" t="s" s="0">
        <v>77</v>
      </c>
      <c r="D458" t="s" s="0">
        <v>78</v>
      </c>
      <c r="E458" t="s" s="0">
        <v>10903</v>
      </c>
      <c r="F458" t="s" s="0">
        <v>10904</v>
      </c>
      <c r="G458" t="s" s="0">
        <v>10905</v>
      </c>
      <c r="H458" t="s" s="0">
        <v>82</v>
      </c>
      <c r="I458" t="s" s="0">
        <v>83</v>
      </c>
      <c r="J458" t="s" s="0">
        <v>10906</v>
      </c>
      <c r="K458" t="s" s="0">
        <v>10907</v>
      </c>
      <c r="L458" t="s" s="0">
        <v>10908</v>
      </c>
      <c r="M458" t="s" s="0">
        <v>10909</v>
      </c>
      <c r="N458" t="s" s="0">
        <v>10910</v>
      </c>
      <c r="O458" t="s" s="0">
        <v>10911</v>
      </c>
      <c r="P458" t="s" s="0">
        <v>10912</v>
      </c>
      <c r="Q458" t="s" s="0">
        <v>91</v>
      </c>
      <c r="R458" t="s" s="0">
        <v>82</v>
      </c>
      <c r="S458" t="s" s="0">
        <v>82</v>
      </c>
      <c r="T458" t="s" s="0">
        <v>82</v>
      </c>
      <c r="U458" t="s" s="0">
        <v>82</v>
      </c>
      <c r="V458" t="s" s="0">
        <v>10913</v>
      </c>
      <c r="W458" t="s" s="0">
        <v>10914</v>
      </c>
      <c r="X458" t="s" s="0">
        <v>82</v>
      </c>
      <c r="Y458" t="s" s="0">
        <v>82</v>
      </c>
      <c r="Z458" t="s" s="0">
        <v>94</v>
      </c>
      <c r="AA458" t="s" s="0">
        <v>95</v>
      </c>
      <c r="AB458" t="s" s="0">
        <v>82</v>
      </c>
      <c r="AC458" t="s" s="0">
        <v>82</v>
      </c>
      <c r="AD458" t="s" s="0">
        <v>82</v>
      </c>
      <c r="AE458" t="s" s="0">
        <v>82</v>
      </c>
      <c r="AF458" t="s" s="0">
        <v>82</v>
      </c>
      <c r="AG458" t="s" s="0">
        <v>82</v>
      </c>
      <c r="AH458" t="s" s="0">
        <v>10915</v>
      </c>
      <c r="AI458" t="s" s="0">
        <v>82</v>
      </c>
      <c r="AJ458" t="s" s="0">
        <v>10916</v>
      </c>
      <c r="AK458" t="s" s="0">
        <v>82</v>
      </c>
      <c r="AL458" t="s" s="0">
        <v>399</v>
      </c>
      <c r="AM458" t="s" s="0">
        <v>173</v>
      </c>
      <c r="AN458" t="s" s="0">
        <v>173</v>
      </c>
      <c r="AO458" t="s" s="0">
        <v>447</v>
      </c>
      <c r="AP458" t="s" s="0">
        <v>319</v>
      </c>
      <c r="AQ458" t="s" s="0">
        <v>832</v>
      </c>
      <c r="AR458" t="s" s="0">
        <v>833</v>
      </c>
      <c r="AS458" t="s" s="0">
        <v>834</v>
      </c>
      <c r="AT458" t="s" s="0">
        <v>10917</v>
      </c>
      <c r="AU458" t="s" s="0">
        <v>10918</v>
      </c>
      <c r="AV458" t="s" s="0">
        <v>82</v>
      </c>
      <c r="AW458" t="s" s="0">
        <v>10919</v>
      </c>
      <c r="AX458" t="s" s="0">
        <v>10920</v>
      </c>
      <c r="AY458" t="s" s="0">
        <v>804</v>
      </c>
      <c r="AZ458" t="s" s="0">
        <v>210</v>
      </c>
      <c r="BA458" t="s" s="0">
        <v>10921</v>
      </c>
      <c r="BB458" t="s" s="0">
        <v>319</v>
      </c>
      <c r="BC458" t="s" s="0">
        <v>82</v>
      </c>
      <c r="BD458" t="s" s="0">
        <v>82</v>
      </c>
      <c r="BE458" t="s" s="0">
        <v>82</v>
      </c>
      <c r="BF458" t="s" s="0">
        <v>82</v>
      </c>
      <c r="BG458" t="s" s="0">
        <v>10922</v>
      </c>
      <c r="BH458" t="s" s="0">
        <v>10923</v>
      </c>
      <c r="BI458" t="s" s="0">
        <v>82</v>
      </c>
      <c r="BJ458" t="s" s="0">
        <v>10924</v>
      </c>
      <c r="BK458" t="s" s="911">
        <f>HYPERLINK("http://dx.doi.org/10.1097/CORR.0000000000002612","http://dx.doi.org/10.1097/CORR.0000000000002612")</f>
        <v>10925</v>
      </c>
      <c r="BL458" t="s" s="0">
        <v>82</v>
      </c>
      <c r="BM458" t="s" s="0">
        <v>82</v>
      </c>
      <c r="BN458" t="s" s="0">
        <v>136</v>
      </c>
      <c r="BO458" t="s" s="0">
        <v>4277</v>
      </c>
      <c r="BP458" t="s" s="0">
        <v>4277</v>
      </c>
      <c r="BQ458" t="s" s="0">
        <v>10926</v>
      </c>
      <c r="BR458" t="s" s="0">
        <v>10927</v>
      </c>
      <c r="BS458" t="s" s="0">
        <v>10928</v>
      </c>
      <c r="BT458" t="s" s="912">
        <f>HYPERLINK("https://www.webofscience.com/wos/woscc/full-record/WOS:001052335400031","View Record in Web of Science")</f>
        <v>120</v>
      </c>
      <c r="BU458" t="s" s="0">
        <v>1265</v>
      </c>
      <c r="BV458" t="s" s="0">
        <v>82</v>
      </c>
      <c r="BW458" t="s" s="0">
        <v>82</v>
      </c>
      <c r="BX458" t="s" s="0">
        <v>122</v>
      </c>
    </row>
    <row r="459">
      <c r="A459" t="s" s="0">
        <v>78</v>
      </c>
      <c r="B459" t="s" s="0">
        <v>78</v>
      </c>
      <c r="C459" t="s" s="0">
        <v>77</v>
      </c>
      <c r="D459" t="s" s="0">
        <v>78</v>
      </c>
      <c r="E459" t="s" s="0">
        <v>10929</v>
      </c>
      <c r="F459" t="s" s="0">
        <v>10930</v>
      </c>
      <c r="G459" t="s" s="0">
        <v>10931</v>
      </c>
      <c r="H459" t="s" s="0">
        <v>82</v>
      </c>
      <c r="I459" t="s" s="0">
        <v>83</v>
      </c>
      <c r="J459" t="s" s="0">
        <v>10932</v>
      </c>
      <c r="K459" t="s" s="0">
        <v>10933</v>
      </c>
      <c r="L459" t="s" s="0">
        <v>10934</v>
      </c>
      <c r="M459" t="s" s="0">
        <v>10934</v>
      </c>
      <c r="N459" t="s" s="0">
        <v>88</v>
      </c>
      <c r="O459" t="s" s="0">
        <v>10935</v>
      </c>
      <c r="P459" t="s" s="0">
        <v>10936</v>
      </c>
      <c r="Q459" t="s" s="0">
        <v>91</v>
      </c>
      <c r="R459" t="s" s="0">
        <v>82</v>
      </c>
      <c r="S459" t="s" s="0">
        <v>82</v>
      </c>
      <c r="T459" t="s" s="0">
        <v>82</v>
      </c>
      <c r="U459" t="s" s="0">
        <v>82</v>
      </c>
      <c r="V459" t="s" s="0">
        <v>10937</v>
      </c>
      <c r="W459" t="s" s="0">
        <v>9553</v>
      </c>
      <c r="X459" t="s" s="0">
        <v>82</v>
      </c>
      <c r="Y459" t="s" s="0">
        <v>82</v>
      </c>
      <c r="Z459" t="s" s="0">
        <v>94</v>
      </c>
      <c r="AA459" t="s" s="0">
        <v>95</v>
      </c>
      <c r="AB459" t="s" s="0">
        <v>82</v>
      </c>
      <c r="AC459" t="s" s="0">
        <v>82</v>
      </c>
      <c r="AD459" t="s" s="0">
        <v>82</v>
      </c>
      <c r="AE459" t="s" s="0">
        <v>82</v>
      </c>
      <c r="AF459" t="s" s="0">
        <v>82</v>
      </c>
      <c r="AG459" t="s" s="0">
        <v>10938</v>
      </c>
      <c r="AH459" t="s" s="0">
        <v>10939</v>
      </c>
      <c r="AI459" t="s" s="0">
        <v>10940</v>
      </c>
      <c r="AJ459" t="s" s="0">
        <v>82</v>
      </c>
      <c r="AK459" t="s" s="0">
        <v>82</v>
      </c>
      <c r="AL459" t="s" s="0">
        <v>100</v>
      </c>
      <c r="AM459" t="s" s="0">
        <v>375</v>
      </c>
      <c r="AN459" t="s" s="0">
        <v>375</v>
      </c>
      <c r="AO459" t="s" s="0">
        <v>102</v>
      </c>
      <c r="AP459" t="s" s="0">
        <v>319</v>
      </c>
      <c r="AQ459" t="s" s="0">
        <v>103</v>
      </c>
      <c r="AR459" t="s" s="0">
        <v>104</v>
      </c>
      <c r="AS459" t="s" s="0">
        <v>105</v>
      </c>
      <c r="AT459" t="s" s="0">
        <v>82</v>
      </c>
      <c r="AU459" t="s" s="0">
        <v>9556</v>
      </c>
      <c r="AV459" t="s" s="0">
        <v>82</v>
      </c>
      <c r="AW459" t="s" s="0">
        <v>9557</v>
      </c>
      <c r="AX459" t="s" s="0">
        <v>9558</v>
      </c>
      <c r="AY459" t="s" s="0">
        <v>10941</v>
      </c>
      <c r="AZ459" t="s" s="0">
        <v>147</v>
      </c>
      <c r="BA459" t="s" s="0">
        <v>111</v>
      </c>
      <c r="BB459" t="s" s="0">
        <v>77</v>
      </c>
      <c r="BC459" t="s" s="0">
        <v>82</v>
      </c>
      <c r="BD459" t="s" s="0">
        <v>82</v>
      </c>
      <c r="BE459" t="s" s="0">
        <v>82</v>
      </c>
      <c r="BF459" t="s" s="0">
        <v>82</v>
      </c>
      <c r="BG459" t="s" s="0">
        <v>82</v>
      </c>
      <c r="BH459" t="s" s="0">
        <v>82</v>
      </c>
      <c r="BI459" t="s" s="0">
        <v>10942</v>
      </c>
      <c r="BJ459" t="s" s="0">
        <v>10943</v>
      </c>
      <c r="BK459" t="s" s="913">
        <f>HYPERLINK("http://dx.doi.org/10.1186/s12876-025-04045-0","http://dx.doi.org/10.1186/s12876-025-04045-0")</f>
        <v>10944</v>
      </c>
      <c r="BL459" t="s" s="0">
        <v>82</v>
      </c>
      <c r="BM459" t="s" s="0">
        <v>82</v>
      </c>
      <c r="BN459" t="s" s="0">
        <v>137</v>
      </c>
      <c r="BO459" t="s" s="0">
        <v>924</v>
      </c>
      <c r="BP459" t="s" s="0">
        <v>924</v>
      </c>
      <c r="BQ459" t="s" s="0">
        <v>10945</v>
      </c>
      <c r="BR459" t="s" s="0">
        <v>10946</v>
      </c>
      <c r="BS459" t="s" s="0">
        <v>10947</v>
      </c>
      <c r="BT459" t="s" s="914">
        <f>HYPERLINK("https://www.webofscience.com/wos/woscc/full-record/WOS:001522897000037","View Record in Web of Science")</f>
        <v>120</v>
      </c>
      <c r="BU459" t="s" s="0">
        <v>121</v>
      </c>
      <c r="BV459" t="s" s="0">
        <v>82</v>
      </c>
      <c r="BW459" t="s" s="0">
        <v>82</v>
      </c>
      <c r="BX459" t="s" s="0">
        <v>122</v>
      </c>
    </row>
    <row r="460">
      <c r="A460" t="s" s="0">
        <v>78</v>
      </c>
      <c r="B460" t="s" s="0">
        <v>78</v>
      </c>
      <c r="C460" t="s" s="0">
        <v>78</v>
      </c>
      <c r="D460" t="s" s="0">
        <v>78</v>
      </c>
      <c r="E460" t="s" s="0">
        <v>10948</v>
      </c>
      <c r="F460" t="s" s="0">
        <v>10949</v>
      </c>
      <c r="G460" t="s" s="0">
        <v>10950</v>
      </c>
      <c r="H460" t="s" s="0">
        <v>82</v>
      </c>
      <c r="I460" t="s" s="0">
        <v>83</v>
      </c>
      <c r="J460" t="s" s="0">
        <v>10951</v>
      </c>
      <c r="K460" t="s" s="0">
        <v>10952</v>
      </c>
      <c r="L460" t="s" s="0">
        <v>82</v>
      </c>
      <c r="M460" t="s" s="0">
        <v>82</v>
      </c>
      <c r="N460" t="s" s="0">
        <v>82</v>
      </c>
      <c r="O460" t="s" s="0">
        <v>10953</v>
      </c>
      <c r="P460" t="s" s="0">
        <v>10954</v>
      </c>
      <c r="Q460" t="s" s="0">
        <v>91</v>
      </c>
      <c r="R460" t="s" s="0">
        <v>82</v>
      </c>
      <c r="S460" t="s" s="0">
        <v>82</v>
      </c>
      <c r="T460" t="s" s="0">
        <v>82</v>
      </c>
      <c r="U460" t="s" s="0">
        <v>82</v>
      </c>
      <c r="V460" t="s" s="0">
        <v>10955</v>
      </c>
      <c r="W460" t="s" s="0">
        <v>1677</v>
      </c>
      <c r="X460" t="s" s="0">
        <v>82</v>
      </c>
      <c r="Y460" t="s" s="0">
        <v>82</v>
      </c>
      <c r="Z460" t="s" s="0">
        <v>94</v>
      </c>
      <c r="AA460" t="s" s="0">
        <v>95</v>
      </c>
      <c r="AB460" t="s" s="0">
        <v>82</v>
      </c>
      <c r="AC460" t="s" s="0">
        <v>82</v>
      </c>
      <c r="AD460" t="s" s="0">
        <v>82</v>
      </c>
      <c r="AE460" t="s" s="0">
        <v>82</v>
      </c>
      <c r="AF460" t="s" s="0">
        <v>82</v>
      </c>
      <c r="AG460" t="s" s="0">
        <v>82</v>
      </c>
      <c r="AH460" t="s" s="0">
        <v>82</v>
      </c>
      <c r="AI460" t="s" s="0">
        <v>10956</v>
      </c>
      <c r="AJ460" t="s" s="0">
        <v>82</v>
      </c>
      <c r="AK460" t="s" s="0">
        <v>82</v>
      </c>
      <c r="AL460" t="s" s="0">
        <v>1161</v>
      </c>
      <c r="AM460" t="s" s="0">
        <v>77</v>
      </c>
      <c r="AN460" t="s" s="0">
        <v>77</v>
      </c>
      <c r="AO460" t="s" s="0">
        <v>77</v>
      </c>
      <c r="AP460" t="s" s="0">
        <v>77</v>
      </c>
      <c r="AQ460" t="s" s="0">
        <v>1681</v>
      </c>
      <c r="AR460" t="s" s="0">
        <v>1682</v>
      </c>
      <c r="AS460" t="s" s="0">
        <v>1683</v>
      </c>
      <c r="AT460" t="s" s="0">
        <v>1684</v>
      </c>
      <c r="AU460" t="s" s="0">
        <v>1685</v>
      </c>
      <c r="AV460" t="s" s="0">
        <v>82</v>
      </c>
      <c r="AW460" t="s" s="0">
        <v>1686</v>
      </c>
      <c r="AX460" t="s" s="0">
        <v>1687</v>
      </c>
      <c r="AY460" t="s" s="0">
        <v>1003</v>
      </c>
      <c r="AZ460" t="s" s="0">
        <v>181</v>
      </c>
      <c r="BA460" t="s" s="0">
        <v>829</v>
      </c>
      <c r="BB460" t="s" s="0">
        <v>221</v>
      </c>
      <c r="BC460" t="s" s="0">
        <v>82</v>
      </c>
      <c r="BD460" t="s" s="0">
        <v>82</v>
      </c>
      <c r="BE460" t="s" s="0">
        <v>82</v>
      </c>
      <c r="BF460" t="s" s="0">
        <v>82</v>
      </c>
      <c r="BG460" t="s" s="0">
        <v>10957</v>
      </c>
      <c r="BH460" t="s" s="0">
        <v>10958</v>
      </c>
      <c r="BI460" t="s" s="0">
        <v>82</v>
      </c>
      <c r="BJ460" t="s" s="0">
        <v>10959</v>
      </c>
      <c r="BK460" t="s" s="915">
        <f>HYPERLINK("http://dx.doi.org/10.3174/ajnr.A9112","http://dx.doi.org/10.3174/ajnr.A9112")</f>
        <v>10960</v>
      </c>
      <c r="BL460" t="s" s="0">
        <v>82</v>
      </c>
      <c r="BM460" t="s" s="0">
        <v>1365</v>
      </c>
      <c r="BN460" t="s" s="0">
        <v>138</v>
      </c>
      <c r="BO460" t="s" s="0">
        <v>1692</v>
      </c>
      <c r="BP460" t="s" s="0">
        <v>1693</v>
      </c>
      <c r="BQ460" t="s" s="0">
        <v>10961</v>
      </c>
      <c r="BR460" t="s" s="0">
        <v>10962</v>
      </c>
      <c r="BS460" t="s" s="0">
        <v>10963</v>
      </c>
      <c r="BT460" t="s" s="916">
        <f>HYPERLINK("https://www.webofscience.com/wos/woscc/full-record/WOS:001748767400001","View Record in Web of Science")</f>
        <v>120</v>
      </c>
      <c r="BU460" t="s" s="0">
        <v>256</v>
      </c>
      <c r="BV460" t="s" s="0">
        <v>82</v>
      </c>
      <c r="BW460" t="s" s="0">
        <v>82</v>
      </c>
      <c r="BX460" t="s" s="0">
        <v>122</v>
      </c>
    </row>
    <row r="461">
      <c r="A461" t="s" s="0">
        <v>78</v>
      </c>
      <c r="B461" t="s" s="0">
        <v>78</v>
      </c>
      <c r="C461" t="s" s="0">
        <v>375</v>
      </c>
      <c r="D461" t="s" s="0">
        <v>78</v>
      </c>
      <c r="E461" t="s" s="0">
        <v>10964</v>
      </c>
      <c r="F461" t="s" s="0">
        <v>10965</v>
      </c>
      <c r="G461" t="s" s="0">
        <v>10966</v>
      </c>
      <c r="H461" t="s" s="0">
        <v>82</v>
      </c>
      <c r="I461" t="s" s="0">
        <v>83</v>
      </c>
      <c r="J461" t="s" s="0">
        <v>10967</v>
      </c>
      <c r="K461" t="s" s="0">
        <v>10968</v>
      </c>
      <c r="L461" t="s" s="0">
        <v>10969</v>
      </c>
      <c r="M461" t="s" s="0">
        <v>10970</v>
      </c>
      <c r="N461" t="s" s="0">
        <v>10971</v>
      </c>
      <c r="O461" t="s" s="0">
        <v>10972</v>
      </c>
      <c r="P461" t="s" s="0">
        <v>10973</v>
      </c>
      <c r="Q461" t="s" s="0">
        <v>91</v>
      </c>
      <c r="R461" t="s" s="0">
        <v>82</v>
      </c>
      <c r="S461" t="s" s="0">
        <v>82</v>
      </c>
      <c r="T461" t="s" s="0">
        <v>82</v>
      </c>
      <c r="U461" t="s" s="0">
        <v>82</v>
      </c>
      <c r="V461" t="s" s="0">
        <v>10974</v>
      </c>
      <c r="W461" t="s" s="0">
        <v>965</v>
      </c>
      <c r="X461" t="s" s="0">
        <v>82</v>
      </c>
      <c r="Y461" t="s" s="0">
        <v>82</v>
      </c>
      <c r="Z461" t="s" s="0">
        <v>94</v>
      </c>
      <c r="AA461" t="s" s="0">
        <v>95</v>
      </c>
      <c r="AB461" t="s" s="0">
        <v>82</v>
      </c>
      <c r="AC461" t="s" s="0">
        <v>82</v>
      </c>
      <c r="AD461" t="s" s="0">
        <v>82</v>
      </c>
      <c r="AE461" t="s" s="0">
        <v>82</v>
      </c>
      <c r="AF461" t="s" s="0">
        <v>82</v>
      </c>
      <c r="AG461" t="s" s="0">
        <v>82</v>
      </c>
      <c r="AH461" t="s" s="0">
        <v>10975</v>
      </c>
      <c r="AI461" t="s" s="0">
        <v>10976</v>
      </c>
      <c r="AJ461" t="s" s="0">
        <v>10977</v>
      </c>
      <c r="AK461" t="s" s="0">
        <v>82</v>
      </c>
      <c r="AL461" t="s" s="0">
        <v>548</v>
      </c>
      <c r="AM461" t="s" s="0">
        <v>1502</v>
      </c>
      <c r="AN461" t="s" s="0">
        <v>238</v>
      </c>
      <c r="AO461" t="s" s="0">
        <v>447</v>
      </c>
      <c r="AP461" t="s" s="0">
        <v>685</v>
      </c>
      <c r="AQ461" t="s" s="0">
        <v>968</v>
      </c>
      <c r="AR461" t="s" s="0">
        <v>969</v>
      </c>
      <c r="AS461" t="s" s="0">
        <v>970</v>
      </c>
      <c r="AT461" t="s" s="0">
        <v>971</v>
      </c>
      <c r="AU461" t="s" s="0">
        <v>972</v>
      </c>
      <c r="AV461" t="s" s="0">
        <v>82</v>
      </c>
      <c r="AW461" t="s" s="0">
        <v>965</v>
      </c>
      <c r="AX461" t="s" s="0">
        <v>973</v>
      </c>
      <c r="AY461" t="s" s="0">
        <v>2370</v>
      </c>
      <c r="AZ461" t="s" s="0">
        <v>110</v>
      </c>
      <c r="BA461" t="s" s="0">
        <v>755</v>
      </c>
      <c r="BB461" t="s" s="0">
        <v>8254</v>
      </c>
      <c r="BC461" t="s" s="0">
        <v>82</v>
      </c>
      <c r="BD461" t="s" s="0">
        <v>82</v>
      </c>
      <c r="BE461" t="s" s="0">
        <v>82</v>
      </c>
      <c r="BF461" t="s" s="0">
        <v>82</v>
      </c>
      <c r="BG461" t="s" s="0">
        <v>10978</v>
      </c>
      <c r="BH461" t="s" s="0">
        <v>10979</v>
      </c>
      <c r="BI461" t="s" s="0">
        <v>82</v>
      </c>
      <c r="BJ461" t="s" s="0">
        <v>10980</v>
      </c>
      <c r="BK461" t="s" s="917">
        <f>HYPERLINK("http://dx.doi.org/10.1055/a-2189-7036","http://dx.doi.org/10.1055/a-2189-7036")</f>
        <v>10981</v>
      </c>
      <c r="BL461" t="s" s="0">
        <v>82</v>
      </c>
      <c r="BM461" t="s" s="0">
        <v>5018</v>
      </c>
      <c r="BN461" t="s" s="0">
        <v>138</v>
      </c>
      <c r="BO461" t="s" s="0">
        <v>978</v>
      </c>
      <c r="BP461" t="s" s="0">
        <v>978</v>
      </c>
      <c r="BQ461" t="s" s="0">
        <v>10982</v>
      </c>
      <c r="BR461" t="s" s="0">
        <v>10983</v>
      </c>
      <c r="BS461" t="s" s="0">
        <v>10984</v>
      </c>
      <c r="BT461" t="s" s="918">
        <f>HYPERLINK("https://www.webofscience.com/wos/woscc/full-record/WOS:001179168200002","View Record in Web of Science")</f>
        <v>120</v>
      </c>
      <c r="BU461" t="s" s="0">
        <v>82</v>
      </c>
      <c r="BV461" t="s" s="0">
        <v>82</v>
      </c>
      <c r="BW461" t="s" s="0">
        <v>82</v>
      </c>
      <c r="BX461" t="s" s="0">
        <v>122</v>
      </c>
    </row>
    <row r="462">
      <c r="A462" t="s" s="0">
        <v>447</v>
      </c>
      <c r="B462" t="s" s="0">
        <v>78</v>
      </c>
      <c r="C462" t="s" s="0">
        <v>349</v>
      </c>
      <c r="D462" t="s" s="0">
        <v>78</v>
      </c>
      <c r="E462" t="s" s="0">
        <v>10985</v>
      </c>
      <c r="F462" t="s" s="0">
        <v>10986</v>
      </c>
      <c r="G462" t="s" s="0">
        <v>10987</v>
      </c>
      <c r="H462" t="s" s="0">
        <v>82</v>
      </c>
      <c r="I462" t="s" s="0">
        <v>83</v>
      </c>
      <c r="J462" t="s" s="0">
        <v>10988</v>
      </c>
      <c r="K462" t="s" s="0">
        <v>10989</v>
      </c>
      <c r="L462" t="s" s="0">
        <v>10990</v>
      </c>
      <c r="M462" t="s" s="0">
        <v>10990</v>
      </c>
      <c r="N462" t="s" s="0">
        <v>10991</v>
      </c>
      <c r="O462" t="s" s="0">
        <v>10992</v>
      </c>
      <c r="P462" t="s" s="0">
        <v>10993</v>
      </c>
      <c r="Q462" t="s" s="0">
        <v>91</v>
      </c>
      <c r="R462" t="s" s="0">
        <v>82</v>
      </c>
      <c r="S462" t="s" s="0">
        <v>82</v>
      </c>
      <c r="T462" t="s" s="0">
        <v>82</v>
      </c>
      <c r="U462" t="s" s="0">
        <v>82</v>
      </c>
      <c r="V462" t="s" s="0">
        <v>10994</v>
      </c>
      <c r="W462" t="s" s="0">
        <v>10995</v>
      </c>
      <c r="X462" t="s" s="0">
        <v>82</v>
      </c>
      <c r="Y462" t="s" s="0">
        <v>82</v>
      </c>
      <c r="Z462" t="s" s="0">
        <v>94</v>
      </c>
      <c r="AA462" t="s" s="0">
        <v>95</v>
      </c>
      <c r="AB462" t="s" s="0">
        <v>82</v>
      </c>
      <c r="AC462" t="s" s="0">
        <v>82</v>
      </c>
      <c r="AD462" t="s" s="0">
        <v>82</v>
      </c>
      <c r="AE462" t="s" s="0">
        <v>82</v>
      </c>
      <c r="AF462" t="s" s="0">
        <v>82</v>
      </c>
      <c r="AG462" t="s" s="0">
        <v>82</v>
      </c>
      <c r="AH462" t="s" s="0">
        <v>10996</v>
      </c>
      <c r="AI462" t="s" s="0">
        <v>10997</v>
      </c>
      <c r="AJ462" t="s" s="0">
        <v>10998</v>
      </c>
      <c r="AK462" t="s" s="0">
        <v>82</v>
      </c>
      <c r="AL462" t="s" s="0">
        <v>1186</v>
      </c>
      <c r="AM462" t="s" s="0">
        <v>890</v>
      </c>
      <c r="AN462" t="s" s="0">
        <v>828</v>
      </c>
      <c r="AO462" t="s" s="0">
        <v>77</v>
      </c>
      <c r="AP462" t="s" s="0">
        <v>323</v>
      </c>
      <c r="AQ462" t="s" s="0">
        <v>10999</v>
      </c>
      <c r="AR462" t="s" s="0">
        <v>833</v>
      </c>
      <c r="AS462" t="s" s="0">
        <v>11000</v>
      </c>
      <c r="AT462" t="s" s="0">
        <v>11001</v>
      </c>
      <c r="AU462" t="s" s="0">
        <v>11002</v>
      </c>
      <c r="AV462" t="s" s="0">
        <v>82</v>
      </c>
      <c r="AW462" t="s" s="0">
        <v>11003</v>
      </c>
      <c r="AX462" t="s" s="0">
        <v>11004</v>
      </c>
      <c r="AY462" t="s" s="0">
        <v>11005</v>
      </c>
      <c r="AZ462" t="s" s="0">
        <v>525</v>
      </c>
      <c r="BA462" t="s" s="0">
        <v>1780</v>
      </c>
      <c r="BB462" t="s" s="0">
        <v>101</v>
      </c>
      <c r="BC462" t="s" s="0">
        <v>82</v>
      </c>
      <c r="BD462" t="s" s="0">
        <v>82</v>
      </c>
      <c r="BE462" t="s" s="0">
        <v>82</v>
      </c>
      <c r="BF462" t="s" s="0">
        <v>82</v>
      </c>
      <c r="BG462" t="s" s="0">
        <v>11006</v>
      </c>
      <c r="BH462" t="s" s="0">
        <v>4963</v>
      </c>
      <c r="BI462" t="s" s="0">
        <v>82</v>
      </c>
      <c r="BJ462" t="s" s="0">
        <v>11007</v>
      </c>
      <c r="BK462" t="s" s="919">
        <f>HYPERLINK("http://dx.doi.org/10.1158/1078-0432.CCR-20-3159","http://dx.doi.org/10.1158/1078-0432.CCR-20-3159")</f>
        <v>11008</v>
      </c>
      <c r="BL462" t="s" s="0">
        <v>82</v>
      </c>
      <c r="BM462" t="s" s="0">
        <v>82</v>
      </c>
      <c r="BN462" t="s" s="0">
        <v>245</v>
      </c>
      <c r="BO462" t="s" s="0">
        <v>4833</v>
      </c>
      <c r="BP462" t="s" s="0">
        <v>4833</v>
      </c>
      <c r="BQ462" t="s" s="0">
        <v>11009</v>
      </c>
      <c r="BR462" t="s" s="0">
        <v>11010</v>
      </c>
      <c r="BS462" t="s" s="0">
        <v>11011</v>
      </c>
      <c r="BT462" t="s" s="920">
        <f>HYPERLINK("https://www.webofscience.com/wos/woscc/full-record/WOS:000617323900008","View Record in Web of Science")</f>
        <v>120</v>
      </c>
      <c r="BU462" t="s" s="0">
        <v>846</v>
      </c>
      <c r="BV462" t="s" s="0">
        <v>82</v>
      </c>
      <c r="BW462" t="s" s="0">
        <v>82</v>
      </c>
      <c r="BX462" t="s" s="0">
        <v>122</v>
      </c>
    </row>
    <row r="463">
      <c r="A463" t="s" s="0">
        <v>78</v>
      </c>
      <c r="B463" t="s" s="0">
        <v>78</v>
      </c>
      <c r="C463" t="s" s="0">
        <v>149</v>
      </c>
      <c r="D463" t="s" s="0">
        <v>78</v>
      </c>
      <c r="E463" t="s" s="0">
        <v>11012</v>
      </c>
      <c r="F463" t="s" s="0">
        <v>11013</v>
      </c>
      <c r="G463" t="s" s="0">
        <v>11014</v>
      </c>
      <c r="H463" t="s" s="0">
        <v>82</v>
      </c>
      <c r="I463" t="s" s="0">
        <v>83</v>
      </c>
      <c r="J463" t="s" s="0">
        <v>11015</v>
      </c>
      <c r="K463" t="s" s="0">
        <v>11016</v>
      </c>
      <c r="L463" t="s" s="0">
        <v>82</v>
      </c>
      <c r="M463" t="s" s="0">
        <v>82</v>
      </c>
      <c r="N463" t="s" s="0">
        <v>82</v>
      </c>
      <c r="O463" t="s" s="0">
        <v>11017</v>
      </c>
      <c r="P463" t="s" s="0">
        <v>11018</v>
      </c>
      <c r="Q463" t="s" s="0">
        <v>91</v>
      </c>
      <c r="R463" t="s" s="0">
        <v>82</v>
      </c>
      <c r="S463" t="s" s="0">
        <v>82</v>
      </c>
      <c r="T463" t="s" s="0">
        <v>82</v>
      </c>
      <c r="U463" t="s" s="0">
        <v>82</v>
      </c>
      <c r="V463" t="s" s="0">
        <v>11019</v>
      </c>
      <c r="W463" t="s" s="0">
        <v>10246</v>
      </c>
      <c r="X463" t="s" s="0">
        <v>82</v>
      </c>
      <c r="Y463" t="s" s="0">
        <v>82</v>
      </c>
      <c r="Z463" t="s" s="0">
        <v>94</v>
      </c>
      <c r="AA463" t="s" s="0">
        <v>95</v>
      </c>
      <c r="AB463" t="s" s="0">
        <v>82</v>
      </c>
      <c r="AC463" t="s" s="0">
        <v>82</v>
      </c>
      <c r="AD463" t="s" s="0">
        <v>82</v>
      </c>
      <c r="AE463" t="s" s="0">
        <v>82</v>
      </c>
      <c r="AF463" t="s" s="0">
        <v>82</v>
      </c>
      <c r="AG463" t="s" s="0">
        <v>82</v>
      </c>
      <c r="AH463" t="s" s="0">
        <v>11020</v>
      </c>
      <c r="AI463" t="s" s="0">
        <v>11021</v>
      </c>
      <c r="AJ463" t="s" s="0">
        <v>11022</v>
      </c>
      <c r="AK463" t="s" s="0">
        <v>82</v>
      </c>
      <c r="AL463" t="s" s="0">
        <v>353</v>
      </c>
      <c r="AM463" t="s" s="0">
        <v>238</v>
      </c>
      <c r="AN463" t="s" s="0">
        <v>632</v>
      </c>
      <c r="AO463" t="s" s="0">
        <v>78</v>
      </c>
      <c r="AP463" t="s" s="0">
        <v>245</v>
      </c>
      <c r="AQ463" t="s" s="0">
        <v>202</v>
      </c>
      <c r="AR463" t="s" s="0">
        <v>203</v>
      </c>
      <c r="AS463" t="s" s="0">
        <v>204</v>
      </c>
      <c r="AT463" t="s" s="0">
        <v>10250</v>
      </c>
      <c r="AU463" t="s" s="0">
        <v>10251</v>
      </c>
      <c r="AV463" t="s" s="0">
        <v>82</v>
      </c>
      <c r="AW463" t="s" s="0">
        <v>10252</v>
      </c>
      <c r="AX463" t="s" s="0">
        <v>10253</v>
      </c>
      <c r="AY463" t="s" s="0">
        <v>10304</v>
      </c>
      <c r="AZ463" t="s" s="0">
        <v>408</v>
      </c>
      <c r="BA463" t="s" s="0">
        <v>238</v>
      </c>
      <c r="BB463" t="s" s="0">
        <v>245</v>
      </c>
      <c r="BC463" t="s" s="0">
        <v>82</v>
      </c>
      <c r="BD463" t="s" s="0">
        <v>82</v>
      </c>
      <c r="BE463" t="s" s="0">
        <v>82</v>
      </c>
      <c r="BF463" t="s" s="0">
        <v>82</v>
      </c>
      <c r="BG463" t="s" s="0">
        <v>11023</v>
      </c>
      <c r="BH463" t="s" s="0">
        <v>11024</v>
      </c>
      <c r="BI463" t="s" s="0">
        <v>82</v>
      </c>
      <c r="BJ463" t="s" s="0">
        <v>11025</v>
      </c>
      <c r="BK463" t="s" s="921">
        <f>HYPERLINK("http://dx.doi.org/10.1038/s41379-022-01077-9","http://dx.doi.org/10.1038/s41379-022-01077-9")</f>
        <v>11026</v>
      </c>
      <c r="BL463" t="s" s="0">
        <v>82</v>
      </c>
      <c r="BM463" t="s" s="0">
        <v>2658</v>
      </c>
      <c r="BN463" t="s" s="0">
        <v>319</v>
      </c>
      <c r="BO463" t="s" s="0">
        <v>10257</v>
      </c>
      <c r="BP463" t="s" s="0">
        <v>10257</v>
      </c>
      <c r="BQ463" t="s" s="0">
        <v>11027</v>
      </c>
      <c r="BR463" t="s" s="0">
        <v>11028</v>
      </c>
      <c r="BS463" t="s" s="0">
        <v>11029</v>
      </c>
      <c r="BT463" t="s" s="922">
        <f>HYPERLINK("https://www.webofscience.com/wos/woscc/full-record/WOS:000788977700001","View Record in Web of Science")</f>
        <v>120</v>
      </c>
      <c r="BU463" t="s" s="0">
        <v>2333</v>
      </c>
      <c r="BV463" t="s" s="0">
        <v>82</v>
      </c>
      <c r="BW463" t="s" s="0">
        <v>82</v>
      </c>
      <c r="BX463" t="s" s="0">
        <v>122</v>
      </c>
    </row>
    <row r="464">
      <c r="A464" t="s" s="0">
        <v>78</v>
      </c>
      <c r="B464" t="s" s="0">
        <v>78</v>
      </c>
      <c r="C464" t="s" s="0">
        <v>78</v>
      </c>
      <c r="D464" t="s" s="0">
        <v>78</v>
      </c>
      <c r="E464" t="s" s="0">
        <v>11030</v>
      </c>
      <c r="F464" t="s" s="0">
        <v>11031</v>
      </c>
      <c r="G464" t="s" s="0">
        <v>11032</v>
      </c>
      <c r="H464" t="s" s="0">
        <v>82</v>
      </c>
      <c r="I464" t="s" s="0">
        <v>83</v>
      </c>
      <c r="J464" t="s" s="0">
        <v>11033</v>
      </c>
      <c r="K464" t="s" s="0">
        <v>11034</v>
      </c>
      <c r="L464" t="s" s="0">
        <v>82</v>
      </c>
      <c r="M464" t="s" s="0">
        <v>82</v>
      </c>
      <c r="N464" t="s" s="0">
        <v>82</v>
      </c>
      <c r="O464" t="s" s="0">
        <v>11035</v>
      </c>
      <c r="P464" t="s" s="0">
        <v>11036</v>
      </c>
      <c r="Q464" t="s" s="0">
        <v>91</v>
      </c>
      <c r="R464" t="s" s="0">
        <v>82</v>
      </c>
      <c r="S464" t="s" s="0">
        <v>82</v>
      </c>
      <c r="T464" t="s" s="0">
        <v>82</v>
      </c>
      <c r="U464" t="s" s="0">
        <v>82</v>
      </c>
      <c r="V464" t="s" s="0">
        <v>11037</v>
      </c>
      <c r="W464" t="s" s="0">
        <v>11038</v>
      </c>
      <c r="X464" t="s" s="0">
        <v>82</v>
      </c>
      <c r="Y464" t="s" s="0">
        <v>82</v>
      </c>
      <c r="Z464" t="s" s="0">
        <v>94</v>
      </c>
      <c r="AA464" t="s" s="0">
        <v>169</v>
      </c>
      <c r="AB464" t="s" s="0">
        <v>82</v>
      </c>
      <c r="AC464" t="s" s="0">
        <v>82</v>
      </c>
      <c r="AD464" t="s" s="0">
        <v>82</v>
      </c>
      <c r="AE464" t="s" s="0">
        <v>82</v>
      </c>
      <c r="AF464" t="s" s="0">
        <v>82</v>
      </c>
      <c r="AG464" t="s" s="0">
        <v>11039</v>
      </c>
      <c r="AH464" t="s" s="0">
        <v>11040</v>
      </c>
      <c r="AI464" t="s" s="0">
        <v>11041</v>
      </c>
      <c r="AJ464" t="s" s="0">
        <v>11042</v>
      </c>
      <c r="AK464" t="s" s="0">
        <v>82</v>
      </c>
      <c r="AL464" t="s" s="0">
        <v>100</v>
      </c>
      <c r="AM464" t="s" s="0">
        <v>77</v>
      </c>
      <c r="AN464" t="s" s="0">
        <v>77</v>
      </c>
      <c r="AO464" t="s" s="0">
        <v>78</v>
      </c>
      <c r="AP464" t="s" s="0">
        <v>78</v>
      </c>
      <c r="AQ464" t="s" s="0">
        <v>9515</v>
      </c>
      <c r="AR464" t="s" s="0">
        <v>9516</v>
      </c>
      <c r="AS464" t="s" s="0">
        <v>9517</v>
      </c>
      <c r="AT464" t="s" s="0">
        <v>11043</v>
      </c>
      <c r="AU464" t="s" s="0">
        <v>11044</v>
      </c>
      <c r="AV464" t="s" s="0">
        <v>82</v>
      </c>
      <c r="AW464" t="s" s="0">
        <v>11045</v>
      </c>
      <c r="AX464" t="s" s="0">
        <v>11046</v>
      </c>
      <c r="AY464" t="s" s="0">
        <v>82</v>
      </c>
      <c r="AZ464" t="s" s="0">
        <v>181</v>
      </c>
      <c r="BA464" t="s" s="0">
        <v>82</v>
      </c>
      <c r="BB464" t="s" s="0">
        <v>82</v>
      </c>
      <c r="BC464" t="s" s="0">
        <v>82</v>
      </c>
      <c r="BD464" t="s" s="0">
        <v>82</v>
      </c>
      <c r="BE464" t="s" s="0">
        <v>82</v>
      </c>
      <c r="BF464" t="s" s="0">
        <v>82</v>
      </c>
      <c r="BG464" t="s" s="0">
        <v>82</v>
      </c>
      <c r="BH464" t="s" s="0">
        <v>82</v>
      </c>
      <c r="BI464" t="s" s="0">
        <v>82</v>
      </c>
      <c r="BJ464" t="s" s="0">
        <v>11047</v>
      </c>
      <c r="BK464" t="s" s="923">
        <f>HYPERLINK("http://dx.doi.org/10.1080/02688697.2026.2630840","http://dx.doi.org/10.1080/02688697.2026.2630840")</f>
        <v>11048</v>
      </c>
      <c r="BL464" t="s" s="0">
        <v>82</v>
      </c>
      <c r="BM464" t="s" s="0">
        <v>1371</v>
      </c>
      <c r="BN464" t="s" s="0">
        <v>319</v>
      </c>
      <c r="BO464" t="s" s="0">
        <v>216</v>
      </c>
      <c r="BP464" t="s" s="0">
        <v>217</v>
      </c>
      <c r="BQ464" t="s" s="0">
        <v>11049</v>
      </c>
      <c r="BR464" t="s" s="0">
        <v>11050</v>
      </c>
      <c r="BS464" t="s" s="0">
        <v>11051</v>
      </c>
      <c r="BT464" t="s" s="924">
        <f>HYPERLINK("https://www.webofscience.com/wos/woscc/full-record/WOS:001693351400001","View Record in Web of Science")</f>
        <v>120</v>
      </c>
      <c r="BU464" t="s" s="0">
        <v>82</v>
      </c>
      <c r="BV464" t="s" s="0">
        <v>82</v>
      </c>
      <c r="BW464" t="s" s="0">
        <v>82</v>
      </c>
      <c r="BX464" t="s" s="0">
        <v>122</v>
      </c>
    </row>
    <row r="465">
      <c r="A465" t="s" s="0">
        <v>78</v>
      </c>
      <c r="B465" t="s" s="0">
        <v>78</v>
      </c>
      <c r="C465" t="s" s="0">
        <v>245</v>
      </c>
      <c r="D465" t="s" s="0">
        <v>78</v>
      </c>
      <c r="E465" t="s" s="0">
        <v>11052</v>
      </c>
      <c r="F465" t="s" s="0">
        <v>11053</v>
      </c>
      <c r="G465" t="s" s="0">
        <v>11054</v>
      </c>
      <c r="H465" t="s" s="0">
        <v>82</v>
      </c>
      <c r="I465" t="s" s="0">
        <v>83</v>
      </c>
      <c r="J465" t="s" s="0">
        <v>11055</v>
      </c>
      <c r="K465" t="s" s="0">
        <v>11056</v>
      </c>
      <c r="L465" t="s" s="0">
        <v>11057</v>
      </c>
      <c r="M465" t="s" s="0">
        <v>11058</v>
      </c>
      <c r="N465" t="s" s="0">
        <v>11059</v>
      </c>
      <c r="O465" t="s" s="0">
        <v>11060</v>
      </c>
      <c r="P465" t="s" s="0">
        <v>11061</v>
      </c>
      <c r="Q465" t="s" s="0">
        <v>91</v>
      </c>
      <c r="R465" t="s" s="0">
        <v>82</v>
      </c>
      <c r="S465" t="s" s="0">
        <v>82</v>
      </c>
      <c r="T465" t="s" s="0">
        <v>82</v>
      </c>
      <c r="U465" t="s" s="0">
        <v>82</v>
      </c>
      <c r="V465" t="s" s="0">
        <v>11062</v>
      </c>
      <c r="W465" t="s" s="0">
        <v>11063</v>
      </c>
      <c r="X465" t="s" s="0">
        <v>82</v>
      </c>
      <c r="Y465" t="s" s="0">
        <v>82</v>
      </c>
      <c r="Z465" t="s" s="0">
        <v>94</v>
      </c>
      <c r="AA465" t="s" s="0">
        <v>95</v>
      </c>
      <c r="AB465" t="s" s="0">
        <v>82</v>
      </c>
      <c r="AC465" t="s" s="0">
        <v>82</v>
      </c>
      <c r="AD465" t="s" s="0">
        <v>82</v>
      </c>
      <c r="AE465" t="s" s="0">
        <v>82</v>
      </c>
      <c r="AF465" t="s" s="0">
        <v>82</v>
      </c>
      <c r="AG465" t="s" s="0">
        <v>11064</v>
      </c>
      <c r="AH465" t="s" s="0">
        <v>11065</v>
      </c>
      <c r="AI465" t="s" s="0">
        <v>11066</v>
      </c>
      <c r="AJ465" t="s" s="0">
        <v>11067</v>
      </c>
      <c r="AK465" t="s" s="0">
        <v>82</v>
      </c>
      <c r="AL465" t="s" s="0">
        <v>244</v>
      </c>
      <c r="AM465" t="s" s="0">
        <v>353</v>
      </c>
      <c r="AN465" t="s" s="0">
        <v>1780</v>
      </c>
      <c r="AO465" t="s" s="0">
        <v>447</v>
      </c>
      <c r="AP465" t="s" s="0">
        <v>239</v>
      </c>
      <c r="AQ465" t="s" s="0">
        <v>312</v>
      </c>
      <c r="AR465" t="s" s="0">
        <v>313</v>
      </c>
      <c r="AS465" t="s" s="0">
        <v>314</v>
      </c>
      <c r="AT465" t="s" s="0">
        <v>11068</v>
      </c>
      <c r="AU465" t="s" s="0">
        <v>11069</v>
      </c>
      <c r="AV465" t="s" s="0">
        <v>82</v>
      </c>
      <c r="AW465" t="s" s="0">
        <v>11070</v>
      </c>
      <c r="AX465" t="s" s="0">
        <v>11071</v>
      </c>
      <c r="AY465" t="s" s="0">
        <v>977</v>
      </c>
      <c r="AZ465" t="s" s="0">
        <v>408</v>
      </c>
      <c r="BA465" t="s" s="0">
        <v>685</v>
      </c>
      <c r="BB465" t="s" s="0">
        <v>115</v>
      </c>
      <c r="BC465" t="s" s="0">
        <v>82</v>
      </c>
      <c r="BD465" t="s" s="0">
        <v>82</v>
      </c>
      <c r="BE465" t="s" s="0">
        <v>82</v>
      </c>
      <c r="BF465" t="s" s="0">
        <v>82</v>
      </c>
      <c r="BG465" t="s" s="0">
        <v>82</v>
      </c>
      <c r="BH465" t="s" s="0">
        <v>82</v>
      </c>
      <c r="BI465" t="s" s="0">
        <v>11072</v>
      </c>
      <c r="BJ465" t="s" s="0">
        <v>11073</v>
      </c>
      <c r="BK465" t="s" s="925">
        <f>HYPERLINK("http://dx.doi.org/10.3390/ijms23137132","http://dx.doi.org/10.3390/ijms23137132")</f>
        <v>11074</v>
      </c>
      <c r="BL465" t="s" s="0">
        <v>82</v>
      </c>
      <c r="BM465" t="s" s="0">
        <v>82</v>
      </c>
      <c r="BN465" t="s" s="0">
        <v>111</v>
      </c>
      <c r="BO465" t="s" s="0">
        <v>11075</v>
      </c>
      <c r="BP465" t="s" s="0">
        <v>11076</v>
      </c>
      <c r="BQ465" t="s" s="0">
        <v>11077</v>
      </c>
      <c r="BR465" t="s" s="0">
        <v>11078</v>
      </c>
      <c r="BS465" t="s" s="0">
        <v>11079</v>
      </c>
      <c r="BT465" t="s" s="926">
        <f>HYPERLINK("https://www.webofscience.com/wos/woscc/full-record/WOS:000824277500001","View Record in Web of Science")</f>
        <v>120</v>
      </c>
      <c r="BU465" t="s" s="0">
        <v>121</v>
      </c>
      <c r="BV465" t="s" s="0">
        <v>82</v>
      </c>
      <c r="BW465" t="s" s="0">
        <v>82</v>
      </c>
      <c r="BX465" t="s" s="0">
        <v>122</v>
      </c>
    </row>
    <row r="466">
      <c r="A466" t="s" s="0">
        <v>78</v>
      </c>
      <c r="B466" t="s" s="0">
        <v>78</v>
      </c>
      <c r="C466" t="s" s="0">
        <v>78</v>
      </c>
      <c r="D466" t="s" s="0">
        <v>78</v>
      </c>
      <c r="E466" t="s" s="0">
        <v>11080</v>
      </c>
      <c r="F466" t="s" s="0">
        <v>11081</v>
      </c>
      <c r="G466" t="s" s="0">
        <v>11082</v>
      </c>
      <c r="H466" t="s" s="0">
        <v>82</v>
      </c>
      <c r="I466" t="s" s="0">
        <v>83</v>
      </c>
      <c r="J466" t="s" s="0">
        <v>11083</v>
      </c>
      <c r="K466" t="s" s="0">
        <v>11084</v>
      </c>
      <c r="L466" t="s" s="0">
        <v>11085</v>
      </c>
      <c r="M466" t="s" s="0">
        <v>11086</v>
      </c>
      <c r="N466" t="s" s="0">
        <v>11087</v>
      </c>
      <c r="O466" t="s" s="0">
        <v>11088</v>
      </c>
      <c r="P466" t="s" s="0">
        <v>11089</v>
      </c>
      <c r="Q466" t="s" s="0">
        <v>91</v>
      </c>
      <c r="R466" t="s" s="0">
        <v>82</v>
      </c>
      <c r="S466" t="s" s="0">
        <v>82</v>
      </c>
      <c r="T466" t="s" s="0">
        <v>82</v>
      </c>
      <c r="U466" t="s" s="0">
        <v>82</v>
      </c>
      <c r="V466" t="s" s="0">
        <v>11090</v>
      </c>
      <c r="W466" t="s" s="0">
        <v>11091</v>
      </c>
      <c r="X466" t="s" s="0">
        <v>82</v>
      </c>
      <c r="Y466" t="s" s="0">
        <v>82</v>
      </c>
      <c r="Z466" t="s" s="0">
        <v>94</v>
      </c>
      <c r="AA466" t="s" s="0">
        <v>95</v>
      </c>
      <c r="AB466" t="s" s="0">
        <v>82</v>
      </c>
      <c r="AC466" t="s" s="0">
        <v>82</v>
      </c>
      <c r="AD466" t="s" s="0">
        <v>82</v>
      </c>
      <c r="AE466" t="s" s="0">
        <v>82</v>
      </c>
      <c r="AF466" t="s" s="0">
        <v>82</v>
      </c>
      <c r="AG466" t="s" s="0">
        <v>11092</v>
      </c>
      <c r="AH466" t="s" s="0">
        <v>11093</v>
      </c>
      <c r="AI466" t="s" s="0">
        <v>82</v>
      </c>
      <c r="AJ466" t="s" s="0">
        <v>82</v>
      </c>
      <c r="AK466" t="s" s="0">
        <v>82</v>
      </c>
      <c r="AL466" t="s" s="0">
        <v>632</v>
      </c>
      <c r="AM466" t="s" s="0">
        <v>77</v>
      </c>
      <c r="AN466" t="s" s="0">
        <v>77</v>
      </c>
      <c r="AO466" t="s" s="0">
        <v>78</v>
      </c>
      <c r="AP466" t="s" s="0">
        <v>78</v>
      </c>
      <c r="AQ466" t="s" s="0">
        <v>2484</v>
      </c>
      <c r="AR466" t="s" s="0">
        <v>2485</v>
      </c>
      <c r="AS466" t="s" s="0">
        <v>2486</v>
      </c>
      <c r="AT466" t="s" s="0">
        <v>82</v>
      </c>
      <c r="AU466" t="s" s="0">
        <v>11094</v>
      </c>
      <c r="AV466" t="s" s="0">
        <v>82</v>
      </c>
      <c r="AW466" t="s" s="0">
        <v>11095</v>
      </c>
      <c r="AX466" t="s" s="0">
        <v>11096</v>
      </c>
      <c r="AY466" t="s" s="0">
        <v>11097</v>
      </c>
      <c r="AZ466" t="s" s="0">
        <v>181</v>
      </c>
      <c r="BA466" t="s" s="0">
        <v>173</v>
      </c>
      <c r="BB466" t="s" s="0">
        <v>82</v>
      </c>
      <c r="BC466" t="s" s="0">
        <v>82</v>
      </c>
      <c r="BD466" t="s" s="0">
        <v>82</v>
      </c>
      <c r="BE466" t="s" s="0">
        <v>82</v>
      </c>
      <c r="BF466" t="s" s="0">
        <v>82</v>
      </c>
      <c r="BG466" t="s" s="0">
        <v>82</v>
      </c>
      <c r="BH466" t="s" s="0">
        <v>82</v>
      </c>
      <c r="BI466" t="s" s="0">
        <v>11098</v>
      </c>
      <c r="BJ466" t="s" s="0">
        <v>11099</v>
      </c>
      <c r="BK466" t="s" s="927">
        <f>HYPERLINK("http://dx.doi.org/10.3389/fnins.2026.1867831","http://dx.doi.org/10.3389/fnins.2026.1867831")</f>
        <v>11100</v>
      </c>
      <c r="BL466" t="s" s="0">
        <v>82</v>
      </c>
      <c r="BM466" t="s" s="0">
        <v>3226</v>
      </c>
      <c r="BN466" t="s" s="0">
        <v>149</v>
      </c>
      <c r="BO466" t="s" s="0">
        <v>1291</v>
      </c>
      <c r="BP466" t="s" s="0">
        <v>252</v>
      </c>
      <c r="BQ466" t="s" s="0">
        <v>11101</v>
      </c>
      <c r="BR466" t="s" s="0">
        <v>11102</v>
      </c>
      <c r="BS466" t="s" s="0">
        <v>11103</v>
      </c>
      <c r="BT466" t="s" s="928">
        <f>HYPERLINK("https://www.webofscience.com/wos/woscc/full-record/WOS:001821084600001","View Record in Web of Science")</f>
        <v>120</v>
      </c>
      <c r="BU466" t="s" s="0">
        <v>121</v>
      </c>
      <c r="BV466" t="s" s="0">
        <v>82</v>
      </c>
      <c r="BW466" t="s" s="0">
        <v>82</v>
      </c>
      <c r="BX466" t="s" s="0">
        <v>122</v>
      </c>
    </row>
    <row r="467">
      <c r="A467" t="s" s="0">
        <v>78</v>
      </c>
      <c r="B467" t="s" s="0">
        <v>78</v>
      </c>
      <c r="C467" t="s" s="0">
        <v>101</v>
      </c>
      <c r="D467" t="s" s="0">
        <v>78</v>
      </c>
      <c r="E467" t="s" s="0">
        <v>11104</v>
      </c>
      <c r="F467" t="s" s="0">
        <v>11105</v>
      </c>
      <c r="G467" t="s" s="0">
        <v>11106</v>
      </c>
      <c r="H467" t="s" s="0">
        <v>82</v>
      </c>
      <c r="I467" t="s" s="0">
        <v>83</v>
      </c>
      <c r="J467" t="s" s="0">
        <v>11107</v>
      </c>
      <c r="K467" t="s" s="0">
        <v>11108</v>
      </c>
      <c r="L467" t="s" s="0">
        <v>11109</v>
      </c>
      <c r="M467" t="s" s="0">
        <v>11110</v>
      </c>
      <c r="N467" t="s" s="0">
        <v>11111</v>
      </c>
      <c r="O467" t="s" s="0">
        <v>11112</v>
      </c>
      <c r="P467" t="s" s="0">
        <v>11113</v>
      </c>
      <c r="Q467" t="s" s="0">
        <v>91</v>
      </c>
      <c r="R467" t="s" s="0">
        <v>82</v>
      </c>
      <c r="S467" t="s" s="0">
        <v>82</v>
      </c>
      <c r="T467" t="s" s="0">
        <v>82</v>
      </c>
      <c r="U467" t="s" s="0">
        <v>82</v>
      </c>
      <c r="V467" t="s" s="0">
        <v>11114</v>
      </c>
      <c r="W467" t="s" s="0">
        <v>3637</v>
      </c>
      <c r="X467" t="s" s="0">
        <v>82</v>
      </c>
      <c r="Y467" t="s" s="0">
        <v>82</v>
      </c>
      <c r="Z467" t="s" s="0">
        <v>94</v>
      </c>
      <c r="AA467" t="s" s="0">
        <v>95</v>
      </c>
      <c r="AB467" t="s" s="0">
        <v>82</v>
      </c>
      <c r="AC467" t="s" s="0">
        <v>82</v>
      </c>
      <c r="AD467" t="s" s="0">
        <v>82</v>
      </c>
      <c r="AE467" t="s" s="0">
        <v>82</v>
      </c>
      <c r="AF467" t="s" s="0">
        <v>82</v>
      </c>
      <c r="AG467" t="s" s="0">
        <v>11115</v>
      </c>
      <c r="AH467" t="s" s="0">
        <v>82</v>
      </c>
      <c r="AI467" t="s" s="0">
        <v>11116</v>
      </c>
      <c r="AJ467" t="s" s="0">
        <v>11117</v>
      </c>
      <c r="AK467" t="s" s="0">
        <v>82</v>
      </c>
      <c r="AL467" t="s" s="0">
        <v>548</v>
      </c>
      <c r="AM467" t="s" s="0">
        <v>239</v>
      </c>
      <c r="AN467" t="s" s="0">
        <v>239</v>
      </c>
      <c r="AO467" t="s" s="0">
        <v>78</v>
      </c>
      <c r="AP467" t="s" s="0">
        <v>375</v>
      </c>
      <c r="AQ467" t="s" s="0">
        <v>633</v>
      </c>
      <c r="AR467" t="s" s="0">
        <v>634</v>
      </c>
      <c r="AS467" t="s" s="0">
        <v>635</v>
      </c>
      <c r="AT467" t="s" s="0">
        <v>3642</v>
      </c>
      <c r="AU467" t="s" s="0">
        <v>82</v>
      </c>
      <c r="AV467" t="s" s="0">
        <v>82</v>
      </c>
      <c r="AW467" t="s" s="0">
        <v>3643</v>
      </c>
      <c r="AX467" t="s" s="0">
        <v>3644</v>
      </c>
      <c r="AY467" t="s" s="0">
        <v>11118</v>
      </c>
      <c r="AZ467" t="s" s="0">
        <v>147</v>
      </c>
      <c r="BA467" t="s" s="0">
        <v>349</v>
      </c>
      <c r="BB467" t="s" s="0">
        <v>77</v>
      </c>
      <c r="BC467" t="s" s="0">
        <v>82</v>
      </c>
      <c r="BD467" t="s" s="0">
        <v>82</v>
      </c>
      <c r="BE467" t="s" s="0">
        <v>82</v>
      </c>
      <c r="BF467" t="s" s="0">
        <v>82</v>
      </c>
      <c r="BG467" t="s" s="0">
        <v>82</v>
      </c>
      <c r="BH467" t="s" s="0">
        <v>82</v>
      </c>
      <c r="BI467" t="s" s="0">
        <v>11119</v>
      </c>
      <c r="BJ467" t="s" s="0">
        <v>11120</v>
      </c>
      <c r="BK467" t="s" s="929">
        <f>HYPERLINK("http://dx.doi.org/10.1038/s41598-025-85420-5","http://dx.doi.org/10.1038/s41598-025-85420-5")</f>
        <v>11121</v>
      </c>
      <c r="BL467" t="s" s="0">
        <v>82</v>
      </c>
      <c r="BM467" t="s" s="0">
        <v>82</v>
      </c>
      <c r="BN467" t="s" s="0">
        <v>349</v>
      </c>
      <c r="BO467" t="s" s="0">
        <v>644</v>
      </c>
      <c r="BP467" t="s" s="0">
        <v>645</v>
      </c>
      <c r="BQ467" t="s" s="0">
        <v>11122</v>
      </c>
      <c r="BR467" t="s" s="0">
        <v>11123</v>
      </c>
      <c r="BS467" t="s" s="0">
        <v>11124</v>
      </c>
      <c r="BT467" t="s" s="930">
        <f>HYPERLINK("https://www.webofscience.com/wos/woscc/full-record/WOS:001393108700002","View Record in Web of Science")</f>
        <v>120</v>
      </c>
      <c r="BU467" t="s" s="0">
        <v>121</v>
      </c>
      <c r="BV467" t="s" s="0">
        <v>82</v>
      </c>
      <c r="BW467" t="s" s="0">
        <v>82</v>
      </c>
      <c r="BX467" t="s" s="0">
        <v>122</v>
      </c>
    </row>
    <row r="468">
      <c r="A468" t="s" s="0">
        <v>78</v>
      </c>
      <c r="B468" t="s" s="0">
        <v>78</v>
      </c>
      <c r="C468" t="s" s="0">
        <v>78</v>
      </c>
      <c r="D468" t="s" s="0">
        <v>78</v>
      </c>
      <c r="E468" t="s" s="0">
        <v>11125</v>
      </c>
      <c r="F468" t="s" s="0">
        <v>11126</v>
      </c>
      <c r="G468" t="s" s="0">
        <v>11127</v>
      </c>
      <c r="H468" t="s" s="0">
        <v>82</v>
      </c>
      <c r="I468" t="s" s="0">
        <v>83</v>
      </c>
      <c r="J468" t="s" s="0">
        <v>11128</v>
      </c>
      <c r="K468" t="s" s="0">
        <v>11129</v>
      </c>
      <c r="L468" t="s" s="0">
        <v>11130</v>
      </c>
      <c r="M468" t="s" s="0">
        <v>11131</v>
      </c>
      <c r="N468" t="s" s="0">
        <v>11132</v>
      </c>
      <c r="O468" t="s" s="0">
        <v>11133</v>
      </c>
      <c r="P468" t="s" s="0">
        <v>11134</v>
      </c>
      <c r="Q468" t="s" s="0">
        <v>91</v>
      </c>
      <c r="R468" t="s" s="0">
        <v>82</v>
      </c>
      <c r="S468" t="s" s="0">
        <v>82</v>
      </c>
      <c r="T468" t="s" s="0">
        <v>82</v>
      </c>
      <c r="U468" t="s" s="0">
        <v>82</v>
      </c>
      <c r="V468" t="s" s="0">
        <v>11135</v>
      </c>
      <c r="W468" t="s" s="0">
        <v>6813</v>
      </c>
      <c r="X468" t="s" s="0">
        <v>82</v>
      </c>
      <c r="Y468" t="s" s="0">
        <v>82</v>
      </c>
      <c r="Z468" t="s" s="0">
        <v>94</v>
      </c>
      <c r="AA468" t="s" s="0">
        <v>95</v>
      </c>
      <c r="AB468" t="s" s="0">
        <v>82</v>
      </c>
      <c r="AC468" t="s" s="0">
        <v>82</v>
      </c>
      <c r="AD468" t="s" s="0">
        <v>82</v>
      </c>
      <c r="AE468" t="s" s="0">
        <v>82</v>
      </c>
      <c r="AF468" t="s" s="0">
        <v>82</v>
      </c>
      <c r="AG468" t="s" s="0">
        <v>11136</v>
      </c>
      <c r="AH468" t="s" s="0">
        <v>11137</v>
      </c>
      <c r="AI468" t="s" s="0">
        <v>11138</v>
      </c>
      <c r="AJ468" t="s" s="0">
        <v>11139</v>
      </c>
      <c r="AK468" t="s" s="0">
        <v>82</v>
      </c>
      <c r="AL468" t="s" s="0">
        <v>201</v>
      </c>
      <c r="AM468" t="s" s="0">
        <v>78</v>
      </c>
      <c r="AN468" t="s" s="0">
        <v>78</v>
      </c>
      <c r="AO468" t="s" s="0">
        <v>78</v>
      </c>
      <c r="AP468" t="s" s="0">
        <v>78</v>
      </c>
      <c r="AQ468" t="s" s="0">
        <v>1578</v>
      </c>
      <c r="AR468" t="s" s="0">
        <v>1579</v>
      </c>
      <c r="AS468" t="s" s="0">
        <v>1580</v>
      </c>
      <c r="AT468" t="s" s="0">
        <v>6816</v>
      </c>
      <c r="AU468" t="s" s="0">
        <v>82</v>
      </c>
      <c r="AV468" t="s" s="0">
        <v>82</v>
      </c>
      <c r="AW468" t="s" s="0">
        <v>6817</v>
      </c>
      <c r="AX468" t="s" s="0">
        <v>6818</v>
      </c>
      <c r="AY468" t="s" s="0">
        <v>181</v>
      </c>
      <c r="AZ468" t="s" s="0">
        <v>181</v>
      </c>
      <c r="BA468" t="s" s="0">
        <v>831</v>
      </c>
      <c r="BB468" t="s" s="0">
        <v>82</v>
      </c>
      <c r="BC468" t="s" s="0">
        <v>82</v>
      </c>
      <c r="BD468" t="s" s="0">
        <v>82</v>
      </c>
      <c r="BE468" t="s" s="0">
        <v>82</v>
      </c>
      <c r="BF468" t="s" s="0">
        <v>82</v>
      </c>
      <c r="BG468" t="s" s="0">
        <v>82</v>
      </c>
      <c r="BH468" t="s" s="0">
        <v>82</v>
      </c>
      <c r="BI468" t="s" s="0">
        <v>11140</v>
      </c>
      <c r="BJ468" t="s" s="0">
        <v>11141</v>
      </c>
      <c r="BK468" t="s" s="931">
        <f>HYPERLINK("http://dx.doi.org/10.2147/COPD.S602126","http://dx.doi.org/10.2147/COPD.S602126")</f>
        <v>11142</v>
      </c>
      <c r="BL468" t="s" s="0">
        <v>82</v>
      </c>
      <c r="BM468" t="s" s="0">
        <v>82</v>
      </c>
      <c r="BN468" t="s" s="0">
        <v>640</v>
      </c>
      <c r="BO468" t="s" s="0">
        <v>1227</v>
      </c>
      <c r="BP468" t="s" s="0">
        <v>1227</v>
      </c>
      <c r="BQ468" t="s" s="0">
        <v>11143</v>
      </c>
      <c r="BR468" t="s" s="0">
        <v>11144</v>
      </c>
      <c r="BS468" t="s" s="0">
        <v>11145</v>
      </c>
      <c r="BT468" t="s" s="932">
        <f>HYPERLINK("https://www.webofscience.com/wos/woscc/full-record/WOS:001761542100001","View Record in Web of Science")</f>
        <v>120</v>
      </c>
      <c r="BU468" t="s" s="0">
        <v>4918</v>
      </c>
      <c r="BV468" t="s" s="0">
        <v>82</v>
      </c>
      <c r="BW468" t="s" s="0">
        <v>82</v>
      </c>
      <c r="BX468" t="s" s="0">
        <v>122</v>
      </c>
    </row>
    <row r="469">
      <c r="A469" t="s" s="0">
        <v>78</v>
      </c>
      <c r="B469" t="s" s="0">
        <v>78</v>
      </c>
      <c r="C469" t="s" s="0">
        <v>78</v>
      </c>
      <c r="D469" t="s" s="0">
        <v>78</v>
      </c>
      <c r="E469" t="s" s="0">
        <v>11146</v>
      </c>
      <c r="F469" t="s" s="0">
        <v>11147</v>
      </c>
      <c r="G469" t="s" s="0">
        <v>11148</v>
      </c>
      <c r="H469" t="s" s="0">
        <v>82</v>
      </c>
      <c r="I469" t="s" s="0">
        <v>83</v>
      </c>
      <c r="J469" t="s" s="0">
        <v>11149</v>
      </c>
      <c r="K469" t="s" s="0">
        <v>11150</v>
      </c>
      <c r="L469" t="s" s="0">
        <v>11151</v>
      </c>
      <c r="M469" t="s" s="0">
        <v>11152</v>
      </c>
      <c r="N469" t="s" s="0">
        <v>11153</v>
      </c>
      <c r="O469" t="s" s="0">
        <v>11154</v>
      </c>
      <c r="P469" t="s" s="0">
        <v>11155</v>
      </c>
      <c r="Q469" t="s" s="0">
        <v>91</v>
      </c>
      <c r="R469" t="s" s="0">
        <v>82</v>
      </c>
      <c r="S469" t="s" s="0">
        <v>82</v>
      </c>
      <c r="T469" t="s" s="0">
        <v>82</v>
      </c>
      <c r="U469" t="s" s="0">
        <v>82</v>
      </c>
      <c r="V469" t="s" s="0">
        <v>11156</v>
      </c>
      <c r="W469" t="s" s="0">
        <v>11157</v>
      </c>
      <c r="X469" t="s" s="0">
        <v>82</v>
      </c>
      <c r="Y469" t="s" s="0">
        <v>82</v>
      </c>
      <c r="Z469" t="s" s="0">
        <v>94</v>
      </c>
      <c r="AA469" t="s" s="0">
        <v>95</v>
      </c>
      <c r="AB469" t="s" s="0">
        <v>82</v>
      </c>
      <c r="AC469" t="s" s="0">
        <v>82</v>
      </c>
      <c r="AD469" t="s" s="0">
        <v>82</v>
      </c>
      <c r="AE469" t="s" s="0">
        <v>82</v>
      </c>
      <c r="AF469" t="s" s="0">
        <v>82</v>
      </c>
      <c r="AG469" t="s" s="0">
        <v>11158</v>
      </c>
      <c r="AH469" t="s" s="0">
        <v>82</v>
      </c>
      <c r="AI469" t="s" s="0">
        <v>82</v>
      </c>
      <c r="AJ469" t="s" s="0">
        <v>82</v>
      </c>
      <c r="AK469" t="s" s="0">
        <v>82</v>
      </c>
      <c r="AL469" t="s" s="0">
        <v>173</v>
      </c>
      <c r="AM469" t="s" s="0">
        <v>78</v>
      </c>
      <c r="AN469" t="s" s="0">
        <v>78</v>
      </c>
      <c r="AO469" t="s" s="0">
        <v>78</v>
      </c>
      <c r="AP469" t="s" s="0">
        <v>78</v>
      </c>
      <c r="AQ469" t="s" s="0">
        <v>3317</v>
      </c>
      <c r="AR469" t="s" s="0">
        <v>3318</v>
      </c>
      <c r="AS469" t="s" s="0">
        <v>3319</v>
      </c>
      <c r="AT469" t="s" s="0">
        <v>11159</v>
      </c>
      <c r="AU469" t="s" s="0">
        <v>11160</v>
      </c>
      <c r="AV469" t="s" s="0">
        <v>82</v>
      </c>
      <c r="AW469" t="s" s="0">
        <v>11161</v>
      </c>
      <c r="AX469" t="s" s="0">
        <v>11162</v>
      </c>
      <c r="AY469" t="s" s="0">
        <v>11163</v>
      </c>
      <c r="AZ469" t="s" s="0">
        <v>181</v>
      </c>
      <c r="BA469" t="s" s="0">
        <v>11164</v>
      </c>
      <c r="BB469" t="s" s="0">
        <v>77</v>
      </c>
      <c r="BC469" t="s" s="0">
        <v>82</v>
      </c>
      <c r="BD469" t="s" s="0">
        <v>82</v>
      </c>
      <c r="BE469" t="s" s="0">
        <v>82</v>
      </c>
      <c r="BF469" t="s" s="0">
        <v>82</v>
      </c>
      <c r="BG469" t="s" s="0">
        <v>82</v>
      </c>
      <c r="BH469" t="s" s="0">
        <v>82</v>
      </c>
      <c r="BI469" t="s" s="0">
        <v>11165</v>
      </c>
      <c r="BJ469" t="s" s="0">
        <v>11166</v>
      </c>
      <c r="BK469" t="s" s="933">
        <f>HYPERLINK("http://dx.doi.org/10.1007/s00701-026-07005-z","http://dx.doi.org/10.1007/s00701-026-07005-z")</f>
        <v>11167</v>
      </c>
      <c r="BL469" t="s" s="0">
        <v>82</v>
      </c>
      <c r="BM469" t="s" s="0">
        <v>82</v>
      </c>
      <c r="BN469" t="s" s="0">
        <v>319</v>
      </c>
      <c r="BO469" t="s" s="0">
        <v>216</v>
      </c>
      <c r="BP469" t="s" s="0">
        <v>217</v>
      </c>
      <c r="BQ469" t="s" s="0">
        <v>11168</v>
      </c>
      <c r="BR469" t="s" s="0">
        <v>11169</v>
      </c>
      <c r="BS469" t="s" s="0">
        <v>11170</v>
      </c>
      <c r="BT469" t="s" s="934">
        <f>HYPERLINK("https://www.webofscience.com/wos/woscc/full-record/WOS:001853143100001","View Record in Web of Science")</f>
        <v>120</v>
      </c>
      <c r="BU469" t="s" s="0">
        <v>121</v>
      </c>
      <c r="BV469" t="s" s="0">
        <v>82</v>
      </c>
      <c r="BW469" t="s" s="0">
        <v>82</v>
      </c>
      <c r="BX469" t="s" s="0">
        <v>122</v>
      </c>
    </row>
    <row r="470">
      <c r="A470" t="s" s="0">
        <v>78</v>
      </c>
      <c r="B470" t="s" s="0">
        <v>78</v>
      </c>
      <c r="C470" t="s" s="0">
        <v>77</v>
      </c>
      <c r="D470" t="s" s="0">
        <v>78</v>
      </c>
      <c r="E470" t="s" s="0">
        <v>11171</v>
      </c>
      <c r="F470" t="s" s="0">
        <v>11172</v>
      </c>
      <c r="G470" t="s" s="0">
        <v>11173</v>
      </c>
      <c r="H470" t="s" s="0">
        <v>82</v>
      </c>
      <c r="I470" t="s" s="0">
        <v>83</v>
      </c>
      <c r="J470" t="s" s="0">
        <v>11174</v>
      </c>
      <c r="K470" t="s" s="0">
        <v>11175</v>
      </c>
      <c r="L470" t="s" s="0">
        <v>82</v>
      </c>
      <c r="M470" t="s" s="0">
        <v>82</v>
      </c>
      <c r="N470" t="s" s="0">
        <v>82</v>
      </c>
      <c r="O470" t="s" s="0">
        <v>11176</v>
      </c>
      <c r="P470" t="s" s="0">
        <v>5572</v>
      </c>
      <c r="Q470" t="s" s="0">
        <v>91</v>
      </c>
      <c r="R470" t="s" s="0">
        <v>82</v>
      </c>
      <c r="S470" t="s" s="0">
        <v>82</v>
      </c>
      <c r="T470" t="s" s="0">
        <v>82</v>
      </c>
      <c r="U470" t="s" s="0">
        <v>82</v>
      </c>
      <c r="V470" t="s" s="0">
        <v>11177</v>
      </c>
      <c r="W470" t="s" s="0">
        <v>4704</v>
      </c>
      <c r="X470" t="s" s="0">
        <v>82</v>
      </c>
      <c r="Y470" t="s" s="0">
        <v>82</v>
      </c>
      <c r="Z470" t="s" s="0">
        <v>94</v>
      </c>
      <c r="AA470" t="s" s="0">
        <v>95</v>
      </c>
      <c r="AB470" t="s" s="0">
        <v>82</v>
      </c>
      <c r="AC470" t="s" s="0">
        <v>82</v>
      </c>
      <c r="AD470" t="s" s="0">
        <v>82</v>
      </c>
      <c r="AE470" t="s" s="0">
        <v>82</v>
      </c>
      <c r="AF470" t="s" s="0">
        <v>82</v>
      </c>
      <c r="AG470" t="s" s="0">
        <v>11178</v>
      </c>
      <c r="AH470" t="s" s="0">
        <v>11179</v>
      </c>
      <c r="AI470" t="s" s="0">
        <v>11180</v>
      </c>
      <c r="AJ470" t="s" s="0">
        <v>82</v>
      </c>
      <c r="AK470" t="s" s="0">
        <v>82</v>
      </c>
      <c r="AL470" t="s" s="0">
        <v>1658</v>
      </c>
      <c r="AM470" t="s" s="0">
        <v>375</v>
      </c>
      <c r="AN470" t="s" s="0">
        <v>375</v>
      </c>
      <c r="AO470" t="s" s="0">
        <v>101</v>
      </c>
      <c r="AP470" t="s" s="0">
        <v>319</v>
      </c>
      <c r="AQ470" t="s" s="0">
        <v>400</v>
      </c>
      <c r="AR470" t="s" s="0">
        <v>401</v>
      </c>
      <c r="AS470" t="s" s="0">
        <v>402</v>
      </c>
      <c r="AT470" t="s" s="0">
        <v>4707</v>
      </c>
      <c r="AU470" t="s" s="0">
        <v>4708</v>
      </c>
      <c r="AV470" t="s" s="0">
        <v>82</v>
      </c>
      <c r="AW470" t="s" s="0">
        <v>4709</v>
      </c>
      <c r="AX470" t="s" s="0">
        <v>4710</v>
      </c>
      <c r="AY470" t="s" s="0">
        <v>1398</v>
      </c>
      <c r="AZ470" t="s" s="0">
        <v>147</v>
      </c>
      <c r="BA470" t="s" s="0">
        <v>3730</v>
      </c>
      <c r="BB470" t="s" s="0">
        <v>82</v>
      </c>
      <c r="BC470" t="s" s="0">
        <v>82</v>
      </c>
      <c r="BD470" t="s" s="0">
        <v>82</v>
      </c>
      <c r="BE470" t="s" s="0">
        <v>82</v>
      </c>
      <c r="BF470" t="s" s="0">
        <v>82</v>
      </c>
      <c r="BG470" t="s" s="0">
        <v>82</v>
      </c>
      <c r="BH470" t="s" s="0">
        <v>82</v>
      </c>
      <c r="BI470" t="s" s="0">
        <v>11181</v>
      </c>
      <c r="BJ470" t="s" s="0">
        <v>11182</v>
      </c>
      <c r="BK470" t="s" s="935">
        <f>HYPERLINK("http://dx.doi.org/10.1016/j.ijmedinf.2025.105813","http://dx.doi.org/10.1016/j.ijmedinf.2025.105813")</f>
        <v>11183</v>
      </c>
      <c r="BL470" t="s" s="0">
        <v>82</v>
      </c>
      <c r="BM470" t="s" s="0">
        <v>3527</v>
      </c>
      <c r="BN470" t="s" s="0">
        <v>154</v>
      </c>
      <c r="BO470" t="s" s="0">
        <v>4716</v>
      </c>
      <c r="BP470" t="s" s="0">
        <v>4717</v>
      </c>
      <c r="BQ470" t="s" s="0">
        <v>11184</v>
      </c>
      <c r="BR470" t="s" s="0">
        <v>11185</v>
      </c>
      <c r="BS470" t="s" s="0">
        <v>11186</v>
      </c>
      <c r="BT470" t="s" s="936">
        <f>HYPERLINK("https://www.webofscience.com/wos/woscc/full-record/WOS:001422539400001","View Record in Web of Science")</f>
        <v>120</v>
      </c>
      <c r="BU470" t="s" s="0">
        <v>82</v>
      </c>
      <c r="BV470" t="s" s="0">
        <v>82</v>
      </c>
      <c r="BW470" t="s" s="0">
        <v>82</v>
      </c>
      <c r="BX470" t="s" s="0">
        <v>122</v>
      </c>
    </row>
    <row r="471">
      <c r="A471" t="s" s="0">
        <v>77</v>
      </c>
      <c r="B471" t="s" s="0">
        <v>78</v>
      </c>
      <c r="C471" t="s" s="0">
        <v>447</v>
      </c>
      <c r="D471" t="s" s="0">
        <v>78</v>
      </c>
      <c r="E471" t="s" s="0">
        <v>11187</v>
      </c>
      <c r="F471" t="s" s="0">
        <v>11188</v>
      </c>
      <c r="G471" t="s" s="0">
        <v>11189</v>
      </c>
      <c r="H471" t="s" s="0">
        <v>82</v>
      </c>
      <c r="I471" t="s" s="0">
        <v>83</v>
      </c>
      <c r="J471" t="s" s="0">
        <v>11190</v>
      </c>
      <c r="K471" t="s" s="0">
        <v>11191</v>
      </c>
      <c r="L471" t="s" s="0">
        <v>11192</v>
      </c>
      <c r="M471" t="s" s="0">
        <v>11193</v>
      </c>
      <c r="N471" t="s" s="0">
        <v>11194</v>
      </c>
      <c r="O471" t="s" s="0">
        <v>11195</v>
      </c>
      <c r="P471" t="s" s="0">
        <v>11196</v>
      </c>
      <c r="Q471" t="s" s="0">
        <v>91</v>
      </c>
      <c r="R471" t="s" s="0">
        <v>82</v>
      </c>
      <c r="S471" t="s" s="0">
        <v>82</v>
      </c>
      <c r="T471" t="s" s="0">
        <v>82</v>
      </c>
      <c r="U471" t="s" s="0">
        <v>82</v>
      </c>
      <c r="V471" t="s" s="0">
        <v>11197</v>
      </c>
      <c r="W471" t="s" s="0">
        <v>10437</v>
      </c>
      <c r="X471" t="s" s="0">
        <v>82</v>
      </c>
      <c r="Y471" t="s" s="0">
        <v>82</v>
      </c>
      <c r="Z471" t="s" s="0">
        <v>94</v>
      </c>
      <c r="AA471" t="s" s="0">
        <v>95</v>
      </c>
      <c r="AB471" t="s" s="0">
        <v>82</v>
      </c>
      <c r="AC471" t="s" s="0">
        <v>82</v>
      </c>
      <c r="AD471" t="s" s="0">
        <v>82</v>
      </c>
      <c r="AE471" t="s" s="0">
        <v>82</v>
      </c>
      <c r="AF471" t="s" s="0">
        <v>82</v>
      </c>
      <c r="AG471" t="s" s="0">
        <v>11198</v>
      </c>
      <c r="AH471" t="s" s="0">
        <v>11199</v>
      </c>
      <c r="AI471" t="s" s="0">
        <v>11200</v>
      </c>
      <c r="AJ471" t="s" s="0">
        <v>11201</v>
      </c>
      <c r="AK471" t="s" s="0">
        <v>82</v>
      </c>
      <c r="AL471" t="s" s="0">
        <v>344</v>
      </c>
      <c r="AM471" t="s" s="0">
        <v>115</v>
      </c>
      <c r="AN471" t="s" s="0">
        <v>323</v>
      </c>
      <c r="AO471" t="s" s="0">
        <v>101</v>
      </c>
      <c r="AP471" t="s" s="0">
        <v>323</v>
      </c>
      <c r="AQ471" t="s" s="0">
        <v>2484</v>
      </c>
      <c r="AR471" t="s" s="0">
        <v>2485</v>
      </c>
      <c r="AS471" t="s" s="0">
        <v>2486</v>
      </c>
      <c r="AT471" t="s" s="0">
        <v>10440</v>
      </c>
      <c r="AU471" t="s" s="0">
        <v>82</v>
      </c>
      <c r="AV471" t="s" s="0">
        <v>82</v>
      </c>
      <c r="AW471" t="s" s="0">
        <v>10441</v>
      </c>
      <c r="AX471" t="s" s="0">
        <v>10442</v>
      </c>
      <c r="AY471" t="s" s="0">
        <v>11202</v>
      </c>
      <c r="AZ471" t="s" s="0">
        <v>110</v>
      </c>
      <c r="BA471" t="s" s="0">
        <v>349</v>
      </c>
      <c r="BB471" t="s" s="0">
        <v>82</v>
      </c>
      <c r="BC471" t="s" s="0">
        <v>82</v>
      </c>
      <c r="BD471" t="s" s="0">
        <v>82</v>
      </c>
      <c r="BE471" t="s" s="0">
        <v>82</v>
      </c>
      <c r="BF471" t="s" s="0">
        <v>82</v>
      </c>
      <c r="BG471" t="s" s="0">
        <v>82</v>
      </c>
      <c r="BH471" t="s" s="0">
        <v>82</v>
      </c>
      <c r="BI471" t="s" s="0">
        <v>11203</v>
      </c>
      <c r="BJ471" t="s" s="0">
        <v>11204</v>
      </c>
      <c r="BK471" t="s" s="937">
        <f>HYPERLINK("http://dx.doi.org/10.3389/fneur.2024.1341252","http://dx.doi.org/10.3389/fneur.2024.1341252")</f>
        <v>11205</v>
      </c>
      <c r="BL471" t="s" s="0">
        <v>82</v>
      </c>
      <c r="BM471" t="s" s="0">
        <v>82</v>
      </c>
      <c r="BN471" t="s" s="0">
        <v>137</v>
      </c>
      <c r="BO471" t="s" s="0">
        <v>613</v>
      </c>
      <c r="BP471" t="s" s="0">
        <v>252</v>
      </c>
      <c r="BQ471" t="s" s="0">
        <v>11206</v>
      </c>
      <c r="BR471" t="s" s="0">
        <v>11207</v>
      </c>
      <c r="BS471" t="s" s="0">
        <v>11208</v>
      </c>
      <c r="BT471" t="s" s="938">
        <f>HYPERLINK("https://www.webofscience.com/wos/woscc/full-record/WOS:001209384400001","View Record in Web of Science")</f>
        <v>120</v>
      </c>
      <c r="BU471" t="s" s="0">
        <v>121</v>
      </c>
      <c r="BV471" t="s" s="0">
        <v>82</v>
      </c>
      <c r="BW471" t="s" s="0">
        <v>82</v>
      </c>
      <c r="BX471" t="s" s="0">
        <v>122</v>
      </c>
    </row>
    <row r="472">
      <c r="A472" t="s" s="0">
        <v>78</v>
      </c>
      <c r="B472" t="s" s="0">
        <v>78</v>
      </c>
      <c r="C472" t="s" s="0">
        <v>447</v>
      </c>
      <c r="D472" t="s" s="0">
        <v>78</v>
      </c>
      <c r="E472" t="s" s="0">
        <v>11209</v>
      </c>
      <c r="F472" t="s" s="0">
        <v>11210</v>
      </c>
      <c r="G472" t="s" s="0">
        <v>11211</v>
      </c>
      <c r="H472" t="s" s="0">
        <v>82</v>
      </c>
      <c r="I472" t="s" s="0">
        <v>297</v>
      </c>
      <c r="J472" t="s" s="0">
        <v>11212</v>
      </c>
      <c r="K472" t="s" s="0">
        <v>11213</v>
      </c>
      <c r="L472" t="s" s="0">
        <v>82</v>
      </c>
      <c r="M472" t="s" s="0">
        <v>82</v>
      </c>
      <c r="N472" t="s" s="0">
        <v>82</v>
      </c>
      <c r="O472" t="s" s="0">
        <v>11214</v>
      </c>
      <c r="P472" t="s" s="0">
        <v>11215</v>
      </c>
      <c r="Q472" t="s" s="0">
        <v>91</v>
      </c>
      <c r="R472" t="s" s="0">
        <v>82</v>
      </c>
      <c r="S472" t="s" s="0">
        <v>82</v>
      </c>
      <c r="T472" t="s" s="0">
        <v>82</v>
      </c>
      <c r="U472" t="s" s="0">
        <v>82</v>
      </c>
      <c r="V472" t="s" s="0">
        <v>11216</v>
      </c>
      <c r="W472" t="s" s="0">
        <v>6008</v>
      </c>
      <c r="X472" t="s" s="0">
        <v>82</v>
      </c>
      <c r="Y472" t="s" s="0">
        <v>82</v>
      </c>
      <c r="Z472" t="s" s="0">
        <v>94</v>
      </c>
      <c r="AA472" t="s" s="0">
        <v>95</v>
      </c>
      <c r="AB472" t="s" s="0">
        <v>82</v>
      </c>
      <c r="AC472" t="s" s="0">
        <v>82</v>
      </c>
      <c r="AD472" t="s" s="0">
        <v>82</v>
      </c>
      <c r="AE472" t="s" s="0">
        <v>82</v>
      </c>
      <c r="AF472" t="s" s="0">
        <v>82</v>
      </c>
      <c r="AG472" t="s" s="0">
        <v>82</v>
      </c>
      <c r="AH472" t="s" s="0">
        <v>11217</v>
      </c>
      <c r="AI472" t="s" s="0">
        <v>11218</v>
      </c>
      <c r="AJ472" t="s" s="0">
        <v>11219</v>
      </c>
      <c r="AK472" t="s" s="0">
        <v>82</v>
      </c>
      <c r="AL472" t="s" s="0">
        <v>2192</v>
      </c>
      <c r="AM472" t="s" s="0">
        <v>149</v>
      </c>
      <c r="AN472" t="s" s="0">
        <v>149</v>
      </c>
      <c r="AO472" t="s" s="0">
        <v>78</v>
      </c>
      <c r="AP472" t="s" s="0">
        <v>447</v>
      </c>
      <c r="AQ472" t="s" s="0">
        <v>832</v>
      </c>
      <c r="AR472" t="s" s="0">
        <v>833</v>
      </c>
      <c r="AS472" t="s" s="0">
        <v>834</v>
      </c>
      <c r="AT472" t="s" s="0">
        <v>6012</v>
      </c>
      <c r="AU472" t="s" s="0">
        <v>82</v>
      </c>
      <c r="AV472" t="s" s="0">
        <v>82</v>
      </c>
      <c r="AW472" t="s" s="0">
        <v>6013</v>
      </c>
      <c r="AX472" t="s" s="0">
        <v>6014</v>
      </c>
      <c r="AY472" t="s" s="0">
        <v>525</v>
      </c>
      <c r="AZ472" t="s" s="0">
        <v>525</v>
      </c>
      <c r="BA472" t="s" s="0">
        <v>221</v>
      </c>
      <c r="BB472" t="s" s="0">
        <v>82</v>
      </c>
      <c r="BC472" t="s" s="0">
        <v>82</v>
      </c>
      <c r="BD472" t="s" s="0">
        <v>82</v>
      </c>
      <c r="BE472" t="s" s="0">
        <v>82</v>
      </c>
      <c r="BF472" t="s" s="0">
        <v>82</v>
      </c>
      <c r="BG472" t="s" s="0">
        <v>11220</v>
      </c>
      <c r="BH472" t="s" s="0">
        <v>11221</v>
      </c>
      <c r="BI472" t="s" s="0">
        <v>82</v>
      </c>
      <c r="BJ472" t="s" s="0">
        <v>11222</v>
      </c>
      <c r="BK472" t="s" s="939">
        <f>HYPERLINK("http://dx.doi.org/10.1200/CCI.20.00128","http://dx.doi.org/10.1200/CCI.20.00128")</f>
        <v>11223</v>
      </c>
      <c r="BL472" t="s" s="0">
        <v>82</v>
      </c>
      <c r="BM472" t="s" s="0">
        <v>82</v>
      </c>
      <c r="BN472" t="s" s="0">
        <v>137</v>
      </c>
      <c r="BO472" t="s" s="0">
        <v>4833</v>
      </c>
      <c r="BP472" t="s" s="0">
        <v>4833</v>
      </c>
      <c r="BQ472" t="s" s="0">
        <v>11224</v>
      </c>
      <c r="BR472" t="s" s="0">
        <v>11225</v>
      </c>
      <c r="BS472" t="s" s="0">
        <v>11226</v>
      </c>
      <c r="BT472" t="s" s="940">
        <f>HYPERLINK("https://www.webofscience.com/wos/woscc/full-record/WOS:000838577700010","View Record in Web of Science")</f>
        <v>120</v>
      </c>
      <c r="BU472" t="s" s="0">
        <v>82</v>
      </c>
      <c r="BV472" t="s" s="0">
        <v>82</v>
      </c>
      <c r="BW472" t="s" s="0">
        <v>82</v>
      </c>
      <c r="BX472" t="s" s="0">
        <v>122</v>
      </c>
    </row>
    <row r="473">
      <c r="A473" t="s" s="0">
        <v>78</v>
      </c>
      <c r="B473" t="s" s="0">
        <v>78</v>
      </c>
      <c r="C473" t="s" s="0">
        <v>78</v>
      </c>
      <c r="D473" t="s" s="0">
        <v>78</v>
      </c>
      <c r="E473" t="s" s="0">
        <v>11227</v>
      </c>
      <c r="F473" t="s" s="0">
        <v>11228</v>
      </c>
      <c r="G473" t="s" s="0">
        <v>11229</v>
      </c>
      <c r="H473" t="s" s="0">
        <v>82</v>
      </c>
      <c r="I473" t="s" s="0">
        <v>83</v>
      </c>
      <c r="J473" t="s" s="0">
        <v>11230</v>
      </c>
      <c r="K473" t="s" s="0">
        <v>11231</v>
      </c>
      <c r="L473" t="s" s="0">
        <v>11232</v>
      </c>
      <c r="M473" t="s" s="0">
        <v>11233</v>
      </c>
      <c r="N473" t="s" s="0">
        <v>11234</v>
      </c>
      <c r="O473" t="s" s="0">
        <v>11235</v>
      </c>
      <c r="P473" t="s" s="0">
        <v>11236</v>
      </c>
      <c r="Q473" t="s" s="0">
        <v>91</v>
      </c>
      <c r="R473" t="s" s="0">
        <v>82</v>
      </c>
      <c r="S473" t="s" s="0">
        <v>82</v>
      </c>
      <c r="T473" t="s" s="0">
        <v>82</v>
      </c>
      <c r="U473" t="s" s="0">
        <v>82</v>
      </c>
      <c r="V473" t="s" s="0">
        <v>11237</v>
      </c>
      <c r="W473" t="s" s="0">
        <v>8395</v>
      </c>
      <c r="X473" t="s" s="0">
        <v>82</v>
      </c>
      <c r="Y473" t="s" s="0">
        <v>82</v>
      </c>
      <c r="Z473" t="s" s="0">
        <v>94</v>
      </c>
      <c r="AA473" t="s" s="0">
        <v>95</v>
      </c>
      <c r="AB473" t="s" s="0">
        <v>82</v>
      </c>
      <c r="AC473" t="s" s="0">
        <v>82</v>
      </c>
      <c r="AD473" t="s" s="0">
        <v>82</v>
      </c>
      <c r="AE473" t="s" s="0">
        <v>82</v>
      </c>
      <c r="AF473" t="s" s="0">
        <v>82</v>
      </c>
      <c r="AG473" t="s" s="0">
        <v>11238</v>
      </c>
      <c r="AH473" t="s" s="0">
        <v>11239</v>
      </c>
      <c r="AI473" t="s" s="0">
        <v>11240</v>
      </c>
      <c r="AJ473" t="s" s="0">
        <v>82</v>
      </c>
      <c r="AK473" t="s" s="0">
        <v>82</v>
      </c>
      <c r="AL473" t="s" s="0">
        <v>1502</v>
      </c>
      <c r="AM473" t="s" s="0">
        <v>78</v>
      </c>
      <c r="AN473" t="s" s="0">
        <v>78</v>
      </c>
      <c r="AO473" t="s" s="0">
        <v>101</v>
      </c>
      <c r="AP473" t="s" s="0">
        <v>101</v>
      </c>
      <c r="AQ473" t="s" s="0">
        <v>103</v>
      </c>
      <c r="AR473" t="s" s="0">
        <v>104</v>
      </c>
      <c r="AS473" t="s" s="0">
        <v>105</v>
      </c>
      <c r="AT473" t="s" s="0">
        <v>82</v>
      </c>
      <c r="AU473" t="s" s="0">
        <v>8400</v>
      </c>
      <c r="AV473" t="s" s="0">
        <v>82</v>
      </c>
      <c r="AW473" t="s" s="0">
        <v>8401</v>
      </c>
      <c r="AX473" t="s" s="0">
        <v>8402</v>
      </c>
      <c r="AY473" t="s" s="0">
        <v>11241</v>
      </c>
      <c r="AZ473" t="s" s="0">
        <v>147</v>
      </c>
      <c r="BA473" t="s" s="0">
        <v>353</v>
      </c>
      <c r="BB473" t="s" s="0">
        <v>77</v>
      </c>
      <c r="BC473" t="s" s="0">
        <v>82</v>
      </c>
      <c r="BD473" t="s" s="0">
        <v>82</v>
      </c>
      <c r="BE473" t="s" s="0">
        <v>82</v>
      </c>
      <c r="BF473" t="s" s="0">
        <v>82</v>
      </c>
      <c r="BG473" t="s" s="0">
        <v>82</v>
      </c>
      <c r="BH473" t="s" s="0">
        <v>82</v>
      </c>
      <c r="BI473" t="s" s="0">
        <v>1502</v>
      </c>
      <c r="BJ473" t="s" s="0">
        <v>11242</v>
      </c>
      <c r="BK473" t="s" s="941">
        <f>HYPERLINK("http://dx.doi.org/10.1186/s12911-025-03325-9","http://dx.doi.org/10.1186/s12911-025-03325-9")</f>
        <v>11243</v>
      </c>
      <c r="BL473" t="s" s="0">
        <v>82</v>
      </c>
      <c r="BM473" t="s" s="0">
        <v>82</v>
      </c>
      <c r="BN473" t="s" s="0">
        <v>149</v>
      </c>
      <c r="BO473" t="s" s="0">
        <v>1815</v>
      </c>
      <c r="BP473" t="s" s="0">
        <v>1815</v>
      </c>
      <c r="BQ473" t="s" s="0">
        <v>11244</v>
      </c>
      <c r="BR473" t="s" s="0">
        <v>11245</v>
      </c>
      <c r="BS473" t="s" s="0">
        <v>11246</v>
      </c>
      <c r="BT473" t="s" s="942">
        <f>HYPERLINK("https://www.webofscience.com/wos/woscc/full-record/WOS:001676564700001","View Record in Web of Science")</f>
        <v>120</v>
      </c>
      <c r="BU473" t="s" s="0">
        <v>121</v>
      </c>
      <c r="BV473" t="s" s="0">
        <v>82</v>
      </c>
      <c r="BW473" t="s" s="0">
        <v>82</v>
      </c>
      <c r="BX473" t="s" s="0">
        <v>122</v>
      </c>
    </row>
    <row r="474">
      <c r="A474" t="s" s="0">
        <v>78</v>
      </c>
      <c r="B474" t="s" s="0">
        <v>78</v>
      </c>
      <c r="C474" t="s" s="0">
        <v>78</v>
      </c>
      <c r="D474" t="s" s="0">
        <v>78</v>
      </c>
      <c r="E474" t="s" s="0">
        <v>11247</v>
      </c>
      <c r="F474" t="s" s="0">
        <v>11248</v>
      </c>
      <c r="G474" t="s" s="0">
        <v>11249</v>
      </c>
      <c r="H474" t="s" s="0">
        <v>82</v>
      </c>
      <c r="I474" t="s" s="0">
        <v>83</v>
      </c>
      <c r="J474" t="s" s="0">
        <v>11250</v>
      </c>
      <c r="K474" t="s" s="0">
        <v>11251</v>
      </c>
      <c r="L474" t="s" s="0">
        <v>11252</v>
      </c>
      <c r="M474" t="s" s="0">
        <v>11253</v>
      </c>
      <c r="N474" t="s" s="0">
        <v>11254</v>
      </c>
      <c r="O474" t="s" s="0">
        <v>11255</v>
      </c>
      <c r="P474" t="s" s="0">
        <v>11256</v>
      </c>
      <c r="Q474" t="s" s="0">
        <v>91</v>
      </c>
      <c r="R474" t="s" s="0">
        <v>82</v>
      </c>
      <c r="S474" t="s" s="0">
        <v>82</v>
      </c>
      <c r="T474" t="s" s="0">
        <v>82</v>
      </c>
      <c r="U474" t="s" s="0">
        <v>82</v>
      </c>
      <c r="V474" t="s" s="0">
        <v>11257</v>
      </c>
      <c r="W474" t="s" s="0">
        <v>6124</v>
      </c>
      <c r="X474" t="s" s="0">
        <v>82</v>
      </c>
      <c r="Y474" t="s" s="0">
        <v>82</v>
      </c>
      <c r="Z474" t="s" s="0">
        <v>94</v>
      </c>
      <c r="AA474" t="s" s="0">
        <v>95</v>
      </c>
      <c r="AB474" t="s" s="0">
        <v>82</v>
      </c>
      <c r="AC474" t="s" s="0">
        <v>82</v>
      </c>
      <c r="AD474" t="s" s="0">
        <v>82</v>
      </c>
      <c r="AE474" t="s" s="0">
        <v>82</v>
      </c>
      <c r="AF474" t="s" s="0">
        <v>82</v>
      </c>
      <c r="AG474" t="s" s="0">
        <v>11258</v>
      </c>
      <c r="AH474" t="s" s="0">
        <v>11179</v>
      </c>
      <c r="AI474" t="s" s="0">
        <v>11259</v>
      </c>
      <c r="AJ474" t="s" s="0">
        <v>11260</v>
      </c>
      <c r="AK474" t="s" s="0">
        <v>82</v>
      </c>
      <c r="AL474" t="s" s="0">
        <v>890</v>
      </c>
      <c r="AM474" t="s" s="0">
        <v>447</v>
      </c>
      <c r="AN474" t="s" s="0">
        <v>101</v>
      </c>
      <c r="AO474" t="s" s="0">
        <v>77</v>
      </c>
      <c r="AP474" t="s" s="0">
        <v>77</v>
      </c>
      <c r="AQ474" t="s" s="0">
        <v>312</v>
      </c>
      <c r="AR474" t="s" s="0">
        <v>313</v>
      </c>
      <c r="AS474" t="s" s="0">
        <v>314</v>
      </c>
      <c r="AT474" t="s" s="0">
        <v>82</v>
      </c>
      <c r="AU474" t="s" s="0">
        <v>6129</v>
      </c>
      <c r="AV474" t="s" s="0">
        <v>82</v>
      </c>
      <c r="AW474" t="s" s="0">
        <v>6124</v>
      </c>
      <c r="AX474" t="s" s="0">
        <v>6130</v>
      </c>
      <c r="AY474" t="s" s="0">
        <v>11261</v>
      </c>
      <c r="AZ474" t="s" s="0">
        <v>147</v>
      </c>
      <c r="BA474" t="s" s="0">
        <v>239</v>
      </c>
      <c r="BB474" t="s" s="0">
        <v>685</v>
      </c>
      <c r="BC474" t="s" s="0">
        <v>82</v>
      </c>
      <c r="BD474" t="s" s="0">
        <v>82</v>
      </c>
      <c r="BE474" t="s" s="0">
        <v>82</v>
      </c>
      <c r="BF474" t="s" s="0">
        <v>82</v>
      </c>
      <c r="BG474" t="s" s="0">
        <v>82</v>
      </c>
      <c r="BH474" t="s" s="0">
        <v>82</v>
      </c>
      <c r="BI474" t="s" s="0">
        <v>11262</v>
      </c>
      <c r="BJ474" t="s" s="0">
        <v>11263</v>
      </c>
      <c r="BK474" t="s" s="943">
        <f>HYPERLINK("http://dx.doi.org/10.3390/cancers17233820","http://dx.doi.org/10.3390/cancers17233820")</f>
        <v>11264</v>
      </c>
      <c r="BL474" t="s" s="0">
        <v>82</v>
      </c>
      <c r="BM474" t="s" s="0">
        <v>82</v>
      </c>
      <c r="BN474" t="s" s="0">
        <v>115</v>
      </c>
      <c r="BO474" t="s" s="0">
        <v>4833</v>
      </c>
      <c r="BP474" t="s" s="0">
        <v>4833</v>
      </c>
      <c r="BQ474" t="s" s="0">
        <v>11265</v>
      </c>
      <c r="BR474" t="s" s="0">
        <v>11266</v>
      </c>
      <c r="BS474" t="s" s="0">
        <v>11267</v>
      </c>
      <c r="BT474" t="s" s="944">
        <f>HYPERLINK("https://www.webofscience.com/wos/woscc/full-record/WOS:001635344900001","View Record in Web of Science")</f>
        <v>120</v>
      </c>
      <c r="BU474" t="s" s="0">
        <v>121</v>
      </c>
      <c r="BV474" t="s" s="0">
        <v>82</v>
      </c>
      <c r="BW474" t="s" s="0">
        <v>82</v>
      </c>
      <c r="BX474" t="s" s="0">
        <v>122</v>
      </c>
    </row>
    <row r="475">
      <c r="A475" t="s" s="0">
        <v>78</v>
      </c>
      <c r="B475" t="s" s="0">
        <v>78</v>
      </c>
      <c r="C475" t="s" s="0">
        <v>78</v>
      </c>
      <c r="D475" t="s" s="0">
        <v>78</v>
      </c>
      <c r="E475" t="s" s="0">
        <v>11268</v>
      </c>
      <c r="F475" t="s" s="0">
        <v>11269</v>
      </c>
      <c r="G475" t="s" s="0">
        <v>11270</v>
      </c>
      <c r="H475" t="s" s="0">
        <v>82</v>
      </c>
      <c r="I475" t="s" s="0">
        <v>83</v>
      </c>
      <c r="J475" t="s" s="0">
        <v>11271</v>
      </c>
      <c r="K475" t="s" s="0">
        <v>11272</v>
      </c>
      <c r="L475" t="s" s="0">
        <v>82</v>
      </c>
      <c r="M475" t="s" s="0">
        <v>82</v>
      </c>
      <c r="N475" t="s" s="0">
        <v>82</v>
      </c>
      <c r="O475" t="s" s="0">
        <v>11273</v>
      </c>
      <c r="P475" t="s" s="0">
        <v>11274</v>
      </c>
      <c r="Q475" t="s" s="0">
        <v>91</v>
      </c>
      <c r="R475" t="s" s="0">
        <v>82</v>
      </c>
      <c r="S475" t="s" s="0">
        <v>82</v>
      </c>
      <c r="T475" t="s" s="0">
        <v>82</v>
      </c>
      <c r="U475" t="s" s="0">
        <v>82</v>
      </c>
      <c r="V475" t="s" s="0">
        <v>11275</v>
      </c>
      <c r="W475" t="s" s="0">
        <v>1056</v>
      </c>
      <c r="X475" t="s" s="0">
        <v>82</v>
      </c>
      <c r="Y475" t="s" s="0">
        <v>82</v>
      </c>
      <c r="Z475" t="s" s="0">
        <v>94</v>
      </c>
      <c r="AA475" t="s" s="0">
        <v>95</v>
      </c>
      <c r="AB475" t="s" s="0">
        <v>82</v>
      </c>
      <c r="AC475" t="s" s="0">
        <v>82</v>
      </c>
      <c r="AD475" t="s" s="0">
        <v>82</v>
      </c>
      <c r="AE475" t="s" s="0">
        <v>82</v>
      </c>
      <c r="AF475" t="s" s="0">
        <v>82</v>
      </c>
      <c r="AG475" t="s" s="0">
        <v>11276</v>
      </c>
      <c r="AH475" t="s" s="0">
        <v>11277</v>
      </c>
      <c r="AI475" t="s" s="0">
        <v>82</v>
      </c>
      <c r="AJ475" t="s" s="0">
        <v>82</v>
      </c>
      <c r="AK475" t="s" s="0">
        <v>82</v>
      </c>
      <c r="AL475" t="s" s="0">
        <v>353</v>
      </c>
      <c r="AM475" t="s" s="0">
        <v>78</v>
      </c>
      <c r="AN475" t="s" s="0">
        <v>78</v>
      </c>
      <c r="AO475" t="s" s="0">
        <v>78</v>
      </c>
      <c r="AP475" t="s" s="0">
        <v>78</v>
      </c>
      <c r="AQ475" t="s" s="0">
        <v>400</v>
      </c>
      <c r="AR475" t="s" s="0">
        <v>401</v>
      </c>
      <c r="AS475" t="s" s="0">
        <v>402</v>
      </c>
      <c r="AT475" t="s" s="0">
        <v>1062</v>
      </c>
      <c r="AU475" t="s" s="0">
        <v>1063</v>
      </c>
      <c r="AV475" t="s" s="0">
        <v>82</v>
      </c>
      <c r="AW475" t="s" s="0">
        <v>1064</v>
      </c>
      <c r="AX475" t="s" s="0">
        <v>1065</v>
      </c>
      <c r="AY475" t="s" s="0">
        <v>11278</v>
      </c>
      <c r="AZ475" t="s" s="0">
        <v>181</v>
      </c>
      <c r="BA475" t="s" s="0">
        <v>11279</v>
      </c>
      <c r="BB475" t="s" s="0">
        <v>82</v>
      </c>
      <c r="BC475" t="s" s="0">
        <v>82</v>
      </c>
      <c r="BD475" t="s" s="0">
        <v>82</v>
      </c>
      <c r="BE475" t="s" s="0">
        <v>82</v>
      </c>
      <c r="BF475" t="s" s="0">
        <v>82</v>
      </c>
      <c r="BG475" t="s" s="0">
        <v>82</v>
      </c>
      <c r="BH475" t="s" s="0">
        <v>82</v>
      </c>
      <c r="BI475" t="s" s="0">
        <v>11280</v>
      </c>
      <c r="BJ475" t="s" s="0">
        <v>11281</v>
      </c>
      <c r="BK475" t="s" s="945">
        <f>HYPERLINK("http://dx.doi.org/10.1016/j.ijcard.2026.134702","http://dx.doi.org/10.1016/j.ijcard.2026.134702")</f>
        <v>11282</v>
      </c>
      <c r="BL475" t="s" s="0">
        <v>82</v>
      </c>
      <c r="BM475" t="s" s="0">
        <v>82</v>
      </c>
      <c r="BN475" t="s" s="0">
        <v>149</v>
      </c>
      <c r="BO475" t="s" s="0">
        <v>503</v>
      </c>
      <c r="BP475" t="s" s="0">
        <v>504</v>
      </c>
      <c r="BQ475" t="s" s="0">
        <v>11283</v>
      </c>
      <c r="BR475" t="s" s="0">
        <v>11284</v>
      </c>
      <c r="BS475" t="s" s="0">
        <v>11285</v>
      </c>
      <c r="BT475" t="s" s="946">
        <f>HYPERLINK("https://www.webofscience.com/wos/woscc/full-record/WOS:001840133800001","View Record in Web of Science")</f>
        <v>120</v>
      </c>
      <c r="BU475" t="s" s="0">
        <v>82</v>
      </c>
      <c r="BV475" t="s" s="0">
        <v>82</v>
      </c>
      <c r="BW475" t="s" s="0">
        <v>82</v>
      </c>
      <c r="BX475" t="s" s="0">
        <v>122</v>
      </c>
    </row>
    <row r="476">
      <c r="A476" t="s" s="0">
        <v>78</v>
      </c>
      <c r="B476" t="s" s="0">
        <v>78</v>
      </c>
      <c r="C476" t="s" s="0">
        <v>101</v>
      </c>
      <c r="D476" t="s" s="0">
        <v>78</v>
      </c>
      <c r="E476" t="s" s="0">
        <v>11286</v>
      </c>
      <c r="F476" t="s" s="0">
        <v>11287</v>
      </c>
      <c r="G476" t="s" s="0">
        <v>11288</v>
      </c>
      <c r="H476" t="s" s="0">
        <v>82</v>
      </c>
      <c r="I476" t="s" s="0">
        <v>297</v>
      </c>
      <c r="J476" t="s" s="0">
        <v>11289</v>
      </c>
      <c r="K476" t="s" s="0">
        <v>11290</v>
      </c>
      <c r="L476" t="s" s="0">
        <v>82</v>
      </c>
      <c r="M476" t="s" s="0">
        <v>82</v>
      </c>
      <c r="N476" t="s" s="0">
        <v>11291</v>
      </c>
      <c r="O476" t="s" s="0">
        <v>11292</v>
      </c>
      <c r="P476" t="s" s="0">
        <v>11293</v>
      </c>
      <c r="Q476" t="s" s="0">
        <v>91</v>
      </c>
      <c r="R476" t="s" s="0">
        <v>82</v>
      </c>
      <c r="S476" t="s" s="0">
        <v>82</v>
      </c>
      <c r="T476" t="s" s="0">
        <v>82</v>
      </c>
      <c r="U476" t="s" s="0">
        <v>82</v>
      </c>
      <c r="V476" t="s" s="0">
        <v>11294</v>
      </c>
      <c r="W476" t="s" s="0">
        <v>11295</v>
      </c>
      <c r="X476" t="s" s="0">
        <v>82</v>
      </c>
      <c r="Y476" t="s" s="0">
        <v>82</v>
      </c>
      <c r="Z476" t="s" s="0">
        <v>94</v>
      </c>
      <c r="AA476" t="s" s="0">
        <v>95</v>
      </c>
      <c r="AB476" t="s" s="0">
        <v>82</v>
      </c>
      <c r="AC476" t="s" s="0">
        <v>82</v>
      </c>
      <c r="AD476" t="s" s="0">
        <v>82</v>
      </c>
      <c r="AE476" t="s" s="0">
        <v>82</v>
      </c>
      <c r="AF476" t="s" s="0">
        <v>82</v>
      </c>
      <c r="AG476" t="s" s="0">
        <v>11296</v>
      </c>
      <c r="AH476" t="s" s="0">
        <v>82</v>
      </c>
      <c r="AI476" t="s" s="0">
        <v>82</v>
      </c>
      <c r="AJ476" t="s" s="0">
        <v>82</v>
      </c>
      <c r="AK476" t="s" s="0">
        <v>82</v>
      </c>
      <c r="AL476" t="s" s="0">
        <v>154</v>
      </c>
      <c r="AM476" t="s" s="0">
        <v>138</v>
      </c>
      <c r="AN476" t="s" s="0">
        <v>137</v>
      </c>
      <c r="AO476" t="s" s="0">
        <v>78</v>
      </c>
      <c r="AP476" t="s" s="0">
        <v>221</v>
      </c>
      <c r="AQ476" t="s" s="0">
        <v>2269</v>
      </c>
      <c r="AR476" t="s" s="0">
        <v>104</v>
      </c>
      <c r="AS476" t="s" s="0">
        <v>2270</v>
      </c>
      <c r="AT476" t="s" s="0">
        <v>82</v>
      </c>
      <c r="AU476" t="s" s="0">
        <v>11297</v>
      </c>
      <c r="AV476" t="s" s="0">
        <v>82</v>
      </c>
      <c r="AW476" t="s" s="0">
        <v>11298</v>
      </c>
      <c r="AX476" t="s" s="0">
        <v>11299</v>
      </c>
      <c r="AY476" t="s" s="0">
        <v>11300</v>
      </c>
      <c r="AZ476" t="s" s="0">
        <v>110</v>
      </c>
      <c r="BA476" t="s" s="0">
        <v>640</v>
      </c>
      <c r="BB476" t="s" s="0">
        <v>138</v>
      </c>
      <c r="BC476" t="s" s="0">
        <v>82</v>
      </c>
      <c r="BD476" t="s" s="0">
        <v>82</v>
      </c>
      <c r="BE476" t="s" s="0">
        <v>82</v>
      </c>
      <c r="BF476" t="s" s="0">
        <v>82</v>
      </c>
      <c r="BG476" t="s" s="0">
        <v>82</v>
      </c>
      <c r="BH476" t="s" s="0">
        <v>82</v>
      </c>
      <c r="BI476" t="s" s="0">
        <v>11301</v>
      </c>
      <c r="BJ476" t="s" s="0">
        <v>11302</v>
      </c>
      <c r="BK476" t="s" s="947">
        <f>HYPERLINK("http://dx.doi.org/10.7759/cureus.65442","http://dx.doi.org/10.7759/cureus.65442")</f>
        <v>11303</v>
      </c>
      <c r="BL476" t="s" s="0">
        <v>82</v>
      </c>
      <c r="BM476" t="s" s="0">
        <v>82</v>
      </c>
      <c r="BN476" t="s" s="0">
        <v>115</v>
      </c>
      <c r="BO476" t="s" s="0">
        <v>82</v>
      </c>
      <c r="BP476" t="s" s="0">
        <v>82</v>
      </c>
      <c r="BQ476" t="s" s="0">
        <v>11304</v>
      </c>
      <c r="BR476" t="s" s="0">
        <v>11305</v>
      </c>
      <c r="BS476" t="s" s="0">
        <v>11306</v>
      </c>
      <c r="BT476" t="s" s="948">
        <f>HYPERLINK("https://www.webofscience.com/wos/woscc/full-record/WOS:001280402100012","View Record in Web of Science")</f>
        <v>120</v>
      </c>
      <c r="BU476" t="s" s="0">
        <v>121</v>
      </c>
      <c r="BV476" t="s" s="0">
        <v>82</v>
      </c>
      <c r="BW476" t="s" s="0">
        <v>82</v>
      </c>
      <c r="BX476" t="s" s="0">
        <v>122</v>
      </c>
    </row>
    <row r="477">
      <c r="A477" t="s" s="0">
        <v>375</v>
      </c>
      <c r="B477" t="s" s="0">
        <v>78</v>
      </c>
      <c r="C477" t="s" s="0">
        <v>4621</v>
      </c>
      <c r="D477" t="s" s="0">
        <v>78</v>
      </c>
      <c r="E477" t="s" s="0">
        <v>11307</v>
      </c>
      <c r="F477" t="s" s="0">
        <v>11308</v>
      </c>
      <c r="G477" t="s" s="0">
        <v>11309</v>
      </c>
      <c r="H477" t="s" s="0">
        <v>82</v>
      </c>
      <c r="I477" t="s" s="0">
        <v>83</v>
      </c>
      <c r="J477" t="s" s="0">
        <v>11310</v>
      </c>
      <c r="K477" t="s" s="0">
        <v>11311</v>
      </c>
      <c r="L477" t="s" s="0">
        <v>11312</v>
      </c>
      <c r="M477" t="s" s="0">
        <v>11312</v>
      </c>
      <c r="N477" t="s" s="0">
        <v>11313</v>
      </c>
      <c r="O477" t="s" s="0">
        <v>11314</v>
      </c>
      <c r="P477" t="s" s="0">
        <v>11315</v>
      </c>
      <c r="Q477" t="s" s="0">
        <v>91</v>
      </c>
      <c r="R477" t="s" s="0">
        <v>82</v>
      </c>
      <c r="S477" t="s" s="0">
        <v>82</v>
      </c>
      <c r="T477" t="s" s="0">
        <v>82</v>
      </c>
      <c r="U477" t="s" s="0">
        <v>82</v>
      </c>
      <c r="V477" t="s" s="0">
        <v>11316</v>
      </c>
      <c r="W477" t="s" s="0">
        <v>269</v>
      </c>
      <c r="X477" t="s" s="0">
        <v>82</v>
      </c>
      <c r="Y477" t="s" s="0">
        <v>82</v>
      </c>
      <c r="Z477" t="s" s="0">
        <v>94</v>
      </c>
      <c r="AA477" t="s" s="0">
        <v>95</v>
      </c>
      <c r="AB477" t="s" s="0">
        <v>82</v>
      </c>
      <c r="AC477" t="s" s="0">
        <v>82</v>
      </c>
      <c r="AD477" t="s" s="0">
        <v>82</v>
      </c>
      <c r="AE477" t="s" s="0">
        <v>82</v>
      </c>
      <c r="AF477" t="s" s="0">
        <v>82</v>
      </c>
      <c r="AG477" t="s" s="0">
        <v>82</v>
      </c>
      <c r="AH477" t="s" s="0">
        <v>82</v>
      </c>
      <c r="AI477" t="s" s="0">
        <v>11317</v>
      </c>
      <c r="AJ477" t="s" s="0">
        <v>11318</v>
      </c>
      <c r="AK477" t="s" s="0">
        <v>82</v>
      </c>
      <c r="AL477" t="s" s="0">
        <v>1186</v>
      </c>
      <c r="AM477" t="s" s="0">
        <v>11319</v>
      </c>
      <c r="AN477" t="s" s="0">
        <v>11320</v>
      </c>
      <c r="AO477" t="s" s="0">
        <v>77</v>
      </c>
      <c r="AP477" t="s" s="0">
        <v>1658</v>
      </c>
      <c r="AQ477" t="s" s="0">
        <v>277</v>
      </c>
      <c r="AR477" t="s" s="0">
        <v>278</v>
      </c>
      <c r="AS477" t="s" s="0">
        <v>279</v>
      </c>
      <c r="AT477" t="s" s="0">
        <v>82</v>
      </c>
      <c r="AU477" t="s" s="0">
        <v>280</v>
      </c>
      <c r="AV477" t="s" s="0">
        <v>82</v>
      </c>
      <c r="AW477" t="s" s="0">
        <v>281</v>
      </c>
      <c r="AX477" t="s" s="0">
        <v>282</v>
      </c>
      <c r="AY477" t="s" s="0">
        <v>11321</v>
      </c>
      <c r="AZ477" t="s" s="0">
        <v>1035</v>
      </c>
      <c r="BA477" t="s" s="0">
        <v>447</v>
      </c>
      <c r="BB477" t="s" s="0">
        <v>136</v>
      </c>
      <c r="BC477" t="s" s="0">
        <v>82</v>
      </c>
      <c r="BD477" t="s" s="0">
        <v>82</v>
      </c>
      <c r="BE477" t="s" s="0">
        <v>82</v>
      </c>
      <c r="BF477" t="s" s="0">
        <v>82</v>
      </c>
      <c r="BG477" t="s" s="0">
        <v>11322</v>
      </c>
      <c r="BH477" t="s" s="0">
        <v>11323</v>
      </c>
      <c r="BI477" t="s" s="0">
        <v>82</v>
      </c>
      <c r="BJ477" t="s" s="0">
        <v>82</v>
      </c>
      <c r="BK477" t="s" s="0">
        <v>82</v>
      </c>
      <c r="BL477" t="s" s="0">
        <v>82</v>
      </c>
      <c r="BM477" t="s" s="0">
        <v>82</v>
      </c>
      <c r="BN477" t="s" s="0">
        <v>245</v>
      </c>
      <c r="BO477" t="s" s="0">
        <v>289</v>
      </c>
      <c r="BP477" t="s" s="0">
        <v>290</v>
      </c>
      <c r="BQ477" t="s" s="0">
        <v>11324</v>
      </c>
      <c r="BR477" t="s" s="0">
        <v>11325</v>
      </c>
      <c r="BS477" t="s" s="0">
        <v>11326</v>
      </c>
      <c r="BT477" t="s" s="949">
        <f>HYPERLINK("https://www.webofscience.com/wos/woscc/full-record/WOS:000562799500010","View Record in Web of Science")</f>
        <v>120</v>
      </c>
      <c r="BU477" t="s" s="0">
        <v>1008</v>
      </c>
      <c r="BV477" t="s" s="0">
        <v>4390</v>
      </c>
      <c r="BW477" t="s" s="0">
        <v>4391</v>
      </c>
      <c r="BX477" t="s" s="0">
        <v>122</v>
      </c>
    </row>
    <row r="478">
      <c r="A478" t="s" s="0">
        <v>78</v>
      </c>
      <c r="B478" t="s" s="0">
        <v>78</v>
      </c>
      <c r="C478" t="s" s="0">
        <v>78</v>
      </c>
      <c r="D478" t="s" s="0">
        <v>78</v>
      </c>
      <c r="E478" t="s" s="0">
        <v>11327</v>
      </c>
      <c r="F478" t="s" s="0">
        <v>11328</v>
      </c>
      <c r="G478" t="s" s="0">
        <v>11329</v>
      </c>
      <c r="H478" t="s" s="0">
        <v>82</v>
      </c>
      <c r="I478" t="s" s="0">
        <v>83</v>
      </c>
      <c r="J478" t="s" s="0">
        <v>11330</v>
      </c>
      <c r="K478" t="s" s="0">
        <v>11331</v>
      </c>
      <c r="L478" t="s" s="0">
        <v>11332</v>
      </c>
      <c r="M478" t="s" s="0">
        <v>11333</v>
      </c>
      <c r="N478" t="s" s="0">
        <v>11334</v>
      </c>
      <c r="O478" t="s" s="0">
        <v>11335</v>
      </c>
      <c r="P478" t="s" s="0">
        <v>11336</v>
      </c>
      <c r="Q478" t="s" s="0">
        <v>91</v>
      </c>
      <c r="R478" t="s" s="0">
        <v>82</v>
      </c>
      <c r="S478" t="s" s="0">
        <v>82</v>
      </c>
      <c r="T478" t="s" s="0">
        <v>82</v>
      </c>
      <c r="U478" t="s" s="0">
        <v>82</v>
      </c>
      <c r="V478" t="s" s="0">
        <v>11337</v>
      </c>
      <c r="W478" t="s" s="0">
        <v>543</v>
      </c>
      <c r="X478" t="s" s="0">
        <v>82</v>
      </c>
      <c r="Y478" t="s" s="0">
        <v>82</v>
      </c>
      <c r="Z478" t="s" s="0">
        <v>94</v>
      </c>
      <c r="AA478" t="s" s="0">
        <v>95</v>
      </c>
      <c r="AB478" t="s" s="0">
        <v>82</v>
      </c>
      <c r="AC478" t="s" s="0">
        <v>82</v>
      </c>
      <c r="AD478" t="s" s="0">
        <v>82</v>
      </c>
      <c r="AE478" t="s" s="0">
        <v>82</v>
      </c>
      <c r="AF478" t="s" s="0">
        <v>82</v>
      </c>
      <c r="AG478" t="s" s="0">
        <v>11338</v>
      </c>
      <c r="AH478" t="s" s="0">
        <v>11339</v>
      </c>
      <c r="AI478" t="s" s="0">
        <v>11340</v>
      </c>
      <c r="AJ478" t="s" s="0">
        <v>82</v>
      </c>
      <c r="AK478" t="s" s="0">
        <v>82</v>
      </c>
      <c r="AL478" t="s" s="0">
        <v>1026</v>
      </c>
      <c r="AM478" t="s" s="0">
        <v>78</v>
      </c>
      <c r="AN478" t="s" s="0">
        <v>78</v>
      </c>
      <c r="AO478" t="s" s="0">
        <v>77</v>
      </c>
      <c r="AP478" t="s" s="0">
        <v>77</v>
      </c>
      <c r="AQ478" t="s" s="0">
        <v>312</v>
      </c>
      <c r="AR478" t="s" s="0">
        <v>313</v>
      </c>
      <c r="AS478" t="s" s="0">
        <v>314</v>
      </c>
      <c r="AT478" t="s" s="0">
        <v>82</v>
      </c>
      <c r="AU478" t="s" s="0">
        <v>550</v>
      </c>
      <c r="AV478" t="s" s="0">
        <v>82</v>
      </c>
      <c r="AW478" t="s" s="0">
        <v>543</v>
      </c>
      <c r="AX478" t="s" s="0">
        <v>551</v>
      </c>
      <c r="AY478" t="s" s="0">
        <v>3226</v>
      </c>
      <c r="AZ478" t="s" s="0">
        <v>181</v>
      </c>
      <c r="BA478" t="s" s="0">
        <v>640</v>
      </c>
      <c r="BB478" t="s" s="0">
        <v>115</v>
      </c>
      <c r="BC478" t="s" s="0">
        <v>82</v>
      </c>
      <c r="BD478" t="s" s="0">
        <v>82</v>
      </c>
      <c r="BE478" t="s" s="0">
        <v>82</v>
      </c>
      <c r="BF478" t="s" s="0">
        <v>82</v>
      </c>
      <c r="BG478" t="s" s="0">
        <v>82</v>
      </c>
      <c r="BH478" t="s" s="0">
        <v>82</v>
      </c>
      <c r="BI478" t="s" s="0">
        <v>11341</v>
      </c>
      <c r="BJ478" t="s" s="0">
        <v>11342</v>
      </c>
      <c r="BK478" t="s" s="950">
        <f>HYPERLINK("http://dx.doi.org/10.3390/diagnostics16131996","http://dx.doi.org/10.3390/diagnostics16131996")</f>
        <v>11343</v>
      </c>
      <c r="BL478" t="s" s="0">
        <v>82</v>
      </c>
      <c r="BM478" t="s" s="0">
        <v>82</v>
      </c>
      <c r="BN478" t="s" s="0">
        <v>311</v>
      </c>
      <c r="BO478" t="s" s="0">
        <v>354</v>
      </c>
      <c r="BP478" t="s" s="0">
        <v>355</v>
      </c>
      <c r="BQ478" t="s" s="0">
        <v>11344</v>
      </c>
      <c r="BR478" t="s" s="0">
        <v>11345</v>
      </c>
      <c r="BS478" t="s" s="0">
        <v>11346</v>
      </c>
      <c r="BT478" t="s" s="951">
        <f>HYPERLINK("https://www.webofscience.com/wos/woscc/full-record/WOS:001817980800001","View Record in Web of Science")</f>
        <v>120</v>
      </c>
      <c r="BU478" t="s" s="0">
        <v>121</v>
      </c>
      <c r="BV478" t="s" s="0">
        <v>82</v>
      </c>
      <c r="BW478" t="s" s="0">
        <v>82</v>
      </c>
      <c r="BX478" t="s" s="0">
        <v>122</v>
      </c>
    </row>
    <row r="479">
      <c r="A479" t="s" s="0">
        <v>78</v>
      </c>
      <c r="B479" t="s" s="0">
        <v>78</v>
      </c>
      <c r="C479" t="s" s="0">
        <v>77</v>
      </c>
      <c r="D479" t="s" s="0">
        <v>78</v>
      </c>
      <c r="E479" t="s" s="0">
        <v>11347</v>
      </c>
      <c r="F479" t="s" s="0">
        <v>11348</v>
      </c>
      <c r="G479" t="s" s="0">
        <v>11349</v>
      </c>
      <c r="H479" t="s" s="0">
        <v>82</v>
      </c>
      <c r="I479" t="s" s="0">
        <v>83</v>
      </c>
      <c r="J479" t="s" s="0">
        <v>11350</v>
      </c>
      <c r="K479" t="s" s="0">
        <v>11351</v>
      </c>
      <c r="L479" t="s" s="0">
        <v>82</v>
      </c>
      <c r="M479" t="s" s="0">
        <v>82</v>
      </c>
      <c r="N479" t="s" s="0">
        <v>82</v>
      </c>
      <c r="O479" t="s" s="0">
        <v>11352</v>
      </c>
      <c r="P479" t="s" s="0">
        <v>11353</v>
      </c>
      <c r="Q479" t="s" s="0">
        <v>91</v>
      </c>
      <c r="R479" t="s" s="0">
        <v>82</v>
      </c>
      <c r="S479" t="s" s="0">
        <v>82</v>
      </c>
      <c r="T479" t="s" s="0">
        <v>82</v>
      </c>
      <c r="U479" t="s" s="0">
        <v>82</v>
      </c>
      <c r="V479" t="s" s="0">
        <v>11354</v>
      </c>
      <c r="W479" t="s" s="0">
        <v>11355</v>
      </c>
      <c r="X479" t="s" s="0">
        <v>82</v>
      </c>
      <c r="Y479" t="s" s="0">
        <v>82</v>
      </c>
      <c r="Z479" t="s" s="0">
        <v>94</v>
      </c>
      <c r="AA479" t="s" s="0">
        <v>95</v>
      </c>
      <c r="AB479" t="s" s="0">
        <v>82</v>
      </c>
      <c r="AC479" t="s" s="0">
        <v>82</v>
      </c>
      <c r="AD479" t="s" s="0">
        <v>82</v>
      </c>
      <c r="AE479" t="s" s="0">
        <v>82</v>
      </c>
      <c r="AF479" t="s" s="0">
        <v>82</v>
      </c>
      <c r="AG479" t="s" s="0">
        <v>11356</v>
      </c>
      <c r="AH479" t="s" s="0">
        <v>11357</v>
      </c>
      <c r="AI479" t="s" s="0">
        <v>11358</v>
      </c>
      <c r="AJ479" t="s" s="0">
        <v>11359</v>
      </c>
      <c r="AK479" t="s" s="0">
        <v>82</v>
      </c>
      <c r="AL479" t="s" s="0">
        <v>349</v>
      </c>
      <c r="AM479" t="s" s="0">
        <v>136</v>
      </c>
      <c r="AN479" t="s" s="0">
        <v>136</v>
      </c>
      <c r="AO479" t="s" s="0">
        <v>447</v>
      </c>
      <c r="AP479" t="s" s="0">
        <v>102</v>
      </c>
      <c r="AQ479" t="s" s="0">
        <v>277</v>
      </c>
      <c r="AR479" t="s" s="0">
        <v>278</v>
      </c>
      <c r="AS479" t="s" s="0">
        <v>279</v>
      </c>
      <c r="AT479" t="s" s="0">
        <v>82</v>
      </c>
      <c r="AU479" t="s" s="0">
        <v>11360</v>
      </c>
      <c r="AV479" t="s" s="0">
        <v>82</v>
      </c>
      <c r="AW479" t="s" s="0">
        <v>11361</v>
      </c>
      <c r="AX479" t="s" s="0">
        <v>11362</v>
      </c>
      <c r="AY479" t="s" s="0">
        <v>2217</v>
      </c>
      <c r="AZ479" t="s" s="0">
        <v>110</v>
      </c>
      <c r="BA479" t="s" s="0">
        <v>245</v>
      </c>
      <c r="BB479" t="s" s="0">
        <v>375</v>
      </c>
      <c r="BC479" t="s" s="0">
        <v>82</v>
      </c>
      <c r="BD479" t="s" s="0">
        <v>82</v>
      </c>
      <c r="BE479" t="s" s="0">
        <v>82</v>
      </c>
      <c r="BF479" t="s" s="0">
        <v>82</v>
      </c>
      <c r="BG479" t="s" s="0">
        <v>11363</v>
      </c>
      <c r="BH479" t="s" s="0">
        <v>11364</v>
      </c>
      <c r="BI479" t="s" s="0">
        <v>82</v>
      </c>
      <c r="BJ479" t="s" s="0">
        <v>11365</v>
      </c>
      <c r="BK479" t="s" s="952">
        <f>HYPERLINK("http://dx.doi.org/10.1016/j.euf.2024.06.004","http://dx.doi.org/10.1016/j.euf.2024.06.004")</f>
        <v>11366</v>
      </c>
      <c r="BL479" t="s" s="0">
        <v>82</v>
      </c>
      <c r="BM479" t="s" s="0">
        <v>3527</v>
      </c>
      <c r="BN479" t="s" s="0">
        <v>319</v>
      </c>
      <c r="BO479" t="s" s="0">
        <v>1197</v>
      </c>
      <c r="BP479" t="s" s="0">
        <v>1197</v>
      </c>
      <c r="BQ479" t="s" s="0">
        <v>11367</v>
      </c>
      <c r="BR479" t="s" s="0">
        <v>11368</v>
      </c>
      <c r="BS479" t="s" s="0">
        <v>11369</v>
      </c>
      <c r="BT479" t="s" s="953">
        <f>HYPERLINK("https://www.webofscience.com/wos/woscc/full-record/WOS:001430160400001","View Record in Web of Science")</f>
        <v>120</v>
      </c>
      <c r="BU479" t="s" s="0">
        <v>256</v>
      </c>
      <c r="BV479" t="s" s="0">
        <v>82</v>
      </c>
      <c r="BW479" t="s" s="0">
        <v>82</v>
      </c>
      <c r="BX479" t="s" s="0">
        <v>122</v>
      </c>
    </row>
    <row r="480">
      <c r="A480" t="s" s="0">
        <v>78</v>
      </c>
      <c r="B480" t="s" s="0">
        <v>78</v>
      </c>
      <c r="C480" t="s" s="0">
        <v>78</v>
      </c>
      <c r="D480" t="s" s="0">
        <v>78</v>
      </c>
      <c r="E480" t="s" s="0">
        <v>11370</v>
      </c>
      <c r="F480" t="s" s="0">
        <v>11371</v>
      </c>
      <c r="G480" t="s" s="0">
        <v>11372</v>
      </c>
      <c r="H480" t="s" s="0">
        <v>82</v>
      </c>
      <c r="I480" t="s" s="0">
        <v>297</v>
      </c>
      <c r="J480" t="s" s="0">
        <v>11373</v>
      </c>
      <c r="K480" t="s" s="0">
        <v>11374</v>
      </c>
      <c r="L480" t="s" s="0">
        <v>82</v>
      </c>
      <c r="M480" t="s" s="0">
        <v>82</v>
      </c>
      <c r="N480" t="s" s="0">
        <v>82</v>
      </c>
      <c r="O480" t="s" s="0">
        <v>11375</v>
      </c>
      <c r="P480" t="s" s="0">
        <v>11376</v>
      </c>
      <c r="Q480" t="s" s="0">
        <v>91</v>
      </c>
      <c r="R480" t="s" s="0">
        <v>82</v>
      </c>
      <c r="S480" t="s" s="0">
        <v>82</v>
      </c>
      <c r="T480" t="s" s="0">
        <v>82</v>
      </c>
      <c r="U480" t="s" s="0">
        <v>82</v>
      </c>
      <c r="V480" t="s" s="0">
        <v>11377</v>
      </c>
      <c r="W480" t="s" s="0">
        <v>11378</v>
      </c>
      <c r="X480" t="s" s="0">
        <v>82</v>
      </c>
      <c r="Y480" t="s" s="0">
        <v>82</v>
      </c>
      <c r="Z480" t="s" s="0">
        <v>94</v>
      </c>
      <c r="AA480" t="s" s="0">
        <v>169</v>
      </c>
      <c r="AB480" t="s" s="0">
        <v>82</v>
      </c>
      <c r="AC480" t="s" s="0">
        <v>82</v>
      </c>
      <c r="AD480" t="s" s="0">
        <v>82</v>
      </c>
      <c r="AE480" t="s" s="0">
        <v>82</v>
      </c>
      <c r="AF480" t="s" s="0">
        <v>82</v>
      </c>
      <c r="AG480" t="s" s="0">
        <v>11379</v>
      </c>
      <c r="AH480" t="s" s="0">
        <v>11380</v>
      </c>
      <c r="AI480" t="s" s="0">
        <v>82</v>
      </c>
      <c r="AJ480" t="s" s="0">
        <v>82</v>
      </c>
      <c r="AK480" t="s" s="0">
        <v>82</v>
      </c>
      <c r="AL480" t="s" s="0">
        <v>745</v>
      </c>
      <c r="AM480" t="s" s="0">
        <v>78</v>
      </c>
      <c r="AN480" t="s" s="0">
        <v>78</v>
      </c>
      <c r="AO480" t="s" s="0">
        <v>78</v>
      </c>
      <c r="AP480" t="s" s="0">
        <v>78</v>
      </c>
      <c r="AQ480" t="s" s="0">
        <v>575</v>
      </c>
      <c r="AR480" t="s" s="0">
        <v>104</v>
      </c>
      <c r="AS480" t="s" s="0">
        <v>576</v>
      </c>
      <c r="AT480" t="s" s="0">
        <v>11381</v>
      </c>
      <c r="AU480" t="s" s="0">
        <v>11382</v>
      </c>
      <c r="AV480" t="s" s="0">
        <v>82</v>
      </c>
      <c r="AW480" t="s" s="0">
        <v>11383</v>
      </c>
      <c r="AX480" t="s" s="0">
        <v>11384</v>
      </c>
      <c r="AY480" t="s" s="0">
        <v>82</v>
      </c>
      <c r="AZ480" t="s" s="0">
        <v>181</v>
      </c>
      <c r="BA480" t="s" s="0">
        <v>82</v>
      </c>
      <c r="BB480" t="s" s="0">
        <v>82</v>
      </c>
      <c r="BC480" t="s" s="0">
        <v>82</v>
      </c>
      <c r="BD480" t="s" s="0">
        <v>82</v>
      </c>
      <c r="BE480" t="s" s="0">
        <v>82</v>
      </c>
      <c r="BF480" t="s" s="0">
        <v>82</v>
      </c>
      <c r="BG480" t="s" s="0">
        <v>82</v>
      </c>
      <c r="BH480" t="s" s="0">
        <v>82</v>
      </c>
      <c r="BI480" t="s" s="0">
        <v>82</v>
      </c>
      <c r="BJ480" t="s" s="0">
        <v>11385</v>
      </c>
      <c r="BK480" t="s" s="954">
        <f>HYPERLINK("http://dx.doi.org/10.1136/bmjinnov-2025-001511","http://dx.doi.org/10.1136/bmjinnov-2025-001511")</f>
        <v>11386</v>
      </c>
      <c r="BL480" t="s" s="0">
        <v>82</v>
      </c>
      <c r="BM480" t="s" s="0">
        <v>1003</v>
      </c>
      <c r="BN480" t="s" s="0">
        <v>136</v>
      </c>
      <c r="BO480" t="s" s="0">
        <v>9850</v>
      </c>
      <c r="BP480" t="s" s="0">
        <v>9850</v>
      </c>
      <c r="BQ480" t="s" s="0">
        <v>11387</v>
      </c>
      <c r="BR480" t="s" s="0">
        <v>82</v>
      </c>
      <c r="BS480" t="s" s="0">
        <v>11388</v>
      </c>
      <c r="BT480" t="s" s="955">
        <f>HYPERLINK("https://www.webofscience.com/wos/woscc/full-record/WOS:001775072000001","View Record in Web of Science")</f>
        <v>120</v>
      </c>
      <c r="BU480" t="s" s="0">
        <v>82</v>
      </c>
      <c r="BV480" t="s" s="0">
        <v>82</v>
      </c>
      <c r="BW480" t="s" s="0">
        <v>82</v>
      </c>
      <c r="BX480" t="s" s="0">
        <v>122</v>
      </c>
    </row>
    <row r="481">
      <c r="A481" t="s" s="0">
        <v>77</v>
      </c>
      <c r="B481" t="s" s="0">
        <v>78</v>
      </c>
      <c r="C481" t="s" s="0">
        <v>138</v>
      </c>
      <c r="D481" t="s" s="0">
        <v>78</v>
      </c>
      <c r="E481" t="s" s="0">
        <v>11389</v>
      </c>
      <c r="F481" t="s" s="0">
        <v>11390</v>
      </c>
      <c r="G481" t="s" s="0">
        <v>11391</v>
      </c>
      <c r="H481" t="s" s="0">
        <v>82</v>
      </c>
      <c r="I481" t="s" s="0">
        <v>83</v>
      </c>
      <c r="J481" t="s" s="0">
        <v>11392</v>
      </c>
      <c r="K481" t="s" s="0">
        <v>11393</v>
      </c>
      <c r="L481" t="s" s="0">
        <v>11394</v>
      </c>
      <c r="M481" t="s" s="0">
        <v>11395</v>
      </c>
      <c r="N481" t="s" s="0">
        <v>11396</v>
      </c>
      <c r="O481" t="s" s="0">
        <v>11397</v>
      </c>
      <c r="P481" t="s" s="0">
        <v>11398</v>
      </c>
      <c r="Q481" t="s" s="0">
        <v>91</v>
      </c>
      <c r="R481" t="s" s="0">
        <v>82</v>
      </c>
      <c r="S481" t="s" s="0">
        <v>82</v>
      </c>
      <c r="T481" t="s" s="0">
        <v>82</v>
      </c>
      <c r="U481" t="s" s="0">
        <v>82</v>
      </c>
      <c r="V481" t="s" s="0">
        <v>11399</v>
      </c>
      <c r="W481" t="s" s="0">
        <v>11400</v>
      </c>
      <c r="X481" t="s" s="0">
        <v>82</v>
      </c>
      <c r="Y481" t="s" s="0">
        <v>82</v>
      </c>
      <c r="Z481" t="s" s="0">
        <v>94</v>
      </c>
      <c r="AA481" t="s" s="0">
        <v>95</v>
      </c>
      <c r="AB481" t="s" s="0">
        <v>82</v>
      </c>
      <c r="AC481" t="s" s="0">
        <v>82</v>
      </c>
      <c r="AD481" t="s" s="0">
        <v>82</v>
      </c>
      <c r="AE481" t="s" s="0">
        <v>82</v>
      </c>
      <c r="AF481" t="s" s="0">
        <v>82</v>
      </c>
      <c r="AG481" t="s" s="0">
        <v>11401</v>
      </c>
      <c r="AH481" t="s" s="0">
        <v>11402</v>
      </c>
      <c r="AI481" t="s" s="0">
        <v>11403</v>
      </c>
      <c r="AJ481" t="s" s="0">
        <v>11404</v>
      </c>
      <c r="AK481" t="s" s="0">
        <v>82</v>
      </c>
      <c r="AL481" t="s" s="0">
        <v>1780</v>
      </c>
      <c r="AM481" t="s" s="0">
        <v>353</v>
      </c>
      <c r="AN481" t="s" s="0">
        <v>399</v>
      </c>
      <c r="AO481" t="s" s="0">
        <v>78</v>
      </c>
      <c r="AP481" t="s" s="0">
        <v>375</v>
      </c>
      <c r="AQ481" t="s" s="0">
        <v>6764</v>
      </c>
      <c r="AR481" t="s" s="0">
        <v>104</v>
      </c>
      <c r="AS481" t="s" s="0">
        <v>6765</v>
      </c>
      <c r="AT481" t="s" s="0">
        <v>11405</v>
      </c>
      <c r="AU481" t="s" s="0">
        <v>11406</v>
      </c>
      <c r="AV481" t="s" s="0">
        <v>82</v>
      </c>
      <c r="AW481" t="s" s="0">
        <v>11407</v>
      </c>
      <c r="AX481" t="s" s="0">
        <v>11408</v>
      </c>
      <c r="AY481" t="s" s="0">
        <v>11409</v>
      </c>
      <c r="AZ481" t="s" s="0">
        <v>4301</v>
      </c>
      <c r="BA481" t="s" s="0">
        <v>838</v>
      </c>
      <c r="BB481" t="s" s="0">
        <v>82</v>
      </c>
      <c r="BC481" t="s" s="0">
        <v>82</v>
      </c>
      <c r="BD481" t="s" s="0">
        <v>82</v>
      </c>
      <c r="BE481" t="s" s="0">
        <v>82</v>
      </c>
      <c r="BF481" t="s" s="0">
        <v>82</v>
      </c>
      <c r="BG481" t="s" s="0">
        <v>409</v>
      </c>
      <c r="BH481" t="s" s="0">
        <v>11410</v>
      </c>
      <c r="BI481" t="s" s="0">
        <v>82</v>
      </c>
      <c r="BJ481" t="s" s="0">
        <v>11411</v>
      </c>
      <c r="BK481" t="s" s="956">
        <f>HYPERLINK("http://dx.doi.org/10.1016/j.rmed.2018.04.003","http://dx.doi.org/10.1016/j.rmed.2018.04.003")</f>
        <v>11412</v>
      </c>
      <c r="BL481" t="s" s="0">
        <v>82</v>
      </c>
      <c r="BM481" t="s" s="0">
        <v>82</v>
      </c>
      <c r="BN481" t="s" s="0">
        <v>375</v>
      </c>
      <c r="BO481" t="s" s="0">
        <v>11413</v>
      </c>
      <c r="BP481" t="s" s="0">
        <v>11414</v>
      </c>
      <c r="BQ481" t="s" s="0">
        <v>11415</v>
      </c>
      <c r="BR481" t="s" s="0">
        <v>11416</v>
      </c>
      <c r="BS481" t="s" s="0">
        <v>11417</v>
      </c>
      <c r="BT481" t="s" s="957">
        <f>HYPERLINK("https://www.webofscience.com/wos/woscc/full-record/WOS:000432442400022","View Record in Web of Science")</f>
        <v>120</v>
      </c>
      <c r="BU481" t="s" s="0">
        <v>2333</v>
      </c>
      <c r="BV481" t="s" s="0">
        <v>82</v>
      </c>
      <c r="BW481" t="s" s="0">
        <v>82</v>
      </c>
      <c r="BX481" t="s" s="0">
        <v>122</v>
      </c>
    </row>
    <row r="482">
      <c r="A482" t="s" s="0">
        <v>78</v>
      </c>
      <c r="B482" t="s" s="0">
        <v>78</v>
      </c>
      <c r="C482" t="s" s="0">
        <v>447</v>
      </c>
      <c r="D482" t="s" s="0">
        <v>78</v>
      </c>
      <c r="E482" t="s" s="0">
        <v>11418</v>
      </c>
      <c r="F482" t="s" s="0">
        <v>11419</v>
      </c>
      <c r="G482" t="s" s="0">
        <v>11420</v>
      </c>
      <c r="H482" t="s" s="0">
        <v>82</v>
      </c>
      <c r="I482" t="s" s="0">
        <v>83</v>
      </c>
      <c r="J482" t="s" s="0">
        <v>11421</v>
      </c>
      <c r="K482" t="s" s="0">
        <v>11422</v>
      </c>
      <c r="L482" t="s" s="0">
        <v>82</v>
      </c>
      <c r="M482" t="s" s="0">
        <v>82</v>
      </c>
      <c r="N482" t="s" s="0">
        <v>82</v>
      </c>
      <c r="O482" t="s" s="0">
        <v>11423</v>
      </c>
      <c r="P482" t="s" s="0">
        <v>11424</v>
      </c>
      <c r="Q482" t="s" s="0">
        <v>91</v>
      </c>
      <c r="R482" t="s" s="0">
        <v>82</v>
      </c>
      <c r="S482" t="s" s="0">
        <v>82</v>
      </c>
      <c r="T482" t="s" s="0">
        <v>82</v>
      </c>
      <c r="U482" t="s" s="0">
        <v>82</v>
      </c>
      <c r="V482" t="s" s="0">
        <v>11425</v>
      </c>
      <c r="W482" t="s" s="0">
        <v>11426</v>
      </c>
      <c r="X482" t="s" s="0">
        <v>82</v>
      </c>
      <c r="Y482" t="s" s="0">
        <v>82</v>
      </c>
      <c r="Z482" t="s" s="0">
        <v>94</v>
      </c>
      <c r="AA482" t="s" s="0">
        <v>95</v>
      </c>
      <c r="AB482" t="s" s="0">
        <v>82</v>
      </c>
      <c r="AC482" t="s" s="0">
        <v>82</v>
      </c>
      <c r="AD482" t="s" s="0">
        <v>82</v>
      </c>
      <c r="AE482" t="s" s="0">
        <v>82</v>
      </c>
      <c r="AF482" t="s" s="0">
        <v>82</v>
      </c>
      <c r="AG482" t="s" s="0">
        <v>11427</v>
      </c>
      <c r="AH482" t="s" s="0">
        <v>11428</v>
      </c>
      <c r="AI482" t="s" s="0">
        <v>11429</v>
      </c>
      <c r="AJ482" t="s" s="0">
        <v>11430</v>
      </c>
      <c r="AK482" t="s" s="0">
        <v>82</v>
      </c>
      <c r="AL482" t="s" s="0">
        <v>1780</v>
      </c>
      <c r="AM482" t="s" s="0">
        <v>323</v>
      </c>
      <c r="AN482" t="s" s="0">
        <v>349</v>
      </c>
      <c r="AO482" t="s" s="0">
        <v>78</v>
      </c>
      <c r="AP482" t="s" s="0">
        <v>138</v>
      </c>
      <c r="AQ482" t="s" s="0">
        <v>832</v>
      </c>
      <c r="AR482" t="s" s="0">
        <v>833</v>
      </c>
      <c r="AS482" t="s" s="0">
        <v>834</v>
      </c>
      <c r="AT482" t="s" s="0">
        <v>11431</v>
      </c>
      <c r="AU482" t="s" s="0">
        <v>11432</v>
      </c>
      <c r="AV482" t="s" s="0">
        <v>82</v>
      </c>
      <c r="AW482" t="s" s="0">
        <v>11426</v>
      </c>
      <c r="AX482" t="s" s="0">
        <v>11433</v>
      </c>
      <c r="AY482" t="s" s="0">
        <v>1482</v>
      </c>
      <c r="AZ482" t="s" s="0">
        <v>408</v>
      </c>
      <c r="BA482" t="s" s="0">
        <v>2940</v>
      </c>
      <c r="BB482" t="s" s="0">
        <v>447</v>
      </c>
      <c r="BC482" t="s" s="0">
        <v>82</v>
      </c>
      <c r="BD482" t="s" s="0">
        <v>82</v>
      </c>
      <c r="BE482" t="s" s="0">
        <v>82</v>
      </c>
      <c r="BF482" t="s" s="0">
        <v>82</v>
      </c>
      <c r="BG482" t="s" s="0">
        <v>11434</v>
      </c>
      <c r="BH482" t="s" s="0">
        <v>11319</v>
      </c>
      <c r="BI482" t="s" s="0">
        <v>82</v>
      </c>
      <c r="BJ482" t="s" s="0">
        <v>11435</v>
      </c>
      <c r="BK482" t="s" s="958">
        <f>HYPERLINK("http://dx.doi.org/10.1227/neu.0000000000001967","http://dx.doi.org/10.1227/neu.0000000000001967")</f>
        <v>11436</v>
      </c>
      <c r="BL482" t="s" s="0">
        <v>82</v>
      </c>
      <c r="BM482" t="s" s="0">
        <v>82</v>
      </c>
      <c r="BN482" t="s" s="0">
        <v>319</v>
      </c>
      <c r="BO482" t="s" s="0">
        <v>216</v>
      </c>
      <c r="BP482" t="s" s="0">
        <v>217</v>
      </c>
      <c r="BQ482" t="s" s="0">
        <v>11437</v>
      </c>
      <c r="BR482" t="s" s="0">
        <v>11438</v>
      </c>
      <c r="BS482" t="s" s="0">
        <v>11439</v>
      </c>
      <c r="BT482" t="s" s="959">
        <f>HYPERLINK("https://www.webofscience.com/wos/woscc/full-record/WOS:000957534300021","View Record in Web of Science")</f>
        <v>120</v>
      </c>
      <c r="BU482" t="s" s="0">
        <v>82</v>
      </c>
      <c r="BV482" t="s" s="0">
        <v>82</v>
      </c>
      <c r="BW482" t="s" s="0">
        <v>82</v>
      </c>
      <c r="BX482" t="s" s="0">
        <v>122</v>
      </c>
    </row>
    <row r="483">
      <c r="A483" t="s" s="0">
        <v>78</v>
      </c>
      <c r="B483" t="s" s="0">
        <v>78</v>
      </c>
      <c r="C483" t="s" s="0">
        <v>78</v>
      </c>
      <c r="D483" t="s" s="0">
        <v>78</v>
      </c>
      <c r="E483" t="s" s="0">
        <v>11440</v>
      </c>
      <c r="F483" t="s" s="0">
        <v>11441</v>
      </c>
      <c r="G483" t="s" s="0">
        <v>11442</v>
      </c>
      <c r="H483" t="s" s="0">
        <v>82</v>
      </c>
      <c r="I483" t="s" s="0">
        <v>83</v>
      </c>
      <c r="J483" t="s" s="0">
        <v>11443</v>
      </c>
      <c r="K483" t="s" s="0">
        <v>11444</v>
      </c>
      <c r="L483" t="s" s="0">
        <v>11445</v>
      </c>
      <c r="M483" t="s" s="0">
        <v>11446</v>
      </c>
      <c r="N483" t="s" s="0">
        <v>11447</v>
      </c>
      <c r="O483" t="s" s="0">
        <v>11448</v>
      </c>
      <c r="P483" t="s" s="0">
        <v>11449</v>
      </c>
      <c r="Q483" t="s" s="0">
        <v>91</v>
      </c>
      <c r="R483" t="s" s="0">
        <v>82</v>
      </c>
      <c r="S483" t="s" s="0">
        <v>82</v>
      </c>
      <c r="T483" t="s" s="0">
        <v>82</v>
      </c>
      <c r="U483" t="s" s="0">
        <v>82</v>
      </c>
      <c r="V483" t="s" s="0">
        <v>11450</v>
      </c>
      <c r="W483" t="s" s="0">
        <v>2480</v>
      </c>
      <c r="X483" t="s" s="0">
        <v>82</v>
      </c>
      <c r="Y483" t="s" s="0">
        <v>82</v>
      </c>
      <c r="Z483" t="s" s="0">
        <v>94</v>
      </c>
      <c r="AA483" t="s" s="0">
        <v>95</v>
      </c>
      <c r="AB483" t="s" s="0">
        <v>82</v>
      </c>
      <c r="AC483" t="s" s="0">
        <v>82</v>
      </c>
      <c r="AD483" t="s" s="0">
        <v>82</v>
      </c>
      <c r="AE483" t="s" s="0">
        <v>82</v>
      </c>
      <c r="AF483" t="s" s="0">
        <v>82</v>
      </c>
      <c r="AG483" t="s" s="0">
        <v>11451</v>
      </c>
      <c r="AH483" t="s" s="0">
        <v>11452</v>
      </c>
      <c r="AI483" t="s" s="0">
        <v>11453</v>
      </c>
      <c r="AJ483" t="s" s="0">
        <v>82</v>
      </c>
      <c r="AK483" t="s" s="0">
        <v>82</v>
      </c>
      <c r="AL483" t="s" s="0">
        <v>1526</v>
      </c>
      <c r="AM483" t="s" s="0">
        <v>78</v>
      </c>
      <c r="AN483" t="s" s="0">
        <v>78</v>
      </c>
      <c r="AO483" t="s" s="0">
        <v>447</v>
      </c>
      <c r="AP483" t="s" s="0">
        <v>447</v>
      </c>
      <c r="AQ483" t="s" s="0">
        <v>2484</v>
      </c>
      <c r="AR483" t="s" s="0">
        <v>2485</v>
      </c>
      <c r="AS483" t="s" s="0">
        <v>2486</v>
      </c>
      <c r="AT483" t="s" s="0">
        <v>2487</v>
      </c>
      <c r="AU483" t="s" s="0">
        <v>82</v>
      </c>
      <c r="AV483" t="s" s="0">
        <v>82</v>
      </c>
      <c r="AW483" t="s" s="0">
        <v>2488</v>
      </c>
      <c r="AX483" t="s" s="0">
        <v>2489</v>
      </c>
      <c r="AY483" t="s" s="0">
        <v>3440</v>
      </c>
      <c r="AZ483" t="s" s="0">
        <v>181</v>
      </c>
      <c r="BA483" t="s" s="0">
        <v>239</v>
      </c>
      <c r="BB483" t="s" s="0">
        <v>82</v>
      </c>
      <c r="BC483" t="s" s="0">
        <v>82</v>
      </c>
      <c r="BD483" t="s" s="0">
        <v>82</v>
      </c>
      <c r="BE483" t="s" s="0">
        <v>82</v>
      </c>
      <c r="BF483" t="s" s="0">
        <v>82</v>
      </c>
      <c r="BG483" t="s" s="0">
        <v>82</v>
      </c>
      <c r="BH483" t="s" s="0">
        <v>82</v>
      </c>
      <c r="BI483" t="s" s="0">
        <v>11454</v>
      </c>
      <c r="BJ483" t="s" s="0">
        <v>11455</v>
      </c>
      <c r="BK483" t="s" s="960">
        <f>HYPERLINK("http://dx.doi.org/10.3389/fendo.2026.1830594","http://dx.doi.org/10.3389/fendo.2026.1830594")</f>
        <v>11456</v>
      </c>
      <c r="BL483" t="s" s="0">
        <v>82</v>
      </c>
      <c r="BM483" t="s" s="0">
        <v>1003</v>
      </c>
      <c r="BN483" t="s" s="0">
        <v>640</v>
      </c>
      <c r="BO483" t="s" s="0">
        <v>697</v>
      </c>
      <c r="BP483" t="s" s="0">
        <v>697</v>
      </c>
      <c r="BQ483" t="s" s="0">
        <v>11457</v>
      </c>
      <c r="BR483" t="s" s="0">
        <v>11458</v>
      </c>
      <c r="BS483" t="s" s="0">
        <v>11459</v>
      </c>
      <c r="BT483" t="s" s="961">
        <f>HYPERLINK("https://www.webofscience.com/wos/woscc/full-record/WOS:001777500900001","View Record in Web of Science")</f>
        <v>120</v>
      </c>
      <c r="BU483" t="s" s="0">
        <v>121</v>
      </c>
      <c r="BV483" t="s" s="0">
        <v>82</v>
      </c>
      <c r="BW483" t="s" s="0">
        <v>82</v>
      </c>
      <c r="BX483" t="s" s="0">
        <v>122</v>
      </c>
    </row>
    <row r="484">
      <c r="A484" t="s" s="0">
        <v>78</v>
      </c>
      <c r="B484" t="s" s="0">
        <v>78</v>
      </c>
      <c r="C484" t="s" s="0">
        <v>102</v>
      </c>
      <c r="D484" t="s" s="0">
        <v>78</v>
      </c>
      <c r="E484" t="s" s="0">
        <v>11460</v>
      </c>
      <c r="F484" t="s" s="0">
        <v>11461</v>
      </c>
      <c r="G484" t="s" s="0">
        <v>11462</v>
      </c>
      <c r="H484" t="s" s="0">
        <v>82</v>
      </c>
      <c r="I484" t="s" s="0">
        <v>83</v>
      </c>
      <c r="J484" t="s" s="0">
        <v>11463</v>
      </c>
      <c r="K484" t="s" s="0">
        <v>7265</v>
      </c>
      <c r="L484" t="s" s="0">
        <v>11464</v>
      </c>
      <c r="M484" t="s" s="0">
        <v>11465</v>
      </c>
      <c r="N484" t="s" s="0">
        <v>11466</v>
      </c>
      <c r="O484" t="s" s="0">
        <v>11467</v>
      </c>
      <c r="P484" t="s" s="0">
        <v>11468</v>
      </c>
      <c r="Q484" t="s" s="0">
        <v>91</v>
      </c>
      <c r="R484" t="s" s="0">
        <v>82</v>
      </c>
      <c r="S484" t="s" s="0">
        <v>82</v>
      </c>
      <c r="T484" t="s" s="0">
        <v>82</v>
      </c>
      <c r="U484" t="s" s="0">
        <v>82</v>
      </c>
      <c r="V484" t="s" s="0">
        <v>11469</v>
      </c>
      <c r="W484" t="s" s="0">
        <v>3637</v>
      </c>
      <c r="X484" t="s" s="0">
        <v>82</v>
      </c>
      <c r="Y484" t="s" s="0">
        <v>82</v>
      </c>
      <c r="Z484" t="s" s="0">
        <v>94</v>
      </c>
      <c r="AA484" t="s" s="0">
        <v>95</v>
      </c>
      <c r="AB484" t="s" s="0">
        <v>82</v>
      </c>
      <c r="AC484" t="s" s="0">
        <v>82</v>
      </c>
      <c r="AD484" t="s" s="0">
        <v>82</v>
      </c>
      <c r="AE484" t="s" s="0">
        <v>82</v>
      </c>
      <c r="AF484" t="s" s="0">
        <v>82</v>
      </c>
      <c r="AG484" t="s" s="0">
        <v>82</v>
      </c>
      <c r="AH484" t="s" s="0">
        <v>82</v>
      </c>
      <c r="AI484" t="s" s="0">
        <v>11470</v>
      </c>
      <c r="AJ484" t="s" s="0">
        <v>11471</v>
      </c>
      <c r="AK484" t="s" s="0">
        <v>82</v>
      </c>
      <c r="AL484" t="s" s="0">
        <v>548</v>
      </c>
      <c r="AM484" t="s" s="0">
        <v>149</v>
      </c>
      <c r="AN484" t="s" s="0">
        <v>115</v>
      </c>
      <c r="AO484" t="s" s="0">
        <v>78</v>
      </c>
      <c r="AP484" t="s" s="0">
        <v>375</v>
      </c>
      <c r="AQ484" t="s" s="0">
        <v>633</v>
      </c>
      <c r="AR484" t="s" s="0">
        <v>634</v>
      </c>
      <c r="AS484" t="s" s="0">
        <v>635</v>
      </c>
      <c r="AT484" t="s" s="0">
        <v>3642</v>
      </c>
      <c r="AU484" t="s" s="0">
        <v>82</v>
      </c>
      <c r="AV484" t="s" s="0">
        <v>82</v>
      </c>
      <c r="AW484" t="s" s="0">
        <v>3643</v>
      </c>
      <c r="AX484" t="s" s="0">
        <v>3644</v>
      </c>
      <c r="AY484" t="s" s="0">
        <v>11472</v>
      </c>
      <c r="AZ484" t="s" s="0">
        <v>408</v>
      </c>
      <c r="BA484" t="s" s="0">
        <v>149</v>
      </c>
      <c r="BB484" t="s" s="0">
        <v>77</v>
      </c>
      <c r="BC484" t="s" s="0">
        <v>82</v>
      </c>
      <c r="BD484" t="s" s="0">
        <v>82</v>
      </c>
      <c r="BE484" t="s" s="0">
        <v>82</v>
      </c>
      <c r="BF484" t="s" s="0">
        <v>82</v>
      </c>
      <c r="BG484" t="s" s="0">
        <v>82</v>
      </c>
      <c r="BH484" t="s" s="0">
        <v>82</v>
      </c>
      <c r="BI484" t="s" s="0">
        <v>11473</v>
      </c>
      <c r="BJ484" t="s" s="0">
        <v>11474</v>
      </c>
      <c r="BK484" t="s" s="962">
        <f>HYPERLINK("http://dx.doi.org/10.1038/s41598-022-22233-w","http://dx.doi.org/10.1038/s41598-022-22233-w")</f>
        <v>11475</v>
      </c>
      <c r="BL484" t="s" s="0">
        <v>82</v>
      </c>
      <c r="BM484" t="s" s="0">
        <v>82</v>
      </c>
      <c r="BN484" t="s" s="0">
        <v>136</v>
      </c>
      <c r="BO484" t="s" s="0">
        <v>644</v>
      </c>
      <c r="BP484" t="s" s="0">
        <v>645</v>
      </c>
      <c r="BQ484" t="s" s="0">
        <v>11476</v>
      </c>
      <c r="BR484" t="s" s="0">
        <v>11477</v>
      </c>
      <c r="BS484" t="s" s="0">
        <v>11478</v>
      </c>
      <c r="BT484" t="s" s="963">
        <f>HYPERLINK("https://www.webofscience.com/wos/woscc/full-record/WOS:000870427800012","View Record in Web of Science")</f>
        <v>120</v>
      </c>
      <c r="BU484" t="s" s="0">
        <v>121</v>
      </c>
      <c r="BV484" t="s" s="0">
        <v>82</v>
      </c>
      <c r="BW484" t="s" s="0">
        <v>82</v>
      </c>
      <c r="BX484" t="s" s="0">
        <v>122</v>
      </c>
    </row>
    <row r="485">
      <c r="A485" t="s" s="0">
        <v>78</v>
      </c>
      <c r="B485" t="s" s="0">
        <v>78</v>
      </c>
      <c r="C485" t="s" s="0">
        <v>78</v>
      </c>
      <c r="D485" t="s" s="0">
        <v>78</v>
      </c>
      <c r="E485" t="s" s="0">
        <v>11479</v>
      </c>
      <c r="F485" t="s" s="0">
        <v>11480</v>
      </c>
      <c r="G485" t="s" s="0">
        <v>11481</v>
      </c>
      <c r="H485" t="s" s="0">
        <v>82</v>
      </c>
      <c r="I485" t="s" s="0">
        <v>83</v>
      </c>
      <c r="J485" t="s" s="0">
        <v>11482</v>
      </c>
      <c r="K485" t="s" s="0">
        <v>11483</v>
      </c>
      <c r="L485" t="s" s="0">
        <v>11484</v>
      </c>
      <c r="M485" t="s" s="0">
        <v>11485</v>
      </c>
      <c r="N485" t="s" s="0">
        <v>11486</v>
      </c>
      <c r="O485" t="s" s="0">
        <v>11487</v>
      </c>
      <c r="P485" t="s" s="0">
        <v>11488</v>
      </c>
      <c r="Q485" t="s" s="0">
        <v>91</v>
      </c>
      <c r="R485" t="s" s="0">
        <v>82</v>
      </c>
      <c r="S485" t="s" s="0">
        <v>82</v>
      </c>
      <c r="T485" t="s" s="0">
        <v>82</v>
      </c>
      <c r="U485" t="s" s="0">
        <v>82</v>
      </c>
      <c r="V485" t="s" s="0">
        <v>11489</v>
      </c>
      <c r="W485" t="s" s="0">
        <v>11490</v>
      </c>
      <c r="X485" t="s" s="0">
        <v>82</v>
      </c>
      <c r="Y485" t="s" s="0">
        <v>82</v>
      </c>
      <c r="Z485" t="s" s="0">
        <v>94</v>
      </c>
      <c r="AA485" t="s" s="0">
        <v>169</v>
      </c>
      <c r="AB485" t="s" s="0">
        <v>82</v>
      </c>
      <c r="AC485" t="s" s="0">
        <v>82</v>
      </c>
      <c r="AD485" t="s" s="0">
        <v>82</v>
      </c>
      <c r="AE485" t="s" s="0">
        <v>82</v>
      </c>
      <c r="AF485" t="s" s="0">
        <v>82</v>
      </c>
      <c r="AG485" t="s" s="0">
        <v>82</v>
      </c>
      <c r="AH485" t="s" s="0">
        <v>11491</v>
      </c>
      <c r="AI485" t="s" s="0">
        <v>11492</v>
      </c>
      <c r="AJ485" t="s" s="0">
        <v>11493</v>
      </c>
      <c r="AK485" t="s" s="0">
        <v>82</v>
      </c>
      <c r="AL485" t="s" s="0">
        <v>100</v>
      </c>
      <c r="AM485" t="s" s="0">
        <v>77</v>
      </c>
      <c r="AN485" t="s" s="0">
        <v>77</v>
      </c>
      <c r="AO485" t="s" s="0">
        <v>447</v>
      </c>
      <c r="AP485" t="s" s="0">
        <v>447</v>
      </c>
      <c r="AQ485" t="s" s="0">
        <v>2269</v>
      </c>
      <c r="AR485" t="s" s="0">
        <v>104</v>
      </c>
      <c r="AS485" t="s" s="0">
        <v>9306</v>
      </c>
      <c r="AT485" t="s" s="0">
        <v>11494</v>
      </c>
      <c r="AU485" t="s" s="0">
        <v>11495</v>
      </c>
      <c r="AV485" t="s" s="0">
        <v>82</v>
      </c>
      <c r="AW485" t="s" s="0">
        <v>11496</v>
      </c>
      <c r="AX485" t="s" s="0">
        <v>11497</v>
      </c>
      <c r="AY485" t="s" s="0">
        <v>82</v>
      </c>
      <c r="AZ485" t="s" s="0">
        <v>181</v>
      </c>
      <c r="BA485" t="s" s="0">
        <v>82</v>
      </c>
      <c r="BB485" t="s" s="0">
        <v>82</v>
      </c>
      <c r="BC485" t="s" s="0">
        <v>82</v>
      </c>
      <c r="BD485" t="s" s="0">
        <v>82</v>
      </c>
      <c r="BE485" t="s" s="0">
        <v>82</v>
      </c>
      <c r="BF485" t="s" s="0">
        <v>82</v>
      </c>
      <c r="BG485" t="s" s="0">
        <v>82</v>
      </c>
      <c r="BH485" t="s" s="0">
        <v>82</v>
      </c>
      <c r="BI485" t="s" s="0">
        <v>82</v>
      </c>
      <c r="BJ485" t="s" s="0">
        <v>11498</v>
      </c>
      <c r="BK485" t="s" s="964">
        <f>HYPERLINK("http://dx.doi.org/10.1038/s41390-026-04878-9","http://dx.doi.org/10.1038/s41390-026-04878-9")</f>
        <v>11499</v>
      </c>
      <c r="BL485" t="s" s="0">
        <v>82</v>
      </c>
      <c r="BM485" t="s" s="0">
        <v>153</v>
      </c>
      <c r="BN485" t="s" s="0">
        <v>349</v>
      </c>
      <c r="BO485" t="s" s="0">
        <v>5770</v>
      </c>
      <c r="BP485" t="s" s="0">
        <v>5770</v>
      </c>
      <c r="BQ485" t="s" s="0">
        <v>11500</v>
      </c>
      <c r="BR485" t="s" s="0">
        <v>11501</v>
      </c>
      <c r="BS485" t="s" s="0">
        <v>11502</v>
      </c>
      <c r="BT485" t="s" s="965">
        <f>HYPERLINK("https://www.webofscience.com/wos/woscc/full-record/WOS:001720678900001","View Record in Web of Science")</f>
        <v>120</v>
      </c>
      <c r="BU485" t="s" s="0">
        <v>82</v>
      </c>
      <c r="BV485" t="s" s="0">
        <v>82</v>
      </c>
      <c r="BW485" t="s" s="0">
        <v>82</v>
      </c>
      <c r="BX485" t="s" s="0">
        <v>122</v>
      </c>
    </row>
    <row r="486">
      <c r="A486" t="s" s="0">
        <v>447</v>
      </c>
      <c r="B486" t="s" s="0">
        <v>78</v>
      </c>
      <c r="C486" t="s" s="0">
        <v>78</v>
      </c>
      <c r="D486" t="s" s="0">
        <v>78</v>
      </c>
      <c r="E486" t="s" s="0">
        <v>11503</v>
      </c>
      <c r="F486" t="s" s="0">
        <v>11504</v>
      </c>
      <c r="G486" t="s" s="0">
        <v>11505</v>
      </c>
      <c r="H486" t="s" s="0">
        <v>82</v>
      </c>
      <c r="I486" t="s" s="0">
        <v>83</v>
      </c>
      <c r="J486" t="s" s="0">
        <v>11506</v>
      </c>
      <c r="K486" t="s" s="0">
        <v>11507</v>
      </c>
      <c r="L486" t="s" s="0">
        <v>11508</v>
      </c>
      <c r="M486" t="s" s="0">
        <v>11509</v>
      </c>
      <c r="N486" t="s" s="0">
        <v>11510</v>
      </c>
      <c r="O486" t="s" s="0">
        <v>11511</v>
      </c>
      <c r="P486" t="s" s="0">
        <v>11512</v>
      </c>
      <c r="Q486" t="s" s="0">
        <v>91</v>
      </c>
      <c r="R486" t="s" s="0">
        <v>82</v>
      </c>
      <c r="S486" t="s" s="0">
        <v>82</v>
      </c>
      <c r="T486" t="s" s="0">
        <v>82</v>
      </c>
      <c r="U486" t="s" s="0">
        <v>82</v>
      </c>
      <c r="V486" t="s" s="0">
        <v>11513</v>
      </c>
      <c r="W486" t="s" s="0">
        <v>4448</v>
      </c>
      <c r="X486" t="s" s="0">
        <v>82</v>
      </c>
      <c r="Y486" t="s" s="0">
        <v>82</v>
      </c>
      <c r="Z486" t="s" s="0">
        <v>94</v>
      </c>
      <c r="AA486" t="s" s="0">
        <v>95</v>
      </c>
      <c r="AB486" t="s" s="0">
        <v>82</v>
      </c>
      <c r="AC486" t="s" s="0">
        <v>82</v>
      </c>
      <c r="AD486" t="s" s="0">
        <v>82</v>
      </c>
      <c r="AE486" t="s" s="0">
        <v>82</v>
      </c>
      <c r="AF486" t="s" s="0">
        <v>82</v>
      </c>
      <c r="AG486" t="s" s="0">
        <v>11514</v>
      </c>
      <c r="AH486" t="s" s="0">
        <v>11515</v>
      </c>
      <c r="AI486" t="s" s="0">
        <v>11516</v>
      </c>
      <c r="AJ486" t="s" s="0">
        <v>11517</v>
      </c>
      <c r="AK486" t="s" s="0">
        <v>82</v>
      </c>
      <c r="AL486" t="s" s="0">
        <v>890</v>
      </c>
      <c r="AM486" t="s" s="0">
        <v>173</v>
      </c>
      <c r="AN486" t="s" s="0">
        <v>1161</v>
      </c>
      <c r="AO486" t="s" s="0">
        <v>77</v>
      </c>
      <c r="AP486" t="s" s="0">
        <v>137</v>
      </c>
      <c r="AQ486" t="s" s="0">
        <v>491</v>
      </c>
      <c r="AR486" t="s" s="0">
        <v>492</v>
      </c>
      <c r="AS486" t="s" s="0">
        <v>493</v>
      </c>
      <c r="AT486" t="s" s="0">
        <v>4453</v>
      </c>
      <c r="AU486" t="s" s="0">
        <v>4454</v>
      </c>
      <c r="AV486" t="s" s="0">
        <v>82</v>
      </c>
      <c r="AW486" t="s" s="0">
        <v>4455</v>
      </c>
      <c r="AX486" t="s" s="0">
        <v>4456</v>
      </c>
      <c r="AY486" t="s" s="0">
        <v>11518</v>
      </c>
      <c r="AZ486" t="s" s="0">
        <v>110</v>
      </c>
      <c r="BA486" t="s" s="0">
        <v>115</v>
      </c>
      <c r="BB486" t="s" s="0">
        <v>375</v>
      </c>
      <c r="BC486" t="s" s="0">
        <v>82</v>
      </c>
      <c r="BD486" t="s" s="0">
        <v>82</v>
      </c>
      <c r="BE486" t="s" s="0">
        <v>82</v>
      </c>
      <c r="BF486" t="s" s="0">
        <v>82</v>
      </c>
      <c r="BG486" t="s" s="0">
        <v>11519</v>
      </c>
      <c r="BH486" t="s" s="0">
        <v>3807</v>
      </c>
      <c r="BI486" t="s" s="0">
        <v>82</v>
      </c>
      <c r="BJ486" t="s" s="0">
        <v>11520</v>
      </c>
      <c r="BK486" t="s" s="966">
        <f>HYPERLINK("http://dx.doi.org/10.1093/ehjacc/zuae037","http://dx.doi.org/10.1093/ehjacc/zuae037")</f>
        <v>11521</v>
      </c>
      <c r="BL486" t="s" s="0">
        <v>82</v>
      </c>
      <c r="BM486" t="s" s="0">
        <v>668</v>
      </c>
      <c r="BN486" t="s" s="0">
        <v>319</v>
      </c>
      <c r="BO486" t="s" s="0">
        <v>4462</v>
      </c>
      <c r="BP486" t="s" s="0">
        <v>4463</v>
      </c>
      <c r="BQ486" t="s" s="0">
        <v>11522</v>
      </c>
      <c r="BR486" t="s" s="0">
        <v>11523</v>
      </c>
      <c r="BS486" t="s" s="0">
        <v>11524</v>
      </c>
      <c r="BT486" t="s" s="967">
        <f>HYPERLINK("https://www.webofscience.com/wos/woscc/full-record/WOS:001198170700001","View Record in Web of Science")</f>
        <v>120</v>
      </c>
      <c r="BU486" t="s" s="0">
        <v>1265</v>
      </c>
      <c r="BV486" t="s" s="0">
        <v>82</v>
      </c>
      <c r="BW486" t="s" s="0">
        <v>82</v>
      </c>
      <c r="BX486" t="s" s="0">
        <v>122</v>
      </c>
    </row>
    <row r="487">
      <c r="A487" t="s" s="0">
        <v>78</v>
      </c>
      <c r="B487" t="s" s="0">
        <v>78</v>
      </c>
      <c r="C487" t="s" s="0">
        <v>78</v>
      </c>
      <c r="D487" t="s" s="0">
        <v>78</v>
      </c>
      <c r="E487" t="s" s="0">
        <v>11525</v>
      </c>
      <c r="F487" t="s" s="0">
        <v>11526</v>
      </c>
      <c r="G487" t="s" s="0">
        <v>11527</v>
      </c>
      <c r="H487" t="s" s="0">
        <v>82</v>
      </c>
      <c r="I487" t="s" s="0">
        <v>83</v>
      </c>
      <c r="J487" t="s" s="0">
        <v>11528</v>
      </c>
      <c r="K487" t="s" s="0">
        <v>11529</v>
      </c>
      <c r="L487" t="s" s="0">
        <v>82</v>
      </c>
      <c r="M487" t="s" s="0">
        <v>82</v>
      </c>
      <c r="N487" t="s" s="0">
        <v>82</v>
      </c>
      <c r="O487" t="s" s="0">
        <v>11530</v>
      </c>
      <c r="P487" t="s" s="0">
        <v>11531</v>
      </c>
      <c r="Q487" t="s" s="0">
        <v>91</v>
      </c>
      <c r="R487" t="s" s="0">
        <v>82</v>
      </c>
      <c r="S487" t="s" s="0">
        <v>82</v>
      </c>
      <c r="T487" t="s" s="0">
        <v>82</v>
      </c>
      <c r="U487" t="s" s="0">
        <v>82</v>
      </c>
      <c r="V487" t="s" s="0">
        <v>11532</v>
      </c>
      <c r="W487" t="s" s="0">
        <v>3637</v>
      </c>
      <c r="X487" t="s" s="0">
        <v>82</v>
      </c>
      <c r="Y487" t="s" s="0">
        <v>82</v>
      </c>
      <c r="Z487" t="s" s="0">
        <v>94</v>
      </c>
      <c r="AA487" t="s" s="0">
        <v>95</v>
      </c>
      <c r="AB487" t="s" s="0">
        <v>82</v>
      </c>
      <c r="AC487" t="s" s="0">
        <v>82</v>
      </c>
      <c r="AD487" t="s" s="0">
        <v>82</v>
      </c>
      <c r="AE487" t="s" s="0">
        <v>82</v>
      </c>
      <c r="AF487" t="s" s="0">
        <v>82</v>
      </c>
      <c r="AG487" t="s" s="0">
        <v>11533</v>
      </c>
      <c r="AH487" t="s" s="0">
        <v>11534</v>
      </c>
      <c r="AI487" t="s" s="0">
        <v>82</v>
      </c>
      <c r="AJ487" t="s" s="0">
        <v>82</v>
      </c>
      <c r="AK487" t="s" s="0">
        <v>82</v>
      </c>
      <c r="AL487" t="s" s="0">
        <v>830</v>
      </c>
      <c r="AM487" t="s" s="0">
        <v>78</v>
      </c>
      <c r="AN487" t="s" s="0">
        <v>78</v>
      </c>
      <c r="AO487" t="s" s="0">
        <v>78</v>
      </c>
      <c r="AP487" t="s" s="0">
        <v>78</v>
      </c>
      <c r="AQ487" t="s" s="0">
        <v>633</v>
      </c>
      <c r="AR487" t="s" s="0">
        <v>634</v>
      </c>
      <c r="AS487" t="s" s="0">
        <v>635</v>
      </c>
      <c r="AT487" t="s" s="0">
        <v>3642</v>
      </c>
      <c r="AU487" t="s" s="0">
        <v>82</v>
      </c>
      <c r="AV487" t="s" s="0">
        <v>82</v>
      </c>
      <c r="AW487" t="s" s="0">
        <v>3643</v>
      </c>
      <c r="AX487" t="s" s="0">
        <v>3644</v>
      </c>
      <c r="AY487" t="s" s="0">
        <v>11535</v>
      </c>
      <c r="AZ487" t="s" s="0">
        <v>181</v>
      </c>
      <c r="BA487" t="s" s="0">
        <v>640</v>
      </c>
      <c r="BB487" t="s" s="0">
        <v>77</v>
      </c>
      <c r="BC487" t="s" s="0">
        <v>82</v>
      </c>
      <c r="BD487" t="s" s="0">
        <v>82</v>
      </c>
      <c r="BE487" t="s" s="0">
        <v>82</v>
      </c>
      <c r="BF487" t="s" s="0">
        <v>82</v>
      </c>
      <c r="BG487" t="s" s="0">
        <v>82</v>
      </c>
      <c r="BH487" t="s" s="0">
        <v>82</v>
      </c>
      <c r="BI487" t="s" s="0">
        <v>11536</v>
      </c>
      <c r="BJ487" t="s" s="0">
        <v>11537</v>
      </c>
      <c r="BK487" t="s" s="968">
        <f>HYPERLINK("http://dx.doi.org/10.1038/s41598-026-53712-z","http://dx.doi.org/10.1038/s41598-026-53712-z")</f>
        <v>11538</v>
      </c>
      <c r="BL487" t="s" s="0">
        <v>82</v>
      </c>
      <c r="BM487" t="s" s="0">
        <v>82</v>
      </c>
      <c r="BN487" t="s" s="0">
        <v>349</v>
      </c>
      <c r="BO487" t="s" s="0">
        <v>644</v>
      </c>
      <c r="BP487" t="s" s="0">
        <v>645</v>
      </c>
      <c r="BQ487" t="s" s="0">
        <v>11539</v>
      </c>
      <c r="BR487" t="s" s="0">
        <v>11540</v>
      </c>
      <c r="BS487" t="s" s="0">
        <v>11541</v>
      </c>
      <c r="BT487" t="s" s="969">
        <f>HYPERLINK("https://www.webofscience.com/wos/woscc/full-record/WOS:001839654500010","View Record in Web of Science")</f>
        <v>120</v>
      </c>
      <c r="BU487" t="s" s="0">
        <v>121</v>
      </c>
      <c r="BV487" t="s" s="0">
        <v>82</v>
      </c>
      <c r="BW487" t="s" s="0">
        <v>82</v>
      </c>
      <c r="BX487" t="s" s="0">
        <v>122</v>
      </c>
    </row>
    <row r="488">
      <c r="A488" t="s" s="0">
        <v>78</v>
      </c>
      <c r="B488" t="s" s="0">
        <v>78</v>
      </c>
      <c r="C488" t="s" s="0">
        <v>78</v>
      </c>
      <c r="D488" t="s" s="0">
        <v>78</v>
      </c>
      <c r="E488" t="s" s="0">
        <v>11542</v>
      </c>
      <c r="F488" t="s" s="0">
        <v>11543</v>
      </c>
      <c r="G488" t="s" s="0">
        <v>11544</v>
      </c>
      <c r="H488" t="s" s="0">
        <v>82</v>
      </c>
      <c r="I488" t="s" s="0">
        <v>83</v>
      </c>
      <c r="J488" t="s" s="0">
        <v>11545</v>
      </c>
      <c r="K488" t="s" s="0">
        <v>11546</v>
      </c>
      <c r="L488" t="s" s="0">
        <v>82</v>
      </c>
      <c r="M488" t="s" s="0">
        <v>82</v>
      </c>
      <c r="N488" t="s" s="0">
        <v>82</v>
      </c>
      <c r="O488" t="s" s="0">
        <v>11547</v>
      </c>
      <c r="P488" t="s" s="0">
        <v>11548</v>
      </c>
      <c r="Q488" t="s" s="0">
        <v>91</v>
      </c>
      <c r="R488" t="s" s="0">
        <v>82</v>
      </c>
      <c r="S488" t="s" s="0">
        <v>82</v>
      </c>
      <c r="T488" t="s" s="0">
        <v>82</v>
      </c>
      <c r="U488" t="s" s="0">
        <v>82</v>
      </c>
      <c r="V488" t="s" s="0">
        <v>11549</v>
      </c>
      <c r="W488" t="s" s="0">
        <v>6291</v>
      </c>
      <c r="X488" t="s" s="0">
        <v>82</v>
      </c>
      <c r="Y488" t="s" s="0">
        <v>82</v>
      </c>
      <c r="Z488" t="s" s="0">
        <v>94</v>
      </c>
      <c r="AA488" t="s" s="0">
        <v>95</v>
      </c>
      <c r="AB488" t="s" s="0">
        <v>82</v>
      </c>
      <c r="AC488" t="s" s="0">
        <v>82</v>
      </c>
      <c r="AD488" t="s" s="0">
        <v>82</v>
      </c>
      <c r="AE488" t="s" s="0">
        <v>82</v>
      </c>
      <c r="AF488" t="s" s="0">
        <v>82</v>
      </c>
      <c r="AG488" t="s" s="0">
        <v>11550</v>
      </c>
      <c r="AH488" t="s" s="0">
        <v>11551</v>
      </c>
      <c r="AI488" t="s" s="0">
        <v>11552</v>
      </c>
      <c r="AJ488" t="s" s="0">
        <v>82</v>
      </c>
      <c r="AK488" t="s" s="0">
        <v>82</v>
      </c>
      <c r="AL488" t="s" s="0">
        <v>863</v>
      </c>
      <c r="AM488" t="s" s="0">
        <v>78</v>
      </c>
      <c r="AN488" t="s" s="0">
        <v>78</v>
      </c>
      <c r="AO488" t="s" s="0">
        <v>78</v>
      </c>
      <c r="AP488" t="s" s="0">
        <v>78</v>
      </c>
      <c r="AQ488" t="s" s="0">
        <v>832</v>
      </c>
      <c r="AR488" t="s" s="0">
        <v>833</v>
      </c>
      <c r="AS488" t="s" s="0">
        <v>834</v>
      </c>
      <c r="AT488" t="s" s="0">
        <v>6294</v>
      </c>
      <c r="AU488" t="s" s="0">
        <v>6295</v>
      </c>
      <c r="AV488" t="s" s="0">
        <v>82</v>
      </c>
      <c r="AW488" t="s" s="0">
        <v>6291</v>
      </c>
      <c r="AX488" t="s" s="0">
        <v>6296</v>
      </c>
      <c r="AY488" t="s" s="0">
        <v>3440</v>
      </c>
      <c r="AZ488" t="s" s="0">
        <v>181</v>
      </c>
      <c r="BA488" t="s" s="0">
        <v>2371</v>
      </c>
      <c r="BB488" t="s" s="0">
        <v>173</v>
      </c>
      <c r="BC488" t="s" s="0">
        <v>82</v>
      </c>
      <c r="BD488" t="s" s="0">
        <v>82</v>
      </c>
      <c r="BE488" t="s" s="0">
        <v>82</v>
      </c>
      <c r="BF488" t="s" s="0">
        <v>82</v>
      </c>
      <c r="BG488" t="s" s="0">
        <v>82</v>
      </c>
      <c r="BH488" t="s" s="0">
        <v>82</v>
      </c>
      <c r="BI488" t="s" s="0">
        <v>11553</v>
      </c>
      <c r="BJ488" t="s" s="0">
        <v>11554</v>
      </c>
      <c r="BK488" t="s" s="970">
        <f>HYPERLINK("http://dx.doi.org/10.1097/MD.0000000000048671","http://dx.doi.org/10.1097/MD.0000000000048671")</f>
        <v>11555</v>
      </c>
      <c r="BL488" t="s" s="0">
        <v>82</v>
      </c>
      <c r="BM488" t="s" s="0">
        <v>82</v>
      </c>
      <c r="BN488" t="s" s="0">
        <v>115</v>
      </c>
      <c r="BO488" t="s" s="0">
        <v>354</v>
      </c>
      <c r="BP488" t="s" s="0">
        <v>355</v>
      </c>
      <c r="BQ488" t="s" s="0">
        <v>11556</v>
      </c>
      <c r="BR488" t="s" s="0">
        <v>11557</v>
      </c>
      <c r="BS488" t="s" s="0">
        <v>11558</v>
      </c>
      <c r="BT488" t="s" s="971">
        <f>HYPERLINK("https://www.webofscience.com/wos/woscc/full-record/WOS:001768890900025","View Record in Web of Science")</f>
        <v>120</v>
      </c>
      <c r="BU488" t="s" s="0">
        <v>121</v>
      </c>
      <c r="BV488" t="s" s="0">
        <v>82</v>
      </c>
      <c r="BW488" t="s" s="0">
        <v>82</v>
      </c>
      <c r="BX488" t="s" s="0">
        <v>122</v>
      </c>
    </row>
    <row r="489">
      <c r="A489" t="s" s="0">
        <v>78</v>
      </c>
      <c r="B489" t="s" s="0">
        <v>78</v>
      </c>
      <c r="C489" t="s" s="0">
        <v>77</v>
      </c>
      <c r="D489" t="s" s="0">
        <v>78</v>
      </c>
      <c r="E489" t="s" s="0">
        <v>11559</v>
      </c>
      <c r="F489" t="s" s="0">
        <v>11560</v>
      </c>
      <c r="G489" t="s" s="0">
        <v>11561</v>
      </c>
      <c r="H489" t="s" s="0">
        <v>82</v>
      </c>
      <c r="I489" t="s" s="0">
        <v>589</v>
      </c>
      <c r="J489" t="s" s="0">
        <v>11562</v>
      </c>
      <c r="K489" t="s" s="0">
        <v>11563</v>
      </c>
      <c r="L489" t="s" s="0">
        <v>11564</v>
      </c>
      <c r="M489" t="s" s="0">
        <v>11564</v>
      </c>
      <c r="N489" t="s" s="0">
        <v>11565</v>
      </c>
      <c r="O489" t="s" s="0">
        <v>11566</v>
      </c>
      <c r="P489" t="s" s="0">
        <v>11567</v>
      </c>
      <c r="Q489" t="s" s="0">
        <v>91</v>
      </c>
      <c r="R489" t="s" s="0">
        <v>82</v>
      </c>
      <c r="S489" t="s" s="0">
        <v>82</v>
      </c>
      <c r="T489" t="s" s="0">
        <v>82</v>
      </c>
      <c r="U489" t="s" s="0">
        <v>82</v>
      </c>
      <c r="V489" t="s" s="0">
        <v>11568</v>
      </c>
      <c r="W489" t="s" s="0">
        <v>11569</v>
      </c>
      <c r="X489" t="s" s="0">
        <v>82</v>
      </c>
      <c r="Y489" t="s" s="0">
        <v>82</v>
      </c>
      <c r="Z489" t="s" s="0">
        <v>94</v>
      </c>
      <c r="AA489" t="s" s="0">
        <v>95</v>
      </c>
      <c r="AB489" t="s" s="0">
        <v>82</v>
      </c>
      <c r="AC489" t="s" s="0">
        <v>82</v>
      </c>
      <c r="AD489" t="s" s="0">
        <v>82</v>
      </c>
      <c r="AE489" t="s" s="0">
        <v>82</v>
      </c>
      <c r="AF489" t="s" s="0">
        <v>82</v>
      </c>
      <c r="AG489" t="s" s="0">
        <v>11570</v>
      </c>
      <c r="AH489" t="s" s="0">
        <v>11571</v>
      </c>
      <c r="AI489" t="s" s="0">
        <v>11572</v>
      </c>
      <c r="AJ489" t="s" s="0">
        <v>11573</v>
      </c>
      <c r="AK489" t="s" s="0">
        <v>82</v>
      </c>
      <c r="AL489" t="s" s="0">
        <v>4998</v>
      </c>
      <c r="AM489" t="s" s="0">
        <v>136</v>
      </c>
      <c r="AN489" t="s" s="0">
        <v>319</v>
      </c>
      <c r="AO489" t="s" s="0">
        <v>136</v>
      </c>
      <c r="AP489" t="s" s="0">
        <v>349</v>
      </c>
      <c r="AQ489" t="s" s="0">
        <v>174</v>
      </c>
      <c r="AR489" t="s" s="0">
        <v>175</v>
      </c>
      <c r="AS489" t="s" s="0">
        <v>176</v>
      </c>
      <c r="AT489" t="s" s="0">
        <v>11574</v>
      </c>
      <c r="AU489" t="s" s="0">
        <v>11575</v>
      </c>
      <c r="AV489" t="s" s="0">
        <v>82</v>
      </c>
      <c r="AW489" t="s" s="0">
        <v>11576</v>
      </c>
      <c r="AX489" t="s" s="0">
        <v>11577</v>
      </c>
      <c r="AY489" t="s" s="0">
        <v>497</v>
      </c>
      <c r="AZ489" t="s" s="0">
        <v>147</v>
      </c>
      <c r="BA489" t="s" s="0">
        <v>890</v>
      </c>
      <c r="BB489" t="s" s="0">
        <v>319</v>
      </c>
      <c r="BC489" t="s" s="0">
        <v>82</v>
      </c>
      <c r="BD489" t="s" s="0">
        <v>82</v>
      </c>
      <c r="BE489" t="s" s="0">
        <v>82</v>
      </c>
      <c r="BF489" t="s" s="0">
        <v>82</v>
      </c>
      <c r="BG489" t="s" s="0">
        <v>11578</v>
      </c>
      <c r="BH489" t="s" s="0">
        <v>11579</v>
      </c>
      <c r="BI489" t="s" s="0">
        <v>82</v>
      </c>
      <c r="BJ489" t="s" s="0">
        <v>11580</v>
      </c>
      <c r="BK489" t="s" s="972">
        <f>HYPERLINK("http://dx.doi.org/10.1111/jocn.17518","http://dx.doi.org/10.1111/jocn.17518")</f>
        <v>11581</v>
      </c>
      <c r="BL489" t="s" s="0">
        <v>82</v>
      </c>
      <c r="BM489" t="s" s="0">
        <v>243</v>
      </c>
      <c r="BN489" t="s" s="0">
        <v>323</v>
      </c>
      <c r="BO489" t="s" s="0">
        <v>11582</v>
      </c>
      <c r="BP489" t="s" s="0">
        <v>11582</v>
      </c>
      <c r="BQ489" t="s" s="0">
        <v>11583</v>
      </c>
      <c r="BR489" t="s" s="0">
        <v>11584</v>
      </c>
      <c r="BS489" t="s" s="0">
        <v>11585</v>
      </c>
      <c r="BT489" t="s" s="973">
        <f>HYPERLINK("https://www.webofscience.com/wos/woscc/full-record/WOS:001343891900001","View Record in Web of Science")</f>
        <v>120</v>
      </c>
      <c r="BU489" t="s" s="0">
        <v>846</v>
      </c>
      <c r="BV489" t="s" s="0">
        <v>82</v>
      </c>
      <c r="BW489" t="s" s="0">
        <v>82</v>
      </c>
      <c r="BX489" t="s" s="0">
        <v>122</v>
      </c>
    </row>
    <row r="490">
      <c r="A490" t="s" s="0">
        <v>78</v>
      </c>
      <c r="B490" t="s" s="0">
        <v>78</v>
      </c>
      <c r="C490" t="s" s="0">
        <v>78</v>
      </c>
      <c r="D490" t="s" s="0">
        <v>78</v>
      </c>
      <c r="E490" t="s" s="0">
        <v>11586</v>
      </c>
      <c r="F490" t="s" s="0">
        <v>11587</v>
      </c>
      <c r="G490" t="s" s="0">
        <v>11588</v>
      </c>
      <c r="H490" t="s" s="0">
        <v>82</v>
      </c>
      <c r="I490" t="s" s="0">
        <v>83</v>
      </c>
      <c r="J490" t="s" s="0">
        <v>11589</v>
      </c>
      <c r="K490" t="s" s="0">
        <v>11590</v>
      </c>
      <c r="L490" t="s" s="0">
        <v>11591</v>
      </c>
      <c r="M490" t="s" s="0">
        <v>11592</v>
      </c>
      <c r="N490" t="s" s="0">
        <v>11593</v>
      </c>
      <c r="O490" t="s" s="0">
        <v>11594</v>
      </c>
      <c r="P490" t="s" s="0">
        <v>11595</v>
      </c>
      <c r="Q490" t="s" s="0">
        <v>91</v>
      </c>
      <c r="R490" t="s" s="0">
        <v>82</v>
      </c>
      <c r="S490" t="s" s="0">
        <v>82</v>
      </c>
      <c r="T490" t="s" s="0">
        <v>82</v>
      </c>
      <c r="U490" t="s" s="0">
        <v>82</v>
      </c>
      <c r="V490" t="s" s="0">
        <v>11596</v>
      </c>
      <c r="W490" t="s" s="0">
        <v>340</v>
      </c>
      <c r="X490" t="s" s="0">
        <v>82</v>
      </c>
      <c r="Y490" t="s" s="0">
        <v>82</v>
      </c>
      <c r="Z490" t="s" s="0">
        <v>94</v>
      </c>
      <c r="AA490" t="s" s="0">
        <v>95</v>
      </c>
      <c r="AB490" t="s" s="0">
        <v>82</v>
      </c>
      <c r="AC490" t="s" s="0">
        <v>82</v>
      </c>
      <c r="AD490" t="s" s="0">
        <v>82</v>
      </c>
      <c r="AE490" t="s" s="0">
        <v>82</v>
      </c>
      <c r="AF490" t="s" s="0">
        <v>82</v>
      </c>
      <c r="AG490" t="s" s="0">
        <v>11597</v>
      </c>
      <c r="AH490" t="s" s="0">
        <v>11598</v>
      </c>
      <c r="AI490" t="s" s="0">
        <v>11599</v>
      </c>
      <c r="AJ490" t="s" s="0">
        <v>82</v>
      </c>
      <c r="AK490" t="s" s="0">
        <v>82</v>
      </c>
      <c r="AL490" t="s" s="0">
        <v>1502</v>
      </c>
      <c r="AM490" t="s" s="0">
        <v>78</v>
      </c>
      <c r="AN490" t="s" s="0">
        <v>78</v>
      </c>
      <c r="AO490" t="s" s="0">
        <v>78</v>
      </c>
      <c r="AP490" t="s" s="0">
        <v>77</v>
      </c>
      <c r="AQ490" t="s" s="0">
        <v>312</v>
      </c>
      <c r="AR490" t="s" s="0">
        <v>313</v>
      </c>
      <c r="AS490" t="s" s="0">
        <v>314</v>
      </c>
      <c r="AT490" t="s" s="0">
        <v>82</v>
      </c>
      <c r="AU490" t="s" s="0">
        <v>345</v>
      </c>
      <c r="AV490" t="s" s="0">
        <v>82</v>
      </c>
      <c r="AW490" t="s" s="0">
        <v>346</v>
      </c>
      <c r="AX490" t="s" s="0">
        <v>347</v>
      </c>
      <c r="AY490" t="s" s="0">
        <v>9821</v>
      </c>
      <c r="AZ490" t="s" s="0">
        <v>181</v>
      </c>
      <c r="BA490" t="s" s="0">
        <v>349</v>
      </c>
      <c r="BB490" t="s" s="0">
        <v>447</v>
      </c>
      <c r="BC490" t="s" s="0">
        <v>82</v>
      </c>
      <c r="BD490" t="s" s="0">
        <v>82</v>
      </c>
      <c r="BE490" t="s" s="0">
        <v>82</v>
      </c>
      <c r="BF490" t="s" s="0">
        <v>82</v>
      </c>
      <c r="BG490" t="s" s="0">
        <v>82</v>
      </c>
      <c r="BH490" t="s" s="0">
        <v>82</v>
      </c>
      <c r="BI490" t="s" s="0">
        <v>11600</v>
      </c>
      <c r="BJ490" t="s" s="0">
        <v>11601</v>
      </c>
      <c r="BK490" t="s" s="974">
        <f>HYPERLINK("http://dx.doi.org/10.3390/jcm15020664","http://dx.doi.org/10.3390/jcm15020664")</f>
        <v>11602</v>
      </c>
      <c r="BL490" t="s" s="0">
        <v>82</v>
      </c>
      <c r="BM490" t="s" s="0">
        <v>82</v>
      </c>
      <c r="BN490" t="s" s="0">
        <v>1161</v>
      </c>
      <c r="BO490" t="s" s="0">
        <v>354</v>
      </c>
      <c r="BP490" t="s" s="0">
        <v>355</v>
      </c>
      <c r="BQ490" t="s" s="0">
        <v>11603</v>
      </c>
      <c r="BR490" t="s" s="0">
        <v>11604</v>
      </c>
      <c r="BS490" t="s" s="0">
        <v>11605</v>
      </c>
      <c r="BT490" t="s" s="975">
        <f>HYPERLINK("https://www.webofscience.com/wos/woscc/full-record/WOS:001670683400001","View Record in Web of Science")</f>
        <v>120</v>
      </c>
      <c r="BU490" t="s" s="0">
        <v>121</v>
      </c>
      <c r="BV490" t="s" s="0">
        <v>82</v>
      </c>
      <c r="BW490" t="s" s="0">
        <v>82</v>
      </c>
      <c r="BX490" t="s" s="0">
        <v>122</v>
      </c>
    </row>
    <row r="491">
      <c r="A491" t="s" s="0">
        <v>78</v>
      </c>
      <c r="B491" t="s" s="0">
        <v>78</v>
      </c>
      <c r="C491" t="s" s="0">
        <v>78</v>
      </c>
      <c r="D491" t="s" s="0">
        <v>78</v>
      </c>
      <c r="E491" t="s" s="0">
        <v>11606</v>
      </c>
      <c r="F491" t="s" s="0">
        <v>11607</v>
      </c>
      <c r="G491" t="s" s="0">
        <v>11608</v>
      </c>
      <c r="H491" t="s" s="0">
        <v>82</v>
      </c>
      <c r="I491" t="s" s="0">
        <v>83</v>
      </c>
      <c r="J491" t="s" s="0">
        <v>11609</v>
      </c>
      <c r="K491" t="s" s="0">
        <v>11610</v>
      </c>
      <c r="L491" t="s" s="0">
        <v>11611</v>
      </c>
      <c r="M491" t="s" s="0">
        <v>11612</v>
      </c>
      <c r="N491" t="s" s="0">
        <v>11613</v>
      </c>
      <c r="O491" t="s" s="0">
        <v>11614</v>
      </c>
      <c r="P491" t="s" s="0">
        <v>11615</v>
      </c>
      <c r="Q491" t="s" s="0">
        <v>91</v>
      </c>
      <c r="R491" t="s" s="0">
        <v>82</v>
      </c>
      <c r="S491" t="s" s="0">
        <v>82</v>
      </c>
      <c r="T491" t="s" s="0">
        <v>82</v>
      </c>
      <c r="U491" t="s" s="0">
        <v>82</v>
      </c>
      <c r="V491" t="s" s="0">
        <v>11616</v>
      </c>
      <c r="W491" t="s" s="0">
        <v>6832</v>
      </c>
      <c r="X491" t="s" s="0">
        <v>82</v>
      </c>
      <c r="Y491" t="s" s="0">
        <v>82</v>
      </c>
      <c r="Z491" t="s" s="0">
        <v>94</v>
      </c>
      <c r="AA491" t="s" s="0">
        <v>95</v>
      </c>
      <c r="AB491" t="s" s="0">
        <v>82</v>
      </c>
      <c r="AC491" t="s" s="0">
        <v>82</v>
      </c>
      <c r="AD491" t="s" s="0">
        <v>82</v>
      </c>
      <c r="AE491" t="s" s="0">
        <v>82</v>
      </c>
      <c r="AF491" t="s" s="0">
        <v>82</v>
      </c>
      <c r="AG491" t="s" s="0">
        <v>11617</v>
      </c>
      <c r="AH491" t="s" s="0">
        <v>11618</v>
      </c>
      <c r="AI491" t="s" s="0">
        <v>82</v>
      </c>
      <c r="AJ491" t="s" s="0">
        <v>82</v>
      </c>
      <c r="AK491" t="s" s="0">
        <v>82</v>
      </c>
      <c r="AL491" t="s" s="0">
        <v>828</v>
      </c>
      <c r="AM491" t="s" s="0">
        <v>78</v>
      </c>
      <c r="AN491" t="s" s="0">
        <v>78</v>
      </c>
      <c r="AO491" t="s" s="0">
        <v>78</v>
      </c>
      <c r="AP491" t="s" s="0">
        <v>78</v>
      </c>
      <c r="AQ491" t="s" s="0">
        <v>103</v>
      </c>
      <c r="AR491" t="s" s="0">
        <v>104</v>
      </c>
      <c r="AS491" t="s" s="0">
        <v>105</v>
      </c>
      <c r="AT491" t="s" s="0">
        <v>6835</v>
      </c>
      <c r="AU491" t="s" s="0">
        <v>6836</v>
      </c>
      <c r="AV491" t="s" s="0">
        <v>82</v>
      </c>
      <c r="AW491" t="s" s="0">
        <v>6837</v>
      </c>
      <c r="AX491" t="s" s="0">
        <v>6838</v>
      </c>
      <c r="AY491" t="s" s="0">
        <v>9494</v>
      </c>
      <c r="AZ491" t="s" s="0">
        <v>181</v>
      </c>
      <c r="BA491" t="s" s="0">
        <v>548</v>
      </c>
      <c r="BB491" t="s" s="0">
        <v>77</v>
      </c>
      <c r="BC491" t="s" s="0">
        <v>82</v>
      </c>
      <c r="BD491" t="s" s="0">
        <v>82</v>
      </c>
      <c r="BE491" t="s" s="0">
        <v>82</v>
      </c>
      <c r="BF491" t="s" s="0">
        <v>82</v>
      </c>
      <c r="BG491" t="s" s="0">
        <v>82</v>
      </c>
      <c r="BH491" t="s" s="0">
        <v>82</v>
      </c>
      <c r="BI491" t="s" s="0">
        <v>9074</v>
      </c>
      <c r="BJ491" t="s" s="0">
        <v>11619</v>
      </c>
      <c r="BK491" t="s" s="976">
        <f>HYPERLINK("http://dx.doi.org/10.1186/s40001-026-04856-1","http://dx.doi.org/10.1186/s40001-026-04856-1")</f>
        <v>11620</v>
      </c>
      <c r="BL491" t="s" s="0">
        <v>82</v>
      </c>
      <c r="BM491" t="s" s="0">
        <v>82</v>
      </c>
      <c r="BN491" t="s" s="0">
        <v>1320</v>
      </c>
      <c r="BO491" t="s" s="0">
        <v>2464</v>
      </c>
      <c r="BP491" t="s" s="0">
        <v>2465</v>
      </c>
      <c r="BQ491" t="s" s="0">
        <v>11621</v>
      </c>
      <c r="BR491" t="s" s="0">
        <v>82</v>
      </c>
      <c r="BS491" t="s" s="0">
        <v>11622</v>
      </c>
      <c r="BT491" t="s" s="977">
        <f>HYPERLINK("https://www.webofscience.com/wos/woscc/full-record/WOS:001843873800001","View Record in Web of Science")</f>
        <v>120</v>
      </c>
      <c r="BU491" t="s" s="0">
        <v>1008</v>
      </c>
      <c r="BV491" t="s" s="0">
        <v>82</v>
      </c>
      <c r="BW491" t="s" s="0">
        <v>82</v>
      </c>
      <c r="BX491" t="s" s="0">
        <v>122</v>
      </c>
    </row>
    <row r="492">
      <c r="A492" t="s" s="0">
        <v>78</v>
      </c>
      <c r="B492" t="s" s="0">
        <v>78</v>
      </c>
      <c r="C492" t="s" s="0">
        <v>102</v>
      </c>
      <c r="D492" t="s" s="0">
        <v>78</v>
      </c>
      <c r="E492" t="s" s="0">
        <v>11623</v>
      </c>
      <c r="F492" t="s" s="0">
        <v>11624</v>
      </c>
      <c r="G492" t="s" s="0">
        <v>11625</v>
      </c>
      <c r="H492" t="s" s="0">
        <v>82</v>
      </c>
      <c r="I492" t="s" s="0">
        <v>83</v>
      </c>
      <c r="J492" t="s" s="0">
        <v>11626</v>
      </c>
      <c r="K492" t="s" s="0">
        <v>11627</v>
      </c>
      <c r="L492" t="s" s="0">
        <v>82</v>
      </c>
      <c r="M492" t="s" s="0">
        <v>82</v>
      </c>
      <c r="N492" t="s" s="0">
        <v>82</v>
      </c>
      <c r="O492" t="s" s="0">
        <v>11628</v>
      </c>
      <c r="P492" t="s" s="0">
        <v>11629</v>
      </c>
      <c r="Q492" t="s" s="0">
        <v>91</v>
      </c>
      <c r="R492" t="s" s="0">
        <v>82</v>
      </c>
      <c r="S492" t="s" s="0">
        <v>82</v>
      </c>
      <c r="T492" t="s" s="0">
        <v>82</v>
      </c>
      <c r="U492" t="s" s="0">
        <v>82</v>
      </c>
      <c r="V492" t="s" s="0">
        <v>11630</v>
      </c>
      <c r="W492" t="s" s="0">
        <v>8395</v>
      </c>
      <c r="X492" t="s" s="0">
        <v>82</v>
      </c>
      <c r="Y492" t="s" s="0">
        <v>82</v>
      </c>
      <c r="Z492" t="s" s="0">
        <v>94</v>
      </c>
      <c r="AA492" t="s" s="0">
        <v>95</v>
      </c>
      <c r="AB492" t="s" s="0">
        <v>82</v>
      </c>
      <c r="AC492" t="s" s="0">
        <v>82</v>
      </c>
      <c r="AD492" t="s" s="0">
        <v>82</v>
      </c>
      <c r="AE492" t="s" s="0">
        <v>82</v>
      </c>
      <c r="AF492" t="s" s="0">
        <v>82</v>
      </c>
      <c r="AG492" t="s" s="0">
        <v>11631</v>
      </c>
      <c r="AH492" t="s" s="0">
        <v>11632</v>
      </c>
      <c r="AI492" t="s" s="0">
        <v>82</v>
      </c>
      <c r="AJ492" t="s" s="0">
        <v>82</v>
      </c>
      <c r="AK492" t="s" s="0">
        <v>82</v>
      </c>
      <c r="AL492" t="s" s="0">
        <v>238</v>
      </c>
      <c r="AM492" t="s" s="0">
        <v>138</v>
      </c>
      <c r="AN492" t="s" s="0">
        <v>136</v>
      </c>
      <c r="AO492" t="s" s="0">
        <v>77</v>
      </c>
      <c r="AP492" t="s" s="0">
        <v>221</v>
      </c>
      <c r="AQ492" t="s" s="0">
        <v>103</v>
      </c>
      <c r="AR492" t="s" s="0">
        <v>104</v>
      </c>
      <c r="AS492" t="s" s="0">
        <v>105</v>
      </c>
      <c r="AT492" t="s" s="0">
        <v>82</v>
      </c>
      <c r="AU492" t="s" s="0">
        <v>8400</v>
      </c>
      <c r="AV492" t="s" s="0">
        <v>82</v>
      </c>
      <c r="AW492" t="s" s="0">
        <v>8401</v>
      </c>
      <c r="AX492" t="s" s="0">
        <v>8402</v>
      </c>
      <c r="AY492" t="s" s="0">
        <v>11633</v>
      </c>
      <c r="AZ492" t="s" s="0">
        <v>147</v>
      </c>
      <c r="BA492" t="s" s="0">
        <v>111</v>
      </c>
      <c r="BB492" t="s" s="0">
        <v>77</v>
      </c>
      <c r="BC492" t="s" s="0">
        <v>82</v>
      </c>
      <c r="BD492" t="s" s="0">
        <v>82</v>
      </c>
      <c r="BE492" t="s" s="0">
        <v>82</v>
      </c>
      <c r="BF492" t="s" s="0">
        <v>82</v>
      </c>
      <c r="BG492" t="s" s="0">
        <v>82</v>
      </c>
      <c r="BH492" t="s" s="0">
        <v>82</v>
      </c>
      <c r="BI492" t="s" s="0">
        <v>11634</v>
      </c>
      <c r="BJ492" t="s" s="0">
        <v>11635</v>
      </c>
      <c r="BK492" t="s" s="978">
        <f>HYPERLINK("http://dx.doi.org/10.1186/s12911-025-03054-z","http://dx.doi.org/10.1186/s12911-025-03054-z")</f>
        <v>11636</v>
      </c>
      <c r="BL492" t="s" s="0">
        <v>82</v>
      </c>
      <c r="BM492" t="s" s="0">
        <v>82</v>
      </c>
      <c r="BN492" t="s" s="0">
        <v>154</v>
      </c>
      <c r="BO492" t="s" s="0">
        <v>1815</v>
      </c>
      <c r="BP492" t="s" s="0">
        <v>1815</v>
      </c>
      <c r="BQ492" t="s" s="0">
        <v>11637</v>
      </c>
      <c r="BR492" t="s" s="0">
        <v>11638</v>
      </c>
      <c r="BS492" t="s" s="0">
        <v>11639</v>
      </c>
      <c r="BT492" t="s" s="979">
        <f>HYPERLINK("https://www.webofscience.com/wos/woscc/full-record/WOS:001522738800002","View Record in Web of Science")</f>
        <v>120</v>
      </c>
      <c r="BU492" t="s" s="0">
        <v>121</v>
      </c>
      <c r="BV492" t="s" s="0">
        <v>82</v>
      </c>
      <c r="BW492" t="s" s="0">
        <v>82</v>
      </c>
      <c r="BX492" t="s" s="0">
        <v>122</v>
      </c>
    </row>
    <row r="493">
      <c r="A493" t="s" s="0">
        <v>78</v>
      </c>
      <c r="B493" t="s" s="0">
        <v>78</v>
      </c>
      <c r="C493" t="s" s="0">
        <v>102</v>
      </c>
      <c r="D493" t="s" s="0">
        <v>78</v>
      </c>
      <c r="E493" t="s" s="0">
        <v>11640</v>
      </c>
      <c r="F493" t="s" s="0">
        <v>11641</v>
      </c>
      <c r="G493" t="s" s="0">
        <v>11642</v>
      </c>
      <c r="H493" t="s" s="0">
        <v>82</v>
      </c>
      <c r="I493" t="s" s="0">
        <v>83</v>
      </c>
      <c r="J493" t="s" s="0">
        <v>11643</v>
      </c>
      <c r="K493" t="s" s="0">
        <v>82</v>
      </c>
      <c r="L493" t="s" s="0">
        <v>82</v>
      </c>
      <c r="M493" t="s" s="0">
        <v>82</v>
      </c>
      <c r="N493" t="s" s="0">
        <v>82</v>
      </c>
      <c r="O493" t="s" s="0">
        <v>11644</v>
      </c>
      <c r="P493" t="s" s="0">
        <v>11645</v>
      </c>
      <c r="Q493" t="s" s="0">
        <v>91</v>
      </c>
      <c r="R493" t="s" s="0">
        <v>82</v>
      </c>
      <c r="S493" t="s" s="0">
        <v>82</v>
      </c>
      <c r="T493" t="s" s="0">
        <v>82</v>
      </c>
      <c r="U493" t="s" s="0">
        <v>82</v>
      </c>
      <c r="V493" t="s" s="0">
        <v>11646</v>
      </c>
      <c r="W493" t="s" s="0">
        <v>4066</v>
      </c>
      <c r="X493" t="s" s="0">
        <v>82</v>
      </c>
      <c r="Y493" t="s" s="0">
        <v>82</v>
      </c>
      <c r="Z493" t="s" s="0">
        <v>94</v>
      </c>
      <c r="AA493" t="s" s="0">
        <v>95</v>
      </c>
      <c r="AB493" t="s" s="0">
        <v>82</v>
      </c>
      <c r="AC493" t="s" s="0">
        <v>82</v>
      </c>
      <c r="AD493" t="s" s="0">
        <v>82</v>
      </c>
      <c r="AE493" t="s" s="0">
        <v>82</v>
      </c>
      <c r="AF493" t="s" s="0">
        <v>82</v>
      </c>
      <c r="AG493" t="s" s="0">
        <v>11647</v>
      </c>
      <c r="AH493" t="s" s="0">
        <v>11648</v>
      </c>
      <c r="AI493" t="s" s="0">
        <v>11649</v>
      </c>
      <c r="AJ493" t="s" s="0">
        <v>11650</v>
      </c>
      <c r="AK493" t="s" s="0">
        <v>82</v>
      </c>
      <c r="AL493" t="s" s="0">
        <v>1026</v>
      </c>
      <c r="AM493" t="s" s="0">
        <v>148</v>
      </c>
      <c r="AN493" t="s" s="0">
        <v>148</v>
      </c>
      <c r="AO493" t="s" s="0">
        <v>78</v>
      </c>
      <c r="AP493" t="s" s="0">
        <v>138</v>
      </c>
      <c r="AQ493" t="s" s="0">
        <v>4070</v>
      </c>
      <c r="AR493" t="s" s="0">
        <v>833</v>
      </c>
      <c r="AS493" t="s" s="0">
        <v>4071</v>
      </c>
      <c r="AT493" t="s" s="0">
        <v>4072</v>
      </c>
      <c r="AU493" t="s" s="0">
        <v>4073</v>
      </c>
      <c r="AV493" t="s" s="0">
        <v>82</v>
      </c>
      <c r="AW493" t="s" s="0">
        <v>4074</v>
      </c>
      <c r="AX493" t="s" s="0">
        <v>4075</v>
      </c>
      <c r="AY493" t="s" s="0">
        <v>4076</v>
      </c>
      <c r="AZ493" t="s" s="0">
        <v>210</v>
      </c>
      <c r="BA493" t="s" s="0">
        <v>201</v>
      </c>
      <c r="BB493" t="s" s="0">
        <v>245</v>
      </c>
      <c r="BC493" t="s" s="0">
        <v>82</v>
      </c>
      <c r="BD493" t="s" s="0">
        <v>82</v>
      </c>
      <c r="BE493" t="s" s="0">
        <v>82</v>
      </c>
      <c r="BF493" t="s" s="0">
        <v>82</v>
      </c>
      <c r="BG493" t="s" s="0">
        <v>11651</v>
      </c>
      <c r="BH493" t="s" s="0">
        <v>11652</v>
      </c>
      <c r="BI493" t="s" s="0">
        <v>82</v>
      </c>
      <c r="BJ493" t="s" s="0">
        <v>11653</v>
      </c>
      <c r="BK493" t="s" s="980">
        <f>HYPERLINK("http://dx.doi.org/10.1016/j.arth.2023.01.065","http://dx.doi.org/10.1016/j.arth.2023.01.065")</f>
        <v>11654</v>
      </c>
      <c r="BL493" t="s" s="0">
        <v>82</v>
      </c>
      <c r="BM493" t="s" s="0">
        <v>804</v>
      </c>
      <c r="BN493" t="s" s="0">
        <v>319</v>
      </c>
      <c r="BO493" t="s" s="0">
        <v>2964</v>
      </c>
      <c r="BP493" t="s" s="0">
        <v>2964</v>
      </c>
      <c r="BQ493" t="s" s="0">
        <v>11655</v>
      </c>
      <c r="BR493" t="s" s="0">
        <v>11656</v>
      </c>
      <c r="BS493" t="s" s="0">
        <v>11657</v>
      </c>
      <c r="BT493" t="s" s="981">
        <f>HYPERLINK("https://www.webofscience.com/wos/woscc/full-record/WOS:001079407200001","View Record in Web of Science")</f>
        <v>120</v>
      </c>
      <c r="BU493" t="s" s="0">
        <v>82</v>
      </c>
      <c r="BV493" t="s" s="0">
        <v>82</v>
      </c>
      <c r="BW493" t="s" s="0">
        <v>82</v>
      </c>
      <c r="BX493" t="s" s="0">
        <v>122</v>
      </c>
    </row>
    <row r="494">
      <c r="A494" t="s" s="0">
        <v>77</v>
      </c>
      <c r="B494" t="s" s="0">
        <v>78</v>
      </c>
      <c r="C494" t="s" s="0">
        <v>137</v>
      </c>
      <c r="D494" t="s" s="0">
        <v>78</v>
      </c>
      <c r="E494" t="s" s="0">
        <v>11658</v>
      </c>
      <c r="F494" t="s" s="0">
        <v>11659</v>
      </c>
      <c r="G494" t="s" s="0">
        <v>11660</v>
      </c>
      <c r="H494" t="s" s="0">
        <v>82</v>
      </c>
      <c r="I494" t="s" s="0">
        <v>83</v>
      </c>
      <c r="J494" t="s" s="0">
        <v>11661</v>
      </c>
      <c r="K494" t="s" s="0">
        <v>11662</v>
      </c>
      <c r="L494" t="s" s="0">
        <v>82</v>
      </c>
      <c r="M494" t="s" s="0">
        <v>82</v>
      </c>
      <c r="N494" t="s" s="0">
        <v>82</v>
      </c>
      <c r="O494" t="s" s="0">
        <v>11663</v>
      </c>
      <c r="P494" t="s" s="0">
        <v>11664</v>
      </c>
      <c r="Q494" t="s" s="0">
        <v>91</v>
      </c>
      <c r="R494" t="s" s="0">
        <v>82</v>
      </c>
      <c r="S494" t="s" s="0">
        <v>82</v>
      </c>
      <c r="T494" t="s" s="0">
        <v>82</v>
      </c>
      <c r="U494" t="s" s="0">
        <v>82</v>
      </c>
      <c r="V494" t="s" s="0">
        <v>11665</v>
      </c>
      <c r="W494" t="s" s="0">
        <v>11666</v>
      </c>
      <c r="X494" t="s" s="0">
        <v>82</v>
      </c>
      <c r="Y494" t="s" s="0">
        <v>82</v>
      </c>
      <c r="Z494" t="s" s="0">
        <v>94</v>
      </c>
      <c r="AA494" t="s" s="0">
        <v>95</v>
      </c>
      <c r="AB494" t="s" s="0">
        <v>82</v>
      </c>
      <c r="AC494" t="s" s="0">
        <v>82</v>
      </c>
      <c r="AD494" t="s" s="0">
        <v>82</v>
      </c>
      <c r="AE494" t="s" s="0">
        <v>82</v>
      </c>
      <c r="AF494" t="s" s="0">
        <v>82</v>
      </c>
      <c r="AG494" t="s" s="0">
        <v>11667</v>
      </c>
      <c r="AH494" t="s" s="0">
        <v>11668</v>
      </c>
      <c r="AI494" t="s" s="0">
        <v>11669</v>
      </c>
      <c r="AJ494" t="s" s="0">
        <v>11670</v>
      </c>
      <c r="AK494" t="s" s="0">
        <v>82</v>
      </c>
      <c r="AL494" t="s" s="0">
        <v>4998</v>
      </c>
      <c r="AM494" t="s" s="0">
        <v>890</v>
      </c>
      <c r="AN494" t="s" s="0">
        <v>632</v>
      </c>
      <c r="AO494" t="s" s="0">
        <v>78</v>
      </c>
      <c r="AP494" t="s" s="0">
        <v>149</v>
      </c>
      <c r="AQ494" t="s" s="0">
        <v>277</v>
      </c>
      <c r="AR494" t="s" s="0">
        <v>278</v>
      </c>
      <c r="AS494" t="s" s="0">
        <v>279</v>
      </c>
      <c r="AT494" t="s" s="0">
        <v>11671</v>
      </c>
      <c r="AU494" t="s" s="0">
        <v>11672</v>
      </c>
      <c r="AV494" t="s" s="0">
        <v>82</v>
      </c>
      <c r="AW494" t="s" s="0">
        <v>11673</v>
      </c>
      <c r="AX494" t="s" s="0">
        <v>11674</v>
      </c>
      <c r="AY494" t="s" s="0">
        <v>2664</v>
      </c>
      <c r="AZ494" t="s" s="0">
        <v>525</v>
      </c>
      <c r="BA494" t="s" s="0">
        <v>1628</v>
      </c>
      <c r="BB494" t="s" s="0">
        <v>221</v>
      </c>
      <c r="BC494" t="s" s="0">
        <v>82</v>
      </c>
      <c r="BD494" t="s" s="0">
        <v>82</v>
      </c>
      <c r="BE494" t="s" s="0">
        <v>82</v>
      </c>
      <c r="BF494" t="s" s="0">
        <v>82</v>
      </c>
      <c r="BG494" t="s" s="0">
        <v>11675</v>
      </c>
      <c r="BH494" t="s" s="0">
        <v>9941</v>
      </c>
      <c r="BI494" t="s" s="0">
        <v>82</v>
      </c>
      <c r="BJ494" t="s" s="0">
        <v>11676</v>
      </c>
      <c r="BK494" t="s" s="982">
        <f>HYPERLINK("http://dx.doi.org/10.1016/j.jjcc.2021.06.002","http://dx.doi.org/10.1016/j.jjcc.2021.06.002")</f>
        <v>11677</v>
      </c>
      <c r="BL494" t="s" s="0">
        <v>82</v>
      </c>
      <c r="BM494" t="s" s="0">
        <v>4664</v>
      </c>
      <c r="BN494" t="s" s="0">
        <v>136</v>
      </c>
      <c r="BO494" t="s" s="0">
        <v>503</v>
      </c>
      <c r="BP494" t="s" s="0">
        <v>504</v>
      </c>
      <c r="BQ494" t="s" s="0">
        <v>11678</v>
      </c>
      <c r="BR494" t="s" s="0">
        <v>11679</v>
      </c>
      <c r="BS494" t="s" s="0">
        <v>11680</v>
      </c>
      <c r="BT494" t="s" s="983">
        <f>HYPERLINK("https://www.webofscience.com/wos/woscc/full-record/WOS:000703444100013","View Record in Web of Science")</f>
        <v>120</v>
      </c>
      <c r="BU494" t="s" s="0">
        <v>82</v>
      </c>
      <c r="BV494" t="s" s="0">
        <v>82</v>
      </c>
      <c r="BW494" t="s" s="0">
        <v>82</v>
      </c>
      <c r="BX494" t="s" s="0">
        <v>122</v>
      </c>
    </row>
    <row r="495">
      <c r="A495" t="s" s="0">
        <v>78</v>
      </c>
      <c r="B495" t="s" s="0">
        <v>78</v>
      </c>
      <c r="C495" t="s" s="0">
        <v>319</v>
      </c>
      <c r="D495" t="s" s="0">
        <v>78</v>
      </c>
      <c r="E495" t="s" s="0">
        <v>11681</v>
      </c>
      <c r="F495" t="s" s="0">
        <v>11682</v>
      </c>
      <c r="G495" t="s" s="0">
        <v>11683</v>
      </c>
      <c r="H495" t="s" s="0">
        <v>82</v>
      </c>
      <c r="I495" t="s" s="0">
        <v>83</v>
      </c>
      <c r="J495" t="s" s="0">
        <v>11684</v>
      </c>
      <c r="K495" t="s" s="0">
        <v>11685</v>
      </c>
      <c r="L495" t="s" s="0">
        <v>11686</v>
      </c>
      <c r="M495" t="s" s="0">
        <v>11687</v>
      </c>
      <c r="N495" t="s" s="0">
        <v>11688</v>
      </c>
      <c r="O495" t="s" s="0">
        <v>11689</v>
      </c>
      <c r="P495" t="s" s="0">
        <v>11690</v>
      </c>
      <c r="Q495" t="s" s="0">
        <v>91</v>
      </c>
      <c r="R495" t="s" s="0">
        <v>82</v>
      </c>
      <c r="S495" t="s" s="0">
        <v>82</v>
      </c>
      <c r="T495" t="s" s="0">
        <v>82</v>
      </c>
      <c r="U495" t="s" s="0">
        <v>82</v>
      </c>
      <c r="V495" t="s" s="0">
        <v>11691</v>
      </c>
      <c r="W495" t="s" s="0">
        <v>4358</v>
      </c>
      <c r="X495" t="s" s="0">
        <v>82</v>
      </c>
      <c r="Y495" t="s" s="0">
        <v>82</v>
      </c>
      <c r="Z495" t="s" s="0">
        <v>94</v>
      </c>
      <c r="AA495" t="s" s="0">
        <v>95</v>
      </c>
      <c r="AB495" t="s" s="0">
        <v>82</v>
      </c>
      <c r="AC495" t="s" s="0">
        <v>82</v>
      </c>
      <c r="AD495" t="s" s="0">
        <v>82</v>
      </c>
      <c r="AE495" t="s" s="0">
        <v>82</v>
      </c>
      <c r="AF495" t="s" s="0">
        <v>82</v>
      </c>
      <c r="AG495" t="s" s="0">
        <v>11692</v>
      </c>
      <c r="AH495" t="s" s="0">
        <v>11693</v>
      </c>
      <c r="AI495" t="s" s="0">
        <v>82</v>
      </c>
      <c r="AJ495" t="s" s="0">
        <v>11694</v>
      </c>
      <c r="AK495" t="s" s="0">
        <v>82</v>
      </c>
      <c r="AL495" t="s" s="0">
        <v>755</v>
      </c>
      <c r="AM495" t="s" s="0">
        <v>1186</v>
      </c>
      <c r="AN495" t="s" s="0">
        <v>890</v>
      </c>
      <c r="AO495" t="s" s="0">
        <v>78</v>
      </c>
      <c r="AP495" t="s" s="0">
        <v>154</v>
      </c>
      <c r="AQ495" t="s" s="0">
        <v>1710</v>
      </c>
      <c r="AR495" t="s" s="0">
        <v>1711</v>
      </c>
      <c r="AS495" t="s" s="0">
        <v>1712</v>
      </c>
      <c r="AT495" t="s" s="0">
        <v>4362</v>
      </c>
      <c r="AU495" t="s" s="0">
        <v>4363</v>
      </c>
      <c r="AV495" t="s" s="0">
        <v>82</v>
      </c>
      <c r="AW495" t="s" s="0">
        <v>4364</v>
      </c>
      <c r="AX495" t="s" s="0">
        <v>4365</v>
      </c>
      <c r="AY495" t="s" s="0">
        <v>11695</v>
      </c>
      <c r="AZ495" t="s" s="0">
        <v>1035</v>
      </c>
      <c r="BA495" t="s" s="0">
        <v>148</v>
      </c>
      <c r="BB495" t="s" s="0">
        <v>319</v>
      </c>
      <c r="BC495" t="s" s="0">
        <v>82</v>
      </c>
      <c r="BD495" t="s" s="0">
        <v>82</v>
      </c>
      <c r="BE495" t="s" s="0">
        <v>82</v>
      </c>
      <c r="BF495" t="s" s="0">
        <v>82</v>
      </c>
      <c r="BG495" t="s" s="0">
        <v>82</v>
      </c>
      <c r="BH495" t="s" s="0">
        <v>82</v>
      </c>
      <c r="BI495" t="s" s="0">
        <v>11696</v>
      </c>
      <c r="BJ495" t="s" s="0">
        <v>11697</v>
      </c>
      <c r="BK495" t="s" s="984">
        <f>HYPERLINK("http://dx.doi.org/10.2196/20641","http://dx.doi.org/10.2196/20641")</f>
        <v>11698</v>
      </c>
      <c r="BL495" t="s" s="0">
        <v>82</v>
      </c>
      <c r="BM495" t="s" s="0">
        <v>82</v>
      </c>
      <c r="BN495" t="s" s="0">
        <v>323</v>
      </c>
      <c r="BO495" t="s" s="0">
        <v>785</v>
      </c>
      <c r="BP495" t="s" s="0">
        <v>785</v>
      </c>
      <c r="BQ495" t="s" s="0">
        <v>11699</v>
      </c>
      <c r="BR495" t="s" s="0">
        <v>11700</v>
      </c>
      <c r="BS495" t="s" s="0">
        <v>11701</v>
      </c>
      <c r="BT495" t="s" s="985">
        <f>HYPERLINK("https://www.webofscience.com/wos/woscc/full-record/WOS:000599145000004","View Record in Web of Science")</f>
        <v>120</v>
      </c>
      <c r="BU495" t="s" s="0">
        <v>121</v>
      </c>
      <c r="BV495" t="s" s="0">
        <v>82</v>
      </c>
      <c r="BW495" t="s" s="0">
        <v>82</v>
      </c>
      <c r="BX495" t="s" s="0">
        <v>122</v>
      </c>
    </row>
    <row r="496">
      <c r="A496" t="s" s="0">
        <v>77</v>
      </c>
      <c r="B496" t="s" s="0">
        <v>78</v>
      </c>
      <c r="C496" t="s" s="0">
        <v>136</v>
      </c>
      <c r="D496" t="s" s="0">
        <v>78</v>
      </c>
      <c r="E496" t="s" s="0">
        <v>11702</v>
      </c>
      <c r="F496" t="s" s="0">
        <v>11703</v>
      </c>
      <c r="G496" t="s" s="0">
        <v>11704</v>
      </c>
      <c r="H496" t="s" s="0">
        <v>82</v>
      </c>
      <c r="I496" t="s" s="0">
        <v>83</v>
      </c>
      <c r="J496" t="s" s="0">
        <v>11705</v>
      </c>
      <c r="K496" t="s" s="0">
        <v>11706</v>
      </c>
      <c r="L496" t="s" s="0">
        <v>82</v>
      </c>
      <c r="M496" t="s" s="0">
        <v>82</v>
      </c>
      <c r="N496" t="s" s="0">
        <v>82</v>
      </c>
      <c r="O496" t="s" s="0">
        <v>11707</v>
      </c>
      <c r="P496" t="s" s="0">
        <v>11708</v>
      </c>
      <c r="Q496" t="s" s="0">
        <v>91</v>
      </c>
      <c r="R496" t="s" s="0">
        <v>82</v>
      </c>
      <c r="S496" t="s" s="0">
        <v>82</v>
      </c>
      <c r="T496" t="s" s="0">
        <v>82</v>
      </c>
      <c r="U496" t="s" s="0">
        <v>82</v>
      </c>
      <c r="V496" t="s" s="0">
        <v>11709</v>
      </c>
      <c r="W496" t="s" s="0">
        <v>7015</v>
      </c>
      <c r="X496" t="s" s="0">
        <v>82</v>
      </c>
      <c r="Y496" t="s" s="0">
        <v>82</v>
      </c>
      <c r="Z496" t="s" s="0">
        <v>94</v>
      </c>
      <c r="AA496" t="s" s="0">
        <v>95</v>
      </c>
      <c r="AB496" t="s" s="0">
        <v>82</v>
      </c>
      <c r="AC496" t="s" s="0">
        <v>82</v>
      </c>
      <c r="AD496" t="s" s="0">
        <v>82</v>
      </c>
      <c r="AE496" t="s" s="0">
        <v>82</v>
      </c>
      <c r="AF496" t="s" s="0">
        <v>82</v>
      </c>
      <c r="AG496" t="s" s="0">
        <v>11710</v>
      </c>
      <c r="AH496" t="s" s="0">
        <v>11711</v>
      </c>
      <c r="AI496" t="s" s="0">
        <v>82</v>
      </c>
      <c r="AJ496" t="s" s="0">
        <v>11712</v>
      </c>
      <c r="AK496" t="s" s="0">
        <v>82</v>
      </c>
      <c r="AL496" t="s" s="0">
        <v>1526</v>
      </c>
      <c r="AM496" t="s" s="0">
        <v>374</v>
      </c>
      <c r="AN496" t="s" s="0">
        <v>344</v>
      </c>
      <c r="AO496" t="s" s="0">
        <v>78</v>
      </c>
      <c r="AP496" t="s" s="0">
        <v>101</v>
      </c>
      <c r="AQ496" t="s" s="0">
        <v>202</v>
      </c>
      <c r="AR496" t="s" s="0">
        <v>203</v>
      </c>
      <c r="AS496" t="s" s="0">
        <v>204</v>
      </c>
      <c r="AT496" t="s" s="0">
        <v>7021</v>
      </c>
      <c r="AU496" t="s" s="0">
        <v>7022</v>
      </c>
      <c r="AV496" t="s" s="0">
        <v>82</v>
      </c>
      <c r="AW496" t="s" s="0">
        <v>7023</v>
      </c>
      <c r="AX496" t="s" s="0">
        <v>7024</v>
      </c>
      <c r="AY496" t="s" s="0">
        <v>1661</v>
      </c>
      <c r="AZ496" t="s" s="0">
        <v>525</v>
      </c>
      <c r="BA496" t="s" s="0">
        <v>831</v>
      </c>
      <c r="BB496" t="s" s="0">
        <v>245</v>
      </c>
      <c r="BC496" t="s" s="0">
        <v>82</v>
      </c>
      <c r="BD496" t="s" s="0">
        <v>82</v>
      </c>
      <c r="BE496" t="s" s="0">
        <v>82</v>
      </c>
      <c r="BF496" t="s" s="0">
        <v>82</v>
      </c>
      <c r="BG496" t="s" s="0">
        <v>11713</v>
      </c>
      <c r="BH496" t="s" s="0">
        <v>11714</v>
      </c>
      <c r="BI496" t="s" s="0">
        <v>82</v>
      </c>
      <c r="BJ496" t="s" s="0">
        <v>11715</v>
      </c>
      <c r="BK496" t="s" s="986">
        <f>HYPERLINK("http://dx.doi.org/10.1016/j.spinee.2021.03.026","http://dx.doi.org/10.1016/j.spinee.2021.03.026")</f>
        <v>11716</v>
      </c>
      <c r="BL496" t="s" s="0">
        <v>82</v>
      </c>
      <c r="BM496" t="s" s="0">
        <v>1661</v>
      </c>
      <c r="BN496" t="s" s="0">
        <v>136</v>
      </c>
      <c r="BO496" t="s" s="0">
        <v>2062</v>
      </c>
      <c r="BP496" t="s" s="0">
        <v>2063</v>
      </c>
      <c r="BQ496" t="s" s="0">
        <v>11717</v>
      </c>
      <c r="BR496" t="s" s="0">
        <v>11718</v>
      </c>
      <c r="BS496" t="s" s="0">
        <v>11719</v>
      </c>
      <c r="BT496" t="s" s="987">
        <f>HYPERLINK("https://www.webofscience.com/wos/woscc/full-record/WOS:000704865800013","View Record in Web of Science")</f>
        <v>120</v>
      </c>
      <c r="BU496" t="s" s="0">
        <v>82</v>
      </c>
      <c r="BV496" t="s" s="0">
        <v>82</v>
      </c>
      <c r="BW496" t="s" s="0">
        <v>82</v>
      </c>
      <c r="BX496" t="s" s="0">
        <v>122</v>
      </c>
    </row>
    <row r="497">
      <c r="A497" t="s" s="0">
        <v>447</v>
      </c>
      <c r="B497" t="s" s="0">
        <v>78</v>
      </c>
      <c r="C497" t="s" s="0">
        <v>138</v>
      </c>
      <c r="D497" t="s" s="0">
        <v>78</v>
      </c>
      <c r="E497" t="s" s="0">
        <v>11720</v>
      </c>
      <c r="F497" t="s" s="0">
        <v>11721</v>
      </c>
      <c r="G497" t="s" s="0">
        <v>11722</v>
      </c>
      <c r="H497" t="s" s="0">
        <v>82</v>
      </c>
      <c r="I497" t="s" s="0">
        <v>83</v>
      </c>
      <c r="J497" t="s" s="0">
        <v>11723</v>
      </c>
      <c r="K497" t="s" s="0">
        <v>11724</v>
      </c>
      <c r="L497" t="s" s="0">
        <v>82</v>
      </c>
      <c r="M497" t="s" s="0">
        <v>82</v>
      </c>
      <c r="N497" t="s" s="0">
        <v>82</v>
      </c>
      <c r="O497" t="s" s="0">
        <v>11725</v>
      </c>
      <c r="P497" t="s" s="0">
        <v>11726</v>
      </c>
      <c r="Q497" t="s" s="0">
        <v>91</v>
      </c>
      <c r="R497" t="s" s="0">
        <v>82</v>
      </c>
      <c r="S497" t="s" s="0">
        <v>82</v>
      </c>
      <c r="T497" t="s" s="0">
        <v>82</v>
      </c>
      <c r="U497" t="s" s="0">
        <v>82</v>
      </c>
      <c r="V497" t="s" s="0">
        <v>11727</v>
      </c>
      <c r="W497" t="s" s="0">
        <v>11728</v>
      </c>
      <c r="X497" t="s" s="0">
        <v>82</v>
      </c>
      <c r="Y497" t="s" s="0">
        <v>82</v>
      </c>
      <c r="Z497" t="s" s="0">
        <v>94</v>
      </c>
      <c r="AA497" t="s" s="0">
        <v>95</v>
      </c>
      <c r="AB497" t="s" s="0">
        <v>82</v>
      </c>
      <c r="AC497" t="s" s="0">
        <v>82</v>
      </c>
      <c r="AD497" t="s" s="0">
        <v>82</v>
      </c>
      <c r="AE497" t="s" s="0">
        <v>82</v>
      </c>
      <c r="AF497" t="s" s="0">
        <v>82</v>
      </c>
      <c r="AG497" t="s" s="0">
        <v>11729</v>
      </c>
      <c r="AH497" t="s" s="0">
        <v>82</v>
      </c>
      <c r="AI497" t="s" s="0">
        <v>82</v>
      </c>
      <c r="AJ497" t="s" s="0">
        <v>11730</v>
      </c>
      <c r="AK497" t="s" s="0">
        <v>82</v>
      </c>
      <c r="AL497" t="s" s="0">
        <v>1286</v>
      </c>
      <c r="AM497" t="s" s="0">
        <v>149</v>
      </c>
      <c r="AN497" t="s" s="0">
        <v>323</v>
      </c>
      <c r="AO497" t="s" s="0">
        <v>77</v>
      </c>
      <c r="AP497" t="s" s="0">
        <v>319</v>
      </c>
      <c r="AQ497" t="s" s="0">
        <v>4242</v>
      </c>
      <c r="AR497" t="s" s="0">
        <v>4243</v>
      </c>
      <c r="AS497" t="s" s="0">
        <v>4244</v>
      </c>
      <c r="AT497" t="s" s="0">
        <v>11731</v>
      </c>
      <c r="AU497" t="s" s="0">
        <v>11732</v>
      </c>
      <c r="AV497" t="s" s="0">
        <v>82</v>
      </c>
      <c r="AW497" t="s" s="0">
        <v>11733</v>
      </c>
      <c r="AX497" t="s" s="0">
        <v>11734</v>
      </c>
      <c r="AY497" t="s" s="0">
        <v>11735</v>
      </c>
      <c r="AZ497" t="s" s="0">
        <v>525</v>
      </c>
      <c r="BA497" t="s" s="0">
        <v>1186</v>
      </c>
      <c r="BB497" t="s" s="0">
        <v>82</v>
      </c>
      <c r="BC497" t="s" s="0">
        <v>82</v>
      </c>
      <c r="BD497" t="s" s="0">
        <v>82</v>
      </c>
      <c r="BE497" t="s" s="0">
        <v>82</v>
      </c>
      <c r="BF497" t="s" s="0">
        <v>82</v>
      </c>
      <c r="BG497" t="s" s="0">
        <v>82</v>
      </c>
      <c r="BH497" t="s" s="0">
        <v>82</v>
      </c>
      <c r="BI497" t="s" s="0">
        <v>11736</v>
      </c>
      <c r="BJ497" t="s" s="0">
        <v>11737</v>
      </c>
      <c r="BK497" t="s" s="988">
        <f>HYPERLINK("http://dx.doi.org/10.1177/0963689720969176","http://dx.doi.org/10.1177/0963689720969176")</f>
        <v>11738</v>
      </c>
      <c r="BL497" t="s" s="0">
        <v>82</v>
      </c>
      <c r="BM497" t="s" s="0">
        <v>82</v>
      </c>
      <c r="BN497" t="s" s="0">
        <v>239</v>
      </c>
      <c r="BO497" t="s" s="0">
        <v>11739</v>
      </c>
      <c r="BP497" t="s" s="0">
        <v>11740</v>
      </c>
      <c r="BQ497" t="s" s="0">
        <v>11741</v>
      </c>
      <c r="BR497" t="s" s="0">
        <v>11742</v>
      </c>
      <c r="BS497" t="s" s="0">
        <v>11743</v>
      </c>
      <c r="BT497" t="s" s="989">
        <f>HYPERLINK("https://www.webofscience.com/wos/woscc/full-record/WOS:000625027300001","View Record in Web of Science")</f>
        <v>120</v>
      </c>
      <c r="BU497" t="s" s="0">
        <v>121</v>
      </c>
      <c r="BV497" t="s" s="0">
        <v>82</v>
      </c>
      <c r="BW497" t="s" s="0">
        <v>82</v>
      </c>
      <c r="BX497" t="s" s="0">
        <v>122</v>
      </c>
    </row>
    <row r="498">
      <c r="A498" t="s" s="0">
        <v>78</v>
      </c>
      <c r="B498" t="s" s="0">
        <v>78</v>
      </c>
      <c r="C498" t="s" s="0">
        <v>78</v>
      </c>
      <c r="D498" t="s" s="0">
        <v>78</v>
      </c>
      <c r="E498" t="s" s="0">
        <v>11744</v>
      </c>
      <c r="F498" t="s" s="0">
        <v>11745</v>
      </c>
      <c r="G498" t="s" s="0">
        <v>11746</v>
      </c>
      <c r="H498" t="s" s="0">
        <v>82</v>
      </c>
      <c r="I498" t="s" s="0">
        <v>83</v>
      </c>
      <c r="J498" t="s" s="0">
        <v>11747</v>
      </c>
      <c r="K498" t="s" s="0">
        <v>11748</v>
      </c>
      <c r="L498" t="s" s="0">
        <v>11749</v>
      </c>
      <c r="M498" t="s" s="0">
        <v>11750</v>
      </c>
      <c r="N498" t="s" s="0">
        <v>11751</v>
      </c>
      <c r="O498" t="s" s="0">
        <v>11752</v>
      </c>
      <c r="P498" t="s" s="0">
        <v>11753</v>
      </c>
      <c r="Q498" t="s" s="0">
        <v>91</v>
      </c>
      <c r="R498" t="s" s="0">
        <v>82</v>
      </c>
      <c r="S498" t="s" s="0">
        <v>82</v>
      </c>
      <c r="T498" t="s" s="0">
        <v>82</v>
      </c>
      <c r="U498" t="s" s="0">
        <v>82</v>
      </c>
      <c r="V498" t="s" s="0">
        <v>11754</v>
      </c>
      <c r="W498" t="s" s="0">
        <v>11063</v>
      </c>
      <c r="X498" t="s" s="0">
        <v>82</v>
      </c>
      <c r="Y498" t="s" s="0">
        <v>82</v>
      </c>
      <c r="Z498" t="s" s="0">
        <v>94</v>
      </c>
      <c r="AA498" t="s" s="0">
        <v>95</v>
      </c>
      <c r="AB498" t="s" s="0">
        <v>82</v>
      </c>
      <c r="AC498" t="s" s="0">
        <v>82</v>
      </c>
      <c r="AD498" t="s" s="0">
        <v>82</v>
      </c>
      <c r="AE498" t="s" s="0">
        <v>82</v>
      </c>
      <c r="AF498" t="s" s="0">
        <v>82</v>
      </c>
      <c r="AG498" t="s" s="0">
        <v>11755</v>
      </c>
      <c r="AH498" t="s" s="0">
        <v>11756</v>
      </c>
      <c r="AI498" t="s" s="0">
        <v>11757</v>
      </c>
      <c r="AJ498" t="s" s="0">
        <v>82</v>
      </c>
      <c r="AK498" t="s" s="0">
        <v>82</v>
      </c>
      <c r="AL498" t="s" s="0">
        <v>344</v>
      </c>
      <c r="AM498" t="s" s="0">
        <v>78</v>
      </c>
      <c r="AN498" t="s" s="0">
        <v>78</v>
      </c>
      <c r="AO498" t="s" s="0">
        <v>77</v>
      </c>
      <c r="AP498" t="s" s="0">
        <v>77</v>
      </c>
      <c r="AQ498" t="s" s="0">
        <v>312</v>
      </c>
      <c r="AR498" t="s" s="0">
        <v>313</v>
      </c>
      <c r="AS498" t="s" s="0">
        <v>314</v>
      </c>
      <c r="AT498" t="s" s="0">
        <v>11068</v>
      </c>
      <c r="AU498" t="s" s="0">
        <v>11069</v>
      </c>
      <c r="AV498" t="s" s="0">
        <v>82</v>
      </c>
      <c r="AW498" t="s" s="0">
        <v>11070</v>
      </c>
      <c r="AX498" t="s" s="0">
        <v>11071</v>
      </c>
      <c r="AY498" t="s" s="0">
        <v>11758</v>
      </c>
      <c r="AZ498" t="s" s="0">
        <v>181</v>
      </c>
      <c r="BA498" t="s" s="0">
        <v>1780</v>
      </c>
      <c r="BB498" t="s" s="0">
        <v>137</v>
      </c>
      <c r="BC498" t="s" s="0">
        <v>82</v>
      </c>
      <c r="BD498" t="s" s="0">
        <v>82</v>
      </c>
      <c r="BE498" t="s" s="0">
        <v>82</v>
      </c>
      <c r="BF498" t="s" s="0">
        <v>82</v>
      </c>
      <c r="BG498" t="s" s="0">
        <v>82</v>
      </c>
      <c r="BH498" t="s" s="0">
        <v>82</v>
      </c>
      <c r="BI498" t="s" s="0">
        <v>11759</v>
      </c>
      <c r="BJ498" t="s" s="0">
        <v>11760</v>
      </c>
      <c r="BK498" t="s" s="990">
        <f>HYPERLINK("http://dx.doi.org/10.3390/ijms27114696","http://dx.doi.org/10.3390/ijms27114696")</f>
        <v>11761</v>
      </c>
      <c r="BL498" t="s" s="0">
        <v>82</v>
      </c>
      <c r="BM498" t="s" s="0">
        <v>1003</v>
      </c>
      <c r="BN498" t="s" s="0">
        <v>239</v>
      </c>
      <c r="BO498" t="s" s="0">
        <v>11075</v>
      </c>
      <c r="BP498" t="s" s="0">
        <v>11076</v>
      </c>
      <c r="BQ498" t="s" s="0">
        <v>11762</v>
      </c>
      <c r="BR498" t="s" s="0">
        <v>11763</v>
      </c>
      <c r="BS498" t="s" s="0">
        <v>11764</v>
      </c>
      <c r="BT498" t="s" s="991">
        <f>HYPERLINK("https://www.webofscience.com/wos/woscc/full-record/WOS:001789998300001","View Record in Web of Science")</f>
        <v>120</v>
      </c>
      <c r="BU498" t="s" s="0">
        <v>121</v>
      </c>
      <c r="BV498" t="s" s="0">
        <v>82</v>
      </c>
      <c r="BW498" t="s" s="0">
        <v>82</v>
      </c>
      <c r="BX498" t="s" s="0">
        <v>122</v>
      </c>
    </row>
    <row r="499">
      <c r="A499" t="s" s="0">
        <v>78</v>
      </c>
      <c r="B499" t="s" s="0">
        <v>78</v>
      </c>
      <c r="C499" t="s" s="0">
        <v>78</v>
      </c>
      <c r="D499" t="s" s="0">
        <v>78</v>
      </c>
      <c r="E499" t="s" s="0">
        <v>11765</v>
      </c>
      <c r="F499" t="s" s="0">
        <v>11766</v>
      </c>
      <c r="G499" t="s" s="0">
        <v>11767</v>
      </c>
      <c r="H499" t="s" s="0">
        <v>82</v>
      </c>
      <c r="I499" t="s" s="0">
        <v>83</v>
      </c>
      <c r="J499" t="s" s="0">
        <v>11768</v>
      </c>
      <c r="K499" t="s" s="0">
        <v>11769</v>
      </c>
      <c r="L499" t="s" s="0">
        <v>11770</v>
      </c>
      <c r="M499" t="s" s="0">
        <v>11771</v>
      </c>
      <c r="N499" t="s" s="0">
        <v>11772</v>
      </c>
      <c r="O499" t="s" s="0">
        <v>11773</v>
      </c>
      <c r="P499" t="s" s="0">
        <v>11774</v>
      </c>
      <c r="Q499" t="s" s="0">
        <v>91</v>
      </c>
      <c r="R499" t="s" s="0">
        <v>82</v>
      </c>
      <c r="S499" t="s" s="0">
        <v>82</v>
      </c>
      <c r="T499" t="s" s="0">
        <v>82</v>
      </c>
      <c r="U499" t="s" s="0">
        <v>82</v>
      </c>
      <c r="V499" t="s" s="0">
        <v>11775</v>
      </c>
      <c r="W499" t="s" s="0">
        <v>3565</v>
      </c>
      <c r="X499" t="s" s="0">
        <v>82</v>
      </c>
      <c r="Y499" t="s" s="0">
        <v>82</v>
      </c>
      <c r="Z499" t="s" s="0">
        <v>94</v>
      </c>
      <c r="AA499" t="s" s="0">
        <v>95</v>
      </c>
      <c r="AB499" t="s" s="0">
        <v>82</v>
      </c>
      <c r="AC499" t="s" s="0">
        <v>82</v>
      </c>
      <c r="AD499" t="s" s="0">
        <v>82</v>
      </c>
      <c r="AE499" t="s" s="0">
        <v>82</v>
      </c>
      <c r="AF499" t="s" s="0">
        <v>82</v>
      </c>
      <c r="AG499" t="s" s="0">
        <v>11776</v>
      </c>
      <c r="AH499" t="s" s="0">
        <v>82</v>
      </c>
      <c r="AI499" t="s" s="0">
        <v>82</v>
      </c>
      <c r="AJ499" t="s" s="0">
        <v>82</v>
      </c>
      <c r="AK499" t="s" s="0">
        <v>82</v>
      </c>
      <c r="AL499" t="s" s="0">
        <v>1026</v>
      </c>
      <c r="AM499" t="s" s="0">
        <v>78</v>
      </c>
      <c r="AN499" t="s" s="0">
        <v>78</v>
      </c>
      <c r="AO499" t="s" s="0">
        <v>447</v>
      </c>
      <c r="AP499" t="s" s="0">
        <v>447</v>
      </c>
      <c r="AQ499" t="s" s="0">
        <v>2484</v>
      </c>
      <c r="AR499" t="s" s="0">
        <v>2485</v>
      </c>
      <c r="AS499" t="s" s="0">
        <v>2486</v>
      </c>
      <c r="AT499" t="s" s="0">
        <v>82</v>
      </c>
      <c r="AU499" t="s" s="0">
        <v>3568</v>
      </c>
      <c r="AV499" t="s" s="0">
        <v>82</v>
      </c>
      <c r="AW499" t="s" s="0">
        <v>3569</v>
      </c>
      <c r="AX499" t="s" s="0">
        <v>3570</v>
      </c>
      <c r="AY499" t="s" s="0">
        <v>11777</v>
      </c>
      <c r="AZ499" t="s" s="0">
        <v>181</v>
      </c>
      <c r="BA499" t="s" s="0">
        <v>115</v>
      </c>
      <c r="BB499" t="s" s="0">
        <v>82</v>
      </c>
      <c r="BC499" t="s" s="0">
        <v>82</v>
      </c>
      <c r="BD499" t="s" s="0">
        <v>82</v>
      </c>
      <c r="BE499" t="s" s="0">
        <v>82</v>
      </c>
      <c r="BF499" t="s" s="0">
        <v>82</v>
      </c>
      <c r="BG499" t="s" s="0">
        <v>82</v>
      </c>
      <c r="BH499" t="s" s="0">
        <v>82</v>
      </c>
      <c r="BI499" t="s" s="0">
        <v>11778</v>
      </c>
      <c r="BJ499" t="s" s="0">
        <v>11779</v>
      </c>
      <c r="BK499" t="s" s="992">
        <f>HYPERLINK("http://dx.doi.org/10.3389/fmed.2026.1801737","http://dx.doi.org/10.3389/fmed.2026.1801737")</f>
        <v>11780</v>
      </c>
      <c r="BL499" t="s" s="0">
        <v>82</v>
      </c>
      <c r="BM499" t="s" s="0">
        <v>1003</v>
      </c>
      <c r="BN499" t="s" s="0">
        <v>115</v>
      </c>
      <c r="BO499" t="s" s="0">
        <v>354</v>
      </c>
      <c r="BP499" t="s" s="0">
        <v>355</v>
      </c>
      <c r="BQ499" t="s" s="0">
        <v>11781</v>
      </c>
      <c r="BR499" t="s" s="0">
        <v>11782</v>
      </c>
      <c r="BS499" t="s" s="0">
        <v>11783</v>
      </c>
      <c r="BT499" t="s" s="993">
        <f>HYPERLINK("https://www.webofscience.com/wos/woscc/full-record/WOS:001773801700001","View Record in Web of Science")</f>
        <v>120</v>
      </c>
      <c r="BU499" t="s" s="0">
        <v>121</v>
      </c>
      <c r="BV499" t="s" s="0">
        <v>82</v>
      </c>
      <c r="BW499" t="s" s="0">
        <v>82</v>
      </c>
      <c r="BX499" t="s" s="0">
        <v>122</v>
      </c>
    </row>
    <row r="500">
      <c r="A500" t="s" s="0">
        <v>78</v>
      </c>
      <c r="B500" t="s" s="0">
        <v>78</v>
      </c>
      <c r="C500" t="s" s="0">
        <v>447</v>
      </c>
      <c r="D500" t="s" s="0">
        <v>78</v>
      </c>
      <c r="E500" t="s" s="0">
        <v>11784</v>
      </c>
      <c r="F500" t="s" s="0">
        <v>11785</v>
      </c>
      <c r="G500" t="s" s="0">
        <v>11786</v>
      </c>
      <c r="H500" t="s" s="0">
        <v>82</v>
      </c>
      <c r="I500" t="s" s="0">
        <v>83</v>
      </c>
      <c r="J500" t="s" s="0">
        <v>11787</v>
      </c>
      <c r="K500" t="s" s="0">
        <v>11788</v>
      </c>
      <c r="L500" t="s" s="0">
        <v>82</v>
      </c>
      <c r="M500" t="s" s="0">
        <v>82</v>
      </c>
      <c r="N500" t="s" s="0">
        <v>82</v>
      </c>
      <c r="O500" t="s" s="0">
        <v>11789</v>
      </c>
      <c r="P500" t="s" s="0">
        <v>11790</v>
      </c>
      <c r="Q500" t="s" s="0">
        <v>91</v>
      </c>
      <c r="R500" t="s" s="0">
        <v>82</v>
      </c>
      <c r="S500" t="s" s="0">
        <v>82</v>
      </c>
      <c r="T500" t="s" s="0">
        <v>82</v>
      </c>
      <c r="U500" t="s" s="0">
        <v>82</v>
      </c>
      <c r="V500" t="s" s="0">
        <v>11791</v>
      </c>
      <c r="W500" t="s" s="0">
        <v>7806</v>
      </c>
      <c r="X500" t="s" s="0">
        <v>82</v>
      </c>
      <c r="Y500" t="s" s="0">
        <v>82</v>
      </c>
      <c r="Z500" t="s" s="0">
        <v>94</v>
      </c>
      <c r="AA500" t="s" s="0">
        <v>95</v>
      </c>
      <c r="AB500" t="s" s="0">
        <v>82</v>
      </c>
      <c r="AC500" t="s" s="0">
        <v>82</v>
      </c>
      <c r="AD500" t="s" s="0">
        <v>82</v>
      </c>
      <c r="AE500" t="s" s="0">
        <v>82</v>
      </c>
      <c r="AF500" t="s" s="0">
        <v>82</v>
      </c>
      <c r="AG500" t="s" s="0">
        <v>11792</v>
      </c>
      <c r="AH500" t="s" s="0">
        <v>11793</v>
      </c>
      <c r="AI500" t="s" s="0">
        <v>11794</v>
      </c>
      <c r="AJ500" t="s" s="0">
        <v>11795</v>
      </c>
      <c r="AK500" t="s" s="0">
        <v>82</v>
      </c>
      <c r="AL500" t="s" s="0">
        <v>173</v>
      </c>
      <c r="AM500" t="s" s="0">
        <v>137</v>
      </c>
      <c r="AN500" t="s" s="0">
        <v>115</v>
      </c>
      <c r="AO500" t="s" s="0">
        <v>78</v>
      </c>
      <c r="AP500" t="s" s="0">
        <v>149</v>
      </c>
      <c r="AQ500" t="s" s="0">
        <v>174</v>
      </c>
      <c r="AR500" t="s" s="0">
        <v>175</v>
      </c>
      <c r="AS500" t="s" s="0">
        <v>176</v>
      </c>
      <c r="AT500" t="s" s="0">
        <v>7809</v>
      </c>
      <c r="AU500" t="s" s="0">
        <v>82</v>
      </c>
      <c r="AV500" t="s" s="0">
        <v>82</v>
      </c>
      <c r="AW500" t="s" s="0">
        <v>7810</v>
      </c>
      <c r="AX500" t="s" s="0">
        <v>7811</v>
      </c>
      <c r="AY500" t="s" s="0">
        <v>2030</v>
      </c>
      <c r="AZ500" t="s" s="0">
        <v>408</v>
      </c>
      <c r="BA500" t="s" s="0">
        <v>685</v>
      </c>
      <c r="BB500" t="s" s="0">
        <v>375</v>
      </c>
      <c r="BC500" t="s" s="0">
        <v>82</v>
      </c>
      <c r="BD500" t="s" s="0">
        <v>82</v>
      </c>
      <c r="BE500" t="s" s="0">
        <v>82</v>
      </c>
      <c r="BF500" t="s" s="0">
        <v>82</v>
      </c>
      <c r="BG500" t="s" s="0">
        <v>82</v>
      </c>
      <c r="BH500" t="s" s="0">
        <v>82</v>
      </c>
      <c r="BI500" t="s" s="0">
        <v>11796</v>
      </c>
      <c r="BJ500" t="s" s="0">
        <v>11797</v>
      </c>
      <c r="BK500" t="s" s="994">
        <f>HYPERLINK("http://dx.doi.org/10.1002/acm2.13609","http://dx.doi.org/10.1002/acm2.13609")</f>
        <v>11798</v>
      </c>
      <c r="BL500" t="s" s="0">
        <v>82</v>
      </c>
      <c r="BM500" t="s" s="0">
        <v>2658</v>
      </c>
      <c r="BN500" t="s" s="0">
        <v>319</v>
      </c>
      <c r="BO500" t="s" s="0">
        <v>414</v>
      </c>
      <c r="BP500" t="s" s="0">
        <v>414</v>
      </c>
      <c r="BQ500" t="s" s="0">
        <v>11799</v>
      </c>
      <c r="BR500" t="s" s="0">
        <v>11800</v>
      </c>
      <c r="BS500" t="s" s="0">
        <v>11801</v>
      </c>
      <c r="BT500" t="s" s="995">
        <f>HYPERLINK("https://www.webofscience.com/wos/woscc/full-record/WOS:000785953800001","View Record in Web of Science")</f>
        <v>120</v>
      </c>
      <c r="BU500" t="s" s="0">
        <v>121</v>
      </c>
      <c r="BV500" t="s" s="0">
        <v>82</v>
      </c>
      <c r="BW500" t="s" s="0">
        <v>82</v>
      </c>
      <c r="BX500" t="s" s="0">
        <v>122</v>
      </c>
    </row>
    <row r="501">
      <c r="A501" t="s" s="0">
        <v>101</v>
      </c>
      <c r="B501" t="s" s="0">
        <v>78</v>
      </c>
      <c r="C501" t="s" s="0">
        <v>239</v>
      </c>
      <c r="D501" t="s" s="0">
        <v>77</v>
      </c>
      <c r="E501" t="s" s="0">
        <v>11802</v>
      </c>
      <c r="F501" t="s" s="0">
        <v>11803</v>
      </c>
      <c r="G501" t="s" s="0">
        <v>11804</v>
      </c>
      <c r="H501" t="s" s="0">
        <v>82</v>
      </c>
      <c r="I501" t="s" s="0">
        <v>83</v>
      </c>
      <c r="J501" t="s" s="0">
        <v>11805</v>
      </c>
      <c r="K501" t="s" s="0">
        <v>11806</v>
      </c>
      <c r="L501" t="s" s="0">
        <v>11807</v>
      </c>
      <c r="M501" t="s" s="0">
        <v>11808</v>
      </c>
      <c r="N501" t="s" s="0">
        <v>11809</v>
      </c>
      <c r="O501" t="s" s="0">
        <v>11810</v>
      </c>
      <c r="P501" t="s" s="0">
        <v>11811</v>
      </c>
      <c r="Q501" t="s" s="0">
        <v>91</v>
      </c>
      <c r="R501" t="s" s="0">
        <v>82</v>
      </c>
      <c r="S501" t="s" s="0">
        <v>82</v>
      </c>
      <c r="T501" t="s" s="0">
        <v>82</v>
      </c>
      <c r="U501" t="s" s="0">
        <v>82</v>
      </c>
      <c r="V501" t="s" s="0">
        <v>11812</v>
      </c>
      <c r="W501" t="s" s="0">
        <v>2908</v>
      </c>
      <c r="X501" t="s" s="0">
        <v>82</v>
      </c>
      <c r="Y501" t="s" s="0">
        <v>82</v>
      </c>
      <c r="Z501" t="s" s="0">
        <v>94</v>
      </c>
      <c r="AA501" t="s" s="0">
        <v>95</v>
      </c>
      <c r="AB501" t="s" s="0">
        <v>82</v>
      </c>
      <c r="AC501" t="s" s="0">
        <v>82</v>
      </c>
      <c r="AD501" t="s" s="0">
        <v>82</v>
      </c>
      <c r="AE501" t="s" s="0">
        <v>82</v>
      </c>
      <c r="AF501" t="s" s="0">
        <v>82</v>
      </c>
      <c r="AG501" t="s" s="0">
        <v>11813</v>
      </c>
      <c r="AH501" t="s" s="0">
        <v>11814</v>
      </c>
      <c r="AI501" t="s" s="0">
        <v>82</v>
      </c>
      <c r="AJ501" t="s" s="0">
        <v>11815</v>
      </c>
      <c r="AK501" t="s" s="0">
        <v>82</v>
      </c>
      <c r="AL501" t="s" s="0">
        <v>828</v>
      </c>
      <c r="AM501" t="s" s="0">
        <v>6450</v>
      </c>
      <c r="AN501" t="s" s="0">
        <v>3502</v>
      </c>
      <c r="AO501" t="s" s="0">
        <v>78</v>
      </c>
      <c r="AP501" t="s" s="0">
        <v>115</v>
      </c>
      <c r="AQ501" t="s" s="0">
        <v>103</v>
      </c>
      <c r="AR501" t="s" s="0">
        <v>104</v>
      </c>
      <c r="AS501" t="s" s="0">
        <v>105</v>
      </c>
      <c r="AT501" t="s" s="0">
        <v>2912</v>
      </c>
      <c r="AU501" t="s" s="0">
        <v>2913</v>
      </c>
      <c r="AV501" t="s" s="0">
        <v>82</v>
      </c>
      <c r="AW501" t="s" s="0">
        <v>2914</v>
      </c>
      <c r="AX501" t="s" s="0">
        <v>2915</v>
      </c>
      <c r="AY501" t="s" s="0">
        <v>11816</v>
      </c>
      <c r="AZ501" t="s" s="0">
        <v>284</v>
      </c>
      <c r="BA501" t="s" s="0">
        <v>685</v>
      </c>
      <c r="BB501" t="s" s="0">
        <v>77</v>
      </c>
      <c r="BC501" t="s" s="0">
        <v>82</v>
      </c>
      <c r="BD501" t="s" s="0">
        <v>82</v>
      </c>
      <c r="BE501" t="s" s="0">
        <v>82</v>
      </c>
      <c r="BF501" t="s" s="0">
        <v>82</v>
      </c>
      <c r="BG501" t="s" s="0">
        <v>82</v>
      </c>
      <c r="BH501" t="s" s="0">
        <v>82</v>
      </c>
      <c r="BI501" t="s" s="0">
        <v>2834</v>
      </c>
      <c r="BJ501" t="s" s="0">
        <v>11817</v>
      </c>
      <c r="BK501" t="s" s="996">
        <f>HYPERLINK("http://dx.doi.org/10.1186/s13054-019-2563-x","http://dx.doi.org/10.1186/s13054-019-2563-x")</f>
        <v>11818</v>
      </c>
      <c r="BL501" t="s" s="0">
        <v>82</v>
      </c>
      <c r="BM501" t="s" s="0">
        <v>82</v>
      </c>
      <c r="BN501" t="s" s="0">
        <v>245</v>
      </c>
      <c r="BO501" t="s" s="0">
        <v>2920</v>
      </c>
      <c r="BP501" t="s" s="0">
        <v>355</v>
      </c>
      <c r="BQ501" t="s" s="0">
        <v>11819</v>
      </c>
      <c r="BR501" t="s" s="0">
        <v>11820</v>
      </c>
      <c r="BS501" t="s" s="0">
        <v>11821</v>
      </c>
      <c r="BT501" t="s" s="997">
        <f>HYPERLINK("https://www.webofscience.com/wos/woscc/full-record/WOS:000481747000002","View Record in Web of Science")</f>
        <v>120</v>
      </c>
      <c r="BU501" t="s" s="0">
        <v>121</v>
      </c>
      <c r="BV501" t="s" s="0">
        <v>82</v>
      </c>
      <c r="BW501" t="s" s="0">
        <v>82</v>
      </c>
      <c r="BX501" t="s" s="0">
        <v>122</v>
      </c>
    </row>
    <row r="502">
      <c r="A502" t="s" s="0">
        <v>78</v>
      </c>
      <c r="B502" t="s" s="0">
        <v>78</v>
      </c>
      <c r="C502" t="s" s="0">
        <v>78</v>
      </c>
      <c r="D502" t="s" s="0">
        <v>78</v>
      </c>
      <c r="E502" t="s" s="0">
        <v>11822</v>
      </c>
      <c r="F502" t="s" s="0">
        <v>11823</v>
      </c>
      <c r="G502" t="s" s="0">
        <v>11824</v>
      </c>
      <c r="H502" t="s" s="0">
        <v>82</v>
      </c>
      <c r="I502" t="s" s="0">
        <v>83</v>
      </c>
      <c r="J502" t="s" s="0">
        <v>11825</v>
      </c>
      <c r="K502" t="s" s="0">
        <v>11826</v>
      </c>
      <c r="L502" t="s" s="0">
        <v>82</v>
      </c>
      <c r="M502" t="s" s="0">
        <v>82</v>
      </c>
      <c r="N502" t="s" s="0">
        <v>82</v>
      </c>
      <c r="O502" t="s" s="0">
        <v>11827</v>
      </c>
      <c r="P502" t="s" s="0">
        <v>11828</v>
      </c>
      <c r="Q502" t="s" s="0">
        <v>91</v>
      </c>
      <c r="R502" t="s" s="0">
        <v>82</v>
      </c>
      <c r="S502" t="s" s="0">
        <v>82</v>
      </c>
      <c r="T502" t="s" s="0">
        <v>82</v>
      </c>
      <c r="U502" t="s" s="0">
        <v>82</v>
      </c>
      <c r="V502" t="s" s="0">
        <v>11829</v>
      </c>
      <c r="W502" t="s" s="0">
        <v>11830</v>
      </c>
      <c r="X502" t="s" s="0">
        <v>82</v>
      </c>
      <c r="Y502" t="s" s="0">
        <v>82</v>
      </c>
      <c r="Z502" t="s" s="0">
        <v>94</v>
      </c>
      <c r="AA502" t="s" s="0">
        <v>95</v>
      </c>
      <c r="AB502" t="s" s="0">
        <v>82</v>
      </c>
      <c r="AC502" t="s" s="0">
        <v>82</v>
      </c>
      <c r="AD502" t="s" s="0">
        <v>82</v>
      </c>
      <c r="AE502" t="s" s="0">
        <v>82</v>
      </c>
      <c r="AF502" t="s" s="0">
        <v>82</v>
      </c>
      <c r="AG502" t="s" s="0">
        <v>11831</v>
      </c>
      <c r="AH502" t="s" s="0">
        <v>11832</v>
      </c>
      <c r="AI502" t="s" s="0">
        <v>82</v>
      </c>
      <c r="AJ502" t="s" s="0">
        <v>11833</v>
      </c>
      <c r="AK502" t="s" s="0">
        <v>82</v>
      </c>
      <c r="AL502" t="s" s="0">
        <v>829</v>
      </c>
      <c r="AM502" t="s" s="0">
        <v>78</v>
      </c>
      <c r="AN502" t="s" s="0">
        <v>78</v>
      </c>
      <c r="AO502" t="s" s="0">
        <v>78</v>
      </c>
      <c r="AP502" t="s" s="0">
        <v>136</v>
      </c>
      <c r="AQ502" t="s" s="0">
        <v>11834</v>
      </c>
      <c r="AR502" t="s" s="0">
        <v>11835</v>
      </c>
      <c r="AS502" t="s" s="0">
        <v>11836</v>
      </c>
      <c r="AT502" t="s" s="0">
        <v>11837</v>
      </c>
      <c r="AU502" t="s" s="0">
        <v>11838</v>
      </c>
      <c r="AV502" t="s" s="0">
        <v>82</v>
      </c>
      <c r="AW502" t="s" s="0">
        <v>11830</v>
      </c>
      <c r="AX502" t="s" s="0">
        <v>11839</v>
      </c>
      <c r="AY502" t="s" s="0">
        <v>525</v>
      </c>
      <c r="AZ502" t="s" s="0">
        <v>525</v>
      </c>
      <c r="BA502" t="s" s="0">
        <v>82</v>
      </c>
      <c r="BB502" t="s" s="0">
        <v>82</v>
      </c>
      <c r="BC502" t="s" s="0">
        <v>82</v>
      </c>
      <c r="BD502" t="s" s="0">
        <v>101</v>
      </c>
      <c r="BE502" t="s" s="0">
        <v>82</v>
      </c>
      <c r="BF502" t="s" s="0">
        <v>82</v>
      </c>
      <c r="BG502" t="s" s="0">
        <v>111</v>
      </c>
      <c r="BH502" t="s" s="0">
        <v>1526</v>
      </c>
      <c r="BI502" t="s" s="0">
        <v>82</v>
      </c>
      <c r="BJ502" t="s" s="0">
        <v>11840</v>
      </c>
      <c r="BK502" t="s" s="998">
        <f>HYPERLINK("http://dx.doi.org/10.24820/ark.5550190.p011.304","http://dx.doi.org/10.24820/ark.5550190.p011.304")</f>
        <v>11841</v>
      </c>
      <c r="BL502" t="s" s="0">
        <v>82</v>
      </c>
      <c r="BM502" t="s" s="0">
        <v>82</v>
      </c>
      <c r="BN502" t="s" s="0">
        <v>1320</v>
      </c>
      <c r="BO502" t="s" s="0">
        <v>11842</v>
      </c>
      <c r="BP502" t="s" s="0">
        <v>1041</v>
      </c>
      <c r="BQ502" t="s" s="0">
        <v>11843</v>
      </c>
      <c r="BR502" t="s" s="0">
        <v>82</v>
      </c>
      <c r="BS502" t="s" s="0">
        <v>11844</v>
      </c>
      <c r="BT502" t="s" s="999">
        <f>HYPERLINK("https://www.webofscience.com/wos/woscc/full-record/WOS:000607183100003","View Record in Web of Science")</f>
        <v>120</v>
      </c>
      <c r="BU502" t="s" s="0">
        <v>1008</v>
      </c>
      <c r="BV502" t="s" s="0">
        <v>82</v>
      </c>
      <c r="BW502" t="s" s="0">
        <v>82</v>
      </c>
      <c r="BX502" t="s" s="0">
        <v>122</v>
      </c>
    </row>
    <row r="503">
      <c r="A503" t="s" s="0">
        <v>78</v>
      </c>
      <c r="B503" t="s" s="0">
        <v>78</v>
      </c>
      <c r="C503" t="s" s="0">
        <v>78</v>
      </c>
      <c r="D503" t="s" s="0">
        <v>78</v>
      </c>
      <c r="E503" t="s" s="0">
        <v>11845</v>
      </c>
      <c r="F503" t="s" s="0">
        <v>11846</v>
      </c>
      <c r="G503" t="s" s="0">
        <v>11847</v>
      </c>
      <c r="H503" t="s" s="0">
        <v>82</v>
      </c>
      <c r="I503" t="s" s="0">
        <v>83</v>
      </c>
      <c r="J503" t="s" s="0">
        <v>11848</v>
      </c>
      <c r="K503" t="s" s="0">
        <v>9654</v>
      </c>
      <c r="L503" t="s" s="0">
        <v>82</v>
      </c>
      <c r="M503" t="s" s="0">
        <v>82</v>
      </c>
      <c r="N503" t="s" s="0">
        <v>11849</v>
      </c>
      <c r="O503" t="s" s="0">
        <v>11850</v>
      </c>
      <c r="P503" t="s" s="0">
        <v>11851</v>
      </c>
      <c r="Q503" t="s" s="0">
        <v>91</v>
      </c>
      <c r="R503" t="s" s="0">
        <v>82</v>
      </c>
      <c r="S503" t="s" s="0">
        <v>82</v>
      </c>
      <c r="T503" t="s" s="0">
        <v>82</v>
      </c>
      <c r="U503" t="s" s="0">
        <v>82</v>
      </c>
      <c r="V503" t="s" s="0">
        <v>11852</v>
      </c>
      <c r="W503" t="s" s="0">
        <v>11853</v>
      </c>
      <c r="X503" t="s" s="0">
        <v>82</v>
      </c>
      <c r="Y503" t="s" s="0">
        <v>82</v>
      </c>
      <c r="Z503" t="s" s="0">
        <v>94</v>
      </c>
      <c r="AA503" t="s" s="0">
        <v>95</v>
      </c>
      <c r="AB503" t="s" s="0">
        <v>82</v>
      </c>
      <c r="AC503" t="s" s="0">
        <v>82</v>
      </c>
      <c r="AD503" t="s" s="0">
        <v>82</v>
      </c>
      <c r="AE503" t="s" s="0">
        <v>82</v>
      </c>
      <c r="AF503" t="s" s="0">
        <v>82</v>
      </c>
      <c r="AG503" t="s" s="0">
        <v>11854</v>
      </c>
      <c r="AH503" t="s" s="0">
        <v>11855</v>
      </c>
      <c r="AI503" t="s" s="0">
        <v>82</v>
      </c>
      <c r="AJ503" t="s" s="0">
        <v>82</v>
      </c>
      <c r="AK503" t="s" s="0">
        <v>82</v>
      </c>
      <c r="AL503" t="s" s="0">
        <v>1026</v>
      </c>
      <c r="AM503" t="s" s="0">
        <v>78</v>
      </c>
      <c r="AN503" t="s" s="0">
        <v>78</v>
      </c>
      <c r="AO503" t="s" s="0">
        <v>78</v>
      </c>
      <c r="AP503" t="s" s="0">
        <v>78</v>
      </c>
      <c r="AQ503" t="s" s="0">
        <v>1280</v>
      </c>
      <c r="AR503" t="s" s="0">
        <v>104</v>
      </c>
      <c r="AS503" t="s" s="0">
        <v>1281</v>
      </c>
      <c r="AT503" t="s" s="0">
        <v>11856</v>
      </c>
      <c r="AU503" t="s" s="0">
        <v>11857</v>
      </c>
      <c r="AV503" t="s" s="0">
        <v>82</v>
      </c>
      <c r="AW503" t="s" s="0">
        <v>11858</v>
      </c>
      <c r="AX503" t="s" s="0">
        <v>11859</v>
      </c>
      <c r="AY503" t="s" s="0">
        <v>181</v>
      </c>
      <c r="AZ503" t="s" s="0">
        <v>181</v>
      </c>
      <c r="BA503" t="s" s="0">
        <v>239</v>
      </c>
      <c r="BB503" t="s" s="0">
        <v>82</v>
      </c>
      <c r="BC503" t="s" s="0">
        <v>82</v>
      </c>
      <c r="BD503" t="s" s="0">
        <v>82</v>
      </c>
      <c r="BE503" t="s" s="0">
        <v>82</v>
      </c>
      <c r="BF503" t="s" s="0">
        <v>82</v>
      </c>
      <c r="BG503" t="s" s="0">
        <v>82</v>
      </c>
      <c r="BH503" t="s" s="0">
        <v>82</v>
      </c>
      <c r="BI503" t="s" s="0">
        <v>11860</v>
      </c>
      <c r="BJ503" t="s" s="0">
        <v>11861</v>
      </c>
      <c r="BK503" t="s" s="1000">
        <f>HYPERLINK("http://dx.doi.org/10.1177/20420986261467891","http://dx.doi.org/10.1177/20420986261467891")</f>
        <v>11862</v>
      </c>
      <c r="BL503" t="s" s="0">
        <v>82</v>
      </c>
      <c r="BM503" t="s" s="0">
        <v>82</v>
      </c>
      <c r="BN503" t="s" s="0">
        <v>831</v>
      </c>
      <c r="BO503" t="s" s="0">
        <v>156</v>
      </c>
      <c r="BP503" t="s" s="0">
        <v>156</v>
      </c>
      <c r="BQ503" t="s" s="0">
        <v>11863</v>
      </c>
      <c r="BR503" t="s" s="0">
        <v>11864</v>
      </c>
      <c r="BS503" t="s" s="0">
        <v>11865</v>
      </c>
      <c r="BT503" t="s" s="1001">
        <f>HYPERLINK("https://www.webofscience.com/wos/woscc/full-record/WOS:001829859200001","View Record in Web of Science")</f>
        <v>120</v>
      </c>
      <c r="BU503" t="s" s="0">
        <v>121</v>
      </c>
      <c r="BV503" t="s" s="0">
        <v>82</v>
      </c>
      <c r="BW503" t="s" s="0">
        <v>82</v>
      </c>
      <c r="BX503" t="s" s="0">
        <v>122</v>
      </c>
    </row>
    <row r="504">
      <c r="A504" t="s" s="0">
        <v>78</v>
      </c>
      <c r="B504" t="s" s="0">
        <v>78</v>
      </c>
      <c r="C504" t="s" s="0">
        <v>78</v>
      </c>
      <c r="D504" t="s" s="0">
        <v>78</v>
      </c>
      <c r="E504" t="s" s="0">
        <v>11866</v>
      </c>
      <c r="F504" t="s" s="0">
        <v>11867</v>
      </c>
      <c r="G504" t="s" s="0">
        <v>11868</v>
      </c>
      <c r="H504" t="s" s="0">
        <v>82</v>
      </c>
      <c r="I504" t="s" s="0">
        <v>83</v>
      </c>
      <c r="J504" t="s" s="0">
        <v>11869</v>
      </c>
      <c r="K504" t="s" s="0">
        <v>11870</v>
      </c>
      <c r="L504" t="s" s="0">
        <v>11871</v>
      </c>
      <c r="M504" t="s" s="0">
        <v>11872</v>
      </c>
      <c r="N504" t="s" s="0">
        <v>11873</v>
      </c>
      <c r="O504" t="s" s="0">
        <v>11874</v>
      </c>
      <c r="P504" t="s" s="0">
        <v>11875</v>
      </c>
      <c r="Q504" t="s" s="0">
        <v>91</v>
      </c>
      <c r="R504" t="s" s="0">
        <v>82</v>
      </c>
      <c r="S504" t="s" s="0">
        <v>82</v>
      </c>
      <c r="T504" t="s" s="0">
        <v>82</v>
      </c>
      <c r="U504" t="s" s="0">
        <v>82</v>
      </c>
      <c r="V504" t="s" s="0">
        <v>11876</v>
      </c>
      <c r="W504" t="s" s="0">
        <v>3797</v>
      </c>
      <c r="X504" t="s" s="0">
        <v>82</v>
      </c>
      <c r="Y504" t="s" s="0">
        <v>82</v>
      </c>
      <c r="Z504" t="s" s="0">
        <v>94</v>
      </c>
      <c r="AA504" t="s" s="0">
        <v>95</v>
      </c>
      <c r="AB504" t="s" s="0">
        <v>82</v>
      </c>
      <c r="AC504" t="s" s="0">
        <v>82</v>
      </c>
      <c r="AD504" t="s" s="0">
        <v>82</v>
      </c>
      <c r="AE504" t="s" s="0">
        <v>82</v>
      </c>
      <c r="AF504" t="s" s="0">
        <v>82</v>
      </c>
      <c r="AG504" t="s" s="0">
        <v>11877</v>
      </c>
      <c r="AH504" t="s" s="0">
        <v>11878</v>
      </c>
      <c r="AI504" t="s" s="0">
        <v>11879</v>
      </c>
      <c r="AJ504" t="s" s="0">
        <v>11880</v>
      </c>
      <c r="AK504" t="s" s="0">
        <v>82</v>
      </c>
      <c r="AL504" t="s" s="0">
        <v>273</v>
      </c>
      <c r="AM504" t="s" s="0">
        <v>102</v>
      </c>
      <c r="AN504" t="s" s="0">
        <v>102</v>
      </c>
      <c r="AO504" t="s" s="0">
        <v>447</v>
      </c>
      <c r="AP504" t="s" s="0">
        <v>149</v>
      </c>
      <c r="AQ504" t="s" s="0">
        <v>202</v>
      </c>
      <c r="AR504" t="s" s="0">
        <v>203</v>
      </c>
      <c r="AS504" t="s" s="0">
        <v>204</v>
      </c>
      <c r="AT504" t="s" s="0">
        <v>3801</v>
      </c>
      <c r="AU504" t="s" s="0">
        <v>3802</v>
      </c>
      <c r="AV504" t="s" s="0">
        <v>82</v>
      </c>
      <c r="AW504" t="s" s="0">
        <v>3803</v>
      </c>
      <c r="AX504" t="s" s="0">
        <v>3804</v>
      </c>
      <c r="AY504" t="s" s="0">
        <v>1191</v>
      </c>
      <c r="AZ504" t="s" s="0">
        <v>147</v>
      </c>
      <c r="BA504" t="s" s="0">
        <v>273</v>
      </c>
      <c r="BB504" t="s" s="0">
        <v>77</v>
      </c>
      <c r="BC504" t="s" s="0">
        <v>82</v>
      </c>
      <c r="BD504" t="s" s="0">
        <v>82</v>
      </c>
      <c r="BE504" t="s" s="0">
        <v>82</v>
      </c>
      <c r="BF504" t="s" s="0">
        <v>82</v>
      </c>
      <c r="BG504" t="s" s="0">
        <v>11881</v>
      </c>
      <c r="BH504" t="s" s="0">
        <v>1287</v>
      </c>
      <c r="BI504" t="s" s="0">
        <v>82</v>
      </c>
      <c r="BJ504" t="s" s="0">
        <v>11882</v>
      </c>
      <c r="BK504" t="s" s="1002">
        <f>HYPERLINK("http://dx.doi.org/10.1016/j.acra.2024.08.028","http://dx.doi.org/10.1016/j.acra.2024.08.028")</f>
        <v>11883</v>
      </c>
      <c r="BL504" t="s" s="0">
        <v>82</v>
      </c>
      <c r="BM504" t="s" s="0">
        <v>1191</v>
      </c>
      <c r="BN504" t="s" s="0">
        <v>245</v>
      </c>
      <c r="BO504" t="s" s="0">
        <v>414</v>
      </c>
      <c r="BP504" t="s" s="0">
        <v>414</v>
      </c>
      <c r="BQ504" t="s" s="0">
        <v>11884</v>
      </c>
      <c r="BR504" t="s" s="0">
        <v>11885</v>
      </c>
      <c r="BS504" t="s" s="0">
        <v>11886</v>
      </c>
      <c r="BT504" t="s" s="1003">
        <f>HYPERLINK("https://www.webofscience.com/wos/woscc/full-record/WOS:001433656200001","View Record in Web of Science")</f>
        <v>120</v>
      </c>
      <c r="BU504" t="s" s="0">
        <v>82</v>
      </c>
      <c r="BV504" t="s" s="0">
        <v>82</v>
      </c>
      <c r="BW504" t="s" s="0">
        <v>82</v>
      </c>
      <c r="BX504" t="s" s="0">
        <v>122</v>
      </c>
    </row>
    <row r="505">
      <c r="A505" t="s" s="0">
        <v>78</v>
      </c>
      <c r="B505" t="s" s="0">
        <v>78</v>
      </c>
      <c r="C505" t="s" s="0">
        <v>77</v>
      </c>
      <c r="D505" t="s" s="0">
        <v>78</v>
      </c>
      <c r="E505" t="s" s="0">
        <v>11887</v>
      </c>
      <c r="F505" t="s" s="0">
        <v>11888</v>
      </c>
      <c r="G505" t="s" s="0">
        <v>11889</v>
      </c>
      <c r="H505" t="s" s="0">
        <v>82</v>
      </c>
      <c r="I505" t="s" s="0">
        <v>83</v>
      </c>
      <c r="J505" t="s" s="0">
        <v>11890</v>
      </c>
      <c r="K505" t="s" s="0">
        <v>11891</v>
      </c>
      <c r="L505" t="s" s="0">
        <v>11892</v>
      </c>
      <c r="M505" t="s" s="0">
        <v>11892</v>
      </c>
      <c r="N505" t="s" s="0">
        <v>11893</v>
      </c>
      <c r="O505" t="s" s="0">
        <v>11894</v>
      </c>
      <c r="P505" t="s" s="0">
        <v>11895</v>
      </c>
      <c r="Q505" t="s" s="0">
        <v>91</v>
      </c>
      <c r="R505" t="s" s="0">
        <v>82</v>
      </c>
      <c r="S505" t="s" s="0">
        <v>82</v>
      </c>
      <c r="T505" t="s" s="0">
        <v>82</v>
      </c>
      <c r="U505" t="s" s="0">
        <v>82</v>
      </c>
      <c r="V505" t="s" s="0">
        <v>11896</v>
      </c>
      <c r="W505" t="s" s="0">
        <v>3340</v>
      </c>
      <c r="X505" t="s" s="0">
        <v>82</v>
      </c>
      <c r="Y505" t="s" s="0">
        <v>82</v>
      </c>
      <c r="Z505" t="s" s="0">
        <v>94</v>
      </c>
      <c r="AA505" t="s" s="0">
        <v>95</v>
      </c>
      <c r="AB505" t="s" s="0">
        <v>82</v>
      </c>
      <c r="AC505" t="s" s="0">
        <v>82</v>
      </c>
      <c r="AD505" t="s" s="0">
        <v>82</v>
      </c>
      <c r="AE505" t="s" s="0">
        <v>82</v>
      </c>
      <c r="AF505" t="s" s="0">
        <v>82</v>
      </c>
      <c r="AG505" t="s" s="0">
        <v>11897</v>
      </c>
      <c r="AH505" t="s" s="0">
        <v>11898</v>
      </c>
      <c r="AI505" t="s" s="0">
        <v>11899</v>
      </c>
      <c r="AJ505" t="s" s="0">
        <v>11900</v>
      </c>
      <c r="AK505" t="s" s="0">
        <v>82</v>
      </c>
      <c r="AL505" t="s" s="0">
        <v>890</v>
      </c>
      <c r="AM505" t="s" s="0">
        <v>375</v>
      </c>
      <c r="AN505" t="s" s="0">
        <v>138</v>
      </c>
      <c r="AO505" t="s" s="0">
        <v>447</v>
      </c>
      <c r="AP505" t="s" s="0">
        <v>149</v>
      </c>
      <c r="AQ505" t="s" s="0">
        <v>277</v>
      </c>
      <c r="AR505" t="s" s="0">
        <v>278</v>
      </c>
      <c r="AS505" t="s" s="0">
        <v>279</v>
      </c>
      <c r="AT505" t="s" s="0">
        <v>82</v>
      </c>
      <c r="AU505" t="s" s="0">
        <v>3345</v>
      </c>
      <c r="AV505" t="s" s="0">
        <v>82</v>
      </c>
      <c r="AW505" t="s" s="0">
        <v>3340</v>
      </c>
      <c r="AX505" t="s" s="0">
        <v>3346</v>
      </c>
      <c r="AY505" t="s" s="0">
        <v>243</v>
      </c>
      <c r="AZ505" t="s" s="0">
        <v>110</v>
      </c>
      <c r="BA505" t="s" s="0">
        <v>717</v>
      </c>
      <c r="BB505" t="s" s="0">
        <v>82</v>
      </c>
      <c r="BC505" t="s" s="0">
        <v>82</v>
      </c>
      <c r="BD505" t="s" s="0">
        <v>82</v>
      </c>
      <c r="BE505" t="s" s="0">
        <v>82</v>
      </c>
      <c r="BF505" t="s" s="0">
        <v>82</v>
      </c>
      <c r="BG505" t="s" s="0">
        <v>82</v>
      </c>
      <c r="BH505" t="s" s="0">
        <v>82</v>
      </c>
      <c r="BI505" t="s" s="0">
        <v>11901</v>
      </c>
      <c r="BJ505" t="s" s="0">
        <v>11902</v>
      </c>
      <c r="BK505" t="s" s="1004">
        <f>HYPERLINK("http://dx.doi.org/10.1016/j.eclinm.2024.102802","http://dx.doi.org/10.1016/j.eclinm.2024.102802")</f>
        <v>11903</v>
      </c>
      <c r="BL505" t="s" s="0">
        <v>82</v>
      </c>
      <c r="BM505" t="s" s="0">
        <v>82</v>
      </c>
      <c r="BN505" t="s" s="0">
        <v>137</v>
      </c>
      <c r="BO505" t="s" s="0">
        <v>354</v>
      </c>
      <c r="BP505" t="s" s="0">
        <v>355</v>
      </c>
      <c r="BQ505" t="s" s="0">
        <v>11904</v>
      </c>
      <c r="BR505" t="s" s="0">
        <v>11905</v>
      </c>
      <c r="BS505" t="s" s="0">
        <v>11906</v>
      </c>
      <c r="BT505" t="s" s="1005">
        <f>HYPERLINK("https://www.webofscience.com/wos/woscc/full-record/WOS:001319451600001","View Record in Web of Science")</f>
        <v>120</v>
      </c>
      <c r="BU505" t="s" s="0">
        <v>1537</v>
      </c>
      <c r="BV505" t="s" s="0">
        <v>82</v>
      </c>
      <c r="BW505" t="s" s="0">
        <v>82</v>
      </c>
      <c r="BX505" t="s" s="0">
        <v>122</v>
      </c>
    </row>
    <row r="506">
      <c r="A506" t="s" s="0">
        <v>447</v>
      </c>
      <c r="B506" t="s" s="0">
        <v>78</v>
      </c>
      <c r="C506" t="s" s="0">
        <v>102</v>
      </c>
      <c r="D506" t="s" s="0">
        <v>78</v>
      </c>
      <c r="E506" t="s" s="0">
        <v>11907</v>
      </c>
      <c r="F506" t="s" s="0">
        <v>11908</v>
      </c>
      <c r="G506" t="s" s="0">
        <v>11909</v>
      </c>
      <c r="H506" t="s" s="0">
        <v>82</v>
      </c>
      <c r="I506" t="s" s="0">
        <v>83</v>
      </c>
      <c r="J506" t="s" s="0">
        <v>11910</v>
      </c>
      <c r="K506" t="s" s="0">
        <v>11911</v>
      </c>
      <c r="L506" t="s" s="0">
        <v>11912</v>
      </c>
      <c r="M506" t="s" s="0">
        <v>11913</v>
      </c>
      <c r="N506" t="s" s="0">
        <v>11914</v>
      </c>
      <c r="O506" t="s" s="0">
        <v>11915</v>
      </c>
      <c r="P506" t="s" s="0">
        <v>11916</v>
      </c>
      <c r="Q506" t="s" s="0">
        <v>91</v>
      </c>
      <c r="R506" t="s" s="0">
        <v>82</v>
      </c>
      <c r="S506" t="s" s="0">
        <v>82</v>
      </c>
      <c r="T506" t="s" s="0">
        <v>82</v>
      </c>
      <c r="U506" t="s" s="0">
        <v>82</v>
      </c>
      <c r="V506" t="s" s="0">
        <v>11917</v>
      </c>
      <c r="W506" t="s" s="0">
        <v>3119</v>
      </c>
      <c r="X506" t="s" s="0">
        <v>82</v>
      </c>
      <c r="Y506" t="s" s="0">
        <v>82</v>
      </c>
      <c r="Z506" t="s" s="0">
        <v>94</v>
      </c>
      <c r="AA506" t="s" s="0">
        <v>95</v>
      </c>
      <c r="AB506" t="s" s="0">
        <v>82</v>
      </c>
      <c r="AC506" t="s" s="0">
        <v>82</v>
      </c>
      <c r="AD506" t="s" s="0">
        <v>82</v>
      </c>
      <c r="AE506" t="s" s="0">
        <v>82</v>
      </c>
      <c r="AF506" t="s" s="0">
        <v>82</v>
      </c>
      <c r="AG506" t="s" s="0">
        <v>11918</v>
      </c>
      <c r="AH506" t="s" s="0">
        <v>11919</v>
      </c>
      <c r="AI506" t="s" s="0">
        <v>11920</v>
      </c>
      <c r="AJ506" t="s" s="0">
        <v>11921</v>
      </c>
      <c r="AK506" t="s" s="0">
        <v>82</v>
      </c>
      <c r="AL506" t="s" s="0">
        <v>890</v>
      </c>
      <c r="AM506" t="s" s="0">
        <v>201</v>
      </c>
      <c r="AN506" t="s" s="0">
        <v>1526</v>
      </c>
      <c r="AO506" t="s" s="0">
        <v>78</v>
      </c>
      <c r="AP506" t="s" s="0">
        <v>111</v>
      </c>
      <c r="AQ506" t="s" s="0">
        <v>2051</v>
      </c>
      <c r="AR506" t="s" s="0">
        <v>203</v>
      </c>
      <c r="AS506" t="s" s="0">
        <v>2052</v>
      </c>
      <c r="AT506" t="s" s="0">
        <v>3121</v>
      </c>
      <c r="AU506" t="s" s="0">
        <v>3122</v>
      </c>
      <c r="AV506" t="s" s="0">
        <v>82</v>
      </c>
      <c r="AW506" t="s" s="0">
        <v>3123</v>
      </c>
      <c r="AX506" t="s" s="0">
        <v>3124</v>
      </c>
      <c r="AY506" t="s" s="0">
        <v>1661</v>
      </c>
      <c r="AZ506" t="s" s="0">
        <v>525</v>
      </c>
      <c r="BA506" t="s" s="0">
        <v>890</v>
      </c>
      <c r="BB506" t="s" s="0">
        <v>221</v>
      </c>
      <c r="BC506" t="s" s="0">
        <v>82</v>
      </c>
      <c r="BD506" t="s" s="0">
        <v>82</v>
      </c>
      <c r="BE506" t="s" s="0">
        <v>82</v>
      </c>
      <c r="BF506" t="s" s="0">
        <v>82</v>
      </c>
      <c r="BG506" t="s" s="0">
        <v>11922</v>
      </c>
      <c r="BH506" t="s" s="0">
        <v>11923</v>
      </c>
      <c r="BI506" t="s" s="0">
        <v>82</v>
      </c>
      <c r="BJ506" t="s" s="0">
        <v>11924</v>
      </c>
      <c r="BK506" t="s" s="1006">
        <f>HYPERLINK("http://dx.doi.org/10.1007/s10278-021-00499-2","http://dx.doi.org/10.1007/s10278-021-00499-2")</f>
        <v>11925</v>
      </c>
      <c r="BL506" t="s" s="0">
        <v>82</v>
      </c>
      <c r="BM506" t="s" s="0">
        <v>4669</v>
      </c>
      <c r="BN506" t="s" s="0">
        <v>137</v>
      </c>
      <c r="BO506" t="s" s="0">
        <v>414</v>
      </c>
      <c r="BP506" t="s" s="0">
        <v>414</v>
      </c>
      <c r="BQ506" t="s" s="0">
        <v>11926</v>
      </c>
      <c r="BR506" t="s" s="0">
        <v>11927</v>
      </c>
      <c r="BS506" t="s" s="0">
        <v>11928</v>
      </c>
      <c r="BT506" t="s" s="1007">
        <f>HYPERLINK("https://www.webofscience.com/wos/woscc/full-record/WOS:000684057100001","View Record in Web of Science")</f>
        <v>120</v>
      </c>
      <c r="BU506" t="s" s="0">
        <v>1265</v>
      </c>
      <c r="BV506" t="s" s="0">
        <v>82</v>
      </c>
      <c r="BW506" t="s" s="0">
        <v>82</v>
      </c>
      <c r="BX506" t="s" s="0">
        <v>122</v>
      </c>
    </row>
    <row r="507">
      <c r="A507" t="s" s="0">
        <v>78</v>
      </c>
      <c r="B507" t="s" s="0">
        <v>78</v>
      </c>
      <c r="C507" t="s" s="0">
        <v>102</v>
      </c>
      <c r="D507" t="s" s="0">
        <v>78</v>
      </c>
      <c r="E507" t="s" s="0">
        <v>11929</v>
      </c>
      <c r="F507" t="s" s="0">
        <v>11930</v>
      </c>
      <c r="G507" t="s" s="0">
        <v>11931</v>
      </c>
      <c r="H507" t="s" s="0">
        <v>82</v>
      </c>
      <c r="I507" t="s" s="0">
        <v>83</v>
      </c>
      <c r="J507" t="s" s="0">
        <v>11932</v>
      </c>
      <c r="K507" t="s" s="0">
        <v>11933</v>
      </c>
      <c r="L507" t="s" s="0">
        <v>11934</v>
      </c>
      <c r="M507" t="s" s="0">
        <v>11934</v>
      </c>
      <c r="N507" t="s" s="0">
        <v>11934</v>
      </c>
      <c r="O507" t="s" s="0">
        <v>11935</v>
      </c>
      <c r="P507" t="s" s="0">
        <v>11936</v>
      </c>
      <c r="Q507" t="s" s="0">
        <v>91</v>
      </c>
      <c r="R507" t="s" s="0">
        <v>82</v>
      </c>
      <c r="S507" t="s" s="0">
        <v>82</v>
      </c>
      <c r="T507" t="s" s="0">
        <v>82</v>
      </c>
      <c r="U507" t="s" s="0">
        <v>82</v>
      </c>
      <c r="V507" t="s" s="0">
        <v>11937</v>
      </c>
      <c r="W507" t="s" s="0">
        <v>3637</v>
      </c>
      <c r="X507" t="s" s="0">
        <v>82</v>
      </c>
      <c r="Y507" t="s" s="0">
        <v>82</v>
      </c>
      <c r="Z507" t="s" s="0">
        <v>94</v>
      </c>
      <c r="AA507" t="s" s="0">
        <v>95</v>
      </c>
      <c r="AB507" t="s" s="0">
        <v>82</v>
      </c>
      <c r="AC507" t="s" s="0">
        <v>82</v>
      </c>
      <c r="AD507" t="s" s="0">
        <v>82</v>
      </c>
      <c r="AE507" t="s" s="0">
        <v>82</v>
      </c>
      <c r="AF507" t="s" s="0">
        <v>82</v>
      </c>
      <c r="AG507" t="s" s="0">
        <v>82</v>
      </c>
      <c r="AH507" t="s" s="0">
        <v>82</v>
      </c>
      <c r="AI507" t="s" s="0">
        <v>11938</v>
      </c>
      <c r="AJ507" t="s" s="0">
        <v>11939</v>
      </c>
      <c r="AK507" t="s" s="0">
        <v>82</v>
      </c>
      <c r="AL507" t="s" s="0">
        <v>1161</v>
      </c>
      <c r="AM507" t="s" s="0">
        <v>136</v>
      </c>
      <c r="AN507" t="s" s="0">
        <v>245</v>
      </c>
      <c r="AO507" t="s" s="0">
        <v>78</v>
      </c>
      <c r="AP507" t="s" s="0">
        <v>78</v>
      </c>
      <c r="AQ507" t="s" s="0">
        <v>633</v>
      </c>
      <c r="AR507" t="s" s="0">
        <v>634</v>
      </c>
      <c r="AS507" t="s" s="0">
        <v>635</v>
      </c>
      <c r="AT507" t="s" s="0">
        <v>3642</v>
      </c>
      <c r="AU507" t="s" s="0">
        <v>82</v>
      </c>
      <c r="AV507" t="s" s="0">
        <v>82</v>
      </c>
      <c r="AW507" t="s" s="0">
        <v>3643</v>
      </c>
      <c r="AX507" t="s" s="0">
        <v>3644</v>
      </c>
      <c r="AY507" t="s" s="0">
        <v>11940</v>
      </c>
      <c r="AZ507" t="s" s="0">
        <v>210</v>
      </c>
      <c r="BA507" t="s" s="0">
        <v>115</v>
      </c>
      <c r="BB507" t="s" s="0">
        <v>77</v>
      </c>
      <c r="BC507" t="s" s="0">
        <v>82</v>
      </c>
      <c r="BD507" t="s" s="0">
        <v>82</v>
      </c>
      <c r="BE507" t="s" s="0">
        <v>82</v>
      </c>
      <c r="BF507" t="s" s="0">
        <v>82</v>
      </c>
      <c r="BG507" t="s" s="0">
        <v>82</v>
      </c>
      <c r="BH507" t="s" s="0">
        <v>82</v>
      </c>
      <c r="BI507" t="s" s="0">
        <v>11941</v>
      </c>
      <c r="BJ507" t="s" s="0">
        <v>11942</v>
      </c>
      <c r="BK507" t="s" s="1008">
        <f>HYPERLINK("http://dx.doi.org/10.1038/s41598-023-44818-9","http://dx.doi.org/10.1038/s41598-023-44818-9")</f>
        <v>11943</v>
      </c>
      <c r="BL507" t="s" s="0">
        <v>82</v>
      </c>
      <c r="BM507" t="s" s="0">
        <v>82</v>
      </c>
      <c r="BN507" t="s" s="0">
        <v>149</v>
      </c>
      <c r="BO507" t="s" s="0">
        <v>644</v>
      </c>
      <c r="BP507" t="s" s="0">
        <v>645</v>
      </c>
      <c r="BQ507" t="s" s="0">
        <v>11944</v>
      </c>
      <c r="BR507" t="s" s="0">
        <v>11945</v>
      </c>
      <c r="BS507" t="s" s="0">
        <v>11946</v>
      </c>
      <c r="BT507" t="s" s="1009">
        <f>HYPERLINK("https://www.webofscience.com/wos/woscc/full-record/WOS:001087127100087","View Record in Web of Science")</f>
        <v>120</v>
      </c>
      <c r="BU507" t="s" s="0">
        <v>121</v>
      </c>
      <c r="BV507" t="s" s="0">
        <v>82</v>
      </c>
      <c r="BW507" t="s" s="0">
        <v>82</v>
      </c>
      <c r="BX507" t="s" s="0">
        <v>122</v>
      </c>
    </row>
    <row r="508">
      <c r="A508" t="s" s="0">
        <v>78</v>
      </c>
      <c r="B508" t="s" s="0">
        <v>78</v>
      </c>
      <c r="C508" t="s" s="0">
        <v>77</v>
      </c>
      <c r="D508" t="s" s="0">
        <v>78</v>
      </c>
      <c r="E508" t="s" s="0">
        <v>11947</v>
      </c>
      <c r="F508" t="s" s="0">
        <v>11948</v>
      </c>
      <c r="G508" t="s" s="0">
        <v>11949</v>
      </c>
      <c r="H508" t="s" s="0">
        <v>82</v>
      </c>
      <c r="I508" t="s" s="0">
        <v>83</v>
      </c>
      <c r="J508" t="s" s="0">
        <v>11950</v>
      </c>
      <c r="K508" t="s" s="0">
        <v>11951</v>
      </c>
      <c r="L508" t="s" s="0">
        <v>11952</v>
      </c>
      <c r="M508" t="s" s="0">
        <v>11953</v>
      </c>
      <c r="N508" t="s" s="0">
        <v>11954</v>
      </c>
      <c r="O508" t="s" s="0">
        <v>11955</v>
      </c>
      <c r="P508" t="s" s="0">
        <v>11956</v>
      </c>
      <c r="Q508" t="s" s="0">
        <v>91</v>
      </c>
      <c r="R508" t="s" s="0">
        <v>82</v>
      </c>
      <c r="S508" t="s" s="0">
        <v>82</v>
      </c>
      <c r="T508" t="s" s="0">
        <v>82</v>
      </c>
      <c r="U508" t="s" s="0">
        <v>82</v>
      </c>
      <c r="V508" t="s" s="0">
        <v>11957</v>
      </c>
      <c r="W508" t="s" s="0">
        <v>1992</v>
      </c>
      <c r="X508" t="s" s="0">
        <v>82</v>
      </c>
      <c r="Y508" t="s" s="0">
        <v>82</v>
      </c>
      <c r="Z508" t="s" s="0">
        <v>94</v>
      </c>
      <c r="AA508" t="s" s="0">
        <v>95</v>
      </c>
      <c r="AB508" t="s" s="0">
        <v>82</v>
      </c>
      <c r="AC508" t="s" s="0">
        <v>82</v>
      </c>
      <c r="AD508" t="s" s="0">
        <v>82</v>
      </c>
      <c r="AE508" t="s" s="0">
        <v>82</v>
      </c>
      <c r="AF508" t="s" s="0">
        <v>82</v>
      </c>
      <c r="AG508" t="s" s="0">
        <v>11958</v>
      </c>
      <c r="AH508" t="s" s="0">
        <v>11959</v>
      </c>
      <c r="AI508" t="s" s="0">
        <v>11960</v>
      </c>
      <c r="AJ508" t="s" s="0">
        <v>11961</v>
      </c>
      <c r="AK508" t="s" s="0">
        <v>82</v>
      </c>
      <c r="AL508" t="s" s="0">
        <v>273</v>
      </c>
      <c r="AM508" t="s" s="0">
        <v>137</v>
      </c>
      <c r="AN508" t="s" s="0">
        <v>137</v>
      </c>
      <c r="AO508" t="s" s="0">
        <v>78</v>
      </c>
      <c r="AP508" t="s" s="0">
        <v>447</v>
      </c>
      <c r="AQ508" t="s" s="0">
        <v>1996</v>
      </c>
      <c r="AR508" t="s" s="0">
        <v>1997</v>
      </c>
      <c r="AS508" t="s" s="0">
        <v>1998</v>
      </c>
      <c r="AT508" t="s" s="0">
        <v>1999</v>
      </c>
      <c r="AU508" t="s" s="0">
        <v>2000</v>
      </c>
      <c r="AV508" t="s" s="0">
        <v>82</v>
      </c>
      <c r="AW508" t="s" s="0">
        <v>2001</v>
      </c>
      <c r="AX508" t="s" s="0">
        <v>2002</v>
      </c>
      <c r="AY508" t="s" s="0">
        <v>552</v>
      </c>
      <c r="AZ508" t="s" s="0">
        <v>210</v>
      </c>
      <c r="BA508" t="s" s="0">
        <v>2325</v>
      </c>
      <c r="BB508" t="s" s="0">
        <v>221</v>
      </c>
      <c r="BC508" t="s" s="0">
        <v>82</v>
      </c>
      <c r="BD508" t="s" s="0">
        <v>82</v>
      </c>
      <c r="BE508" t="s" s="0">
        <v>82</v>
      </c>
      <c r="BF508" t="s" s="0">
        <v>82</v>
      </c>
      <c r="BG508" t="s" s="0">
        <v>11962</v>
      </c>
      <c r="BH508" t="s" s="0">
        <v>11963</v>
      </c>
      <c r="BI508" t="s" s="0">
        <v>82</v>
      </c>
      <c r="BJ508" t="s" s="0">
        <v>11964</v>
      </c>
      <c r="BK508" t="s" s="1010">
        <f>HYPERLINK("http://dx.doi.org/10.2214/AJR.23.29414","http://dx.doi.org/10.2214/AJR.23.29414")</f>
        <v>11965</v>
      </c>
      <c r="BL508" t="s" s="0">
        <v>82</v>
      </c>
      <c r="BM508" t="s" s="0">
        <v>82</v>
      </c>
      <c r="BN508" t="s" s="0">
        <v>115</v>
      </c>
      <c r="BO508" t="s" s="0">
        <v>414</v>
      </c>
      <c r="BP508" t="s" s="0">
        <v>414</v>
      </c>
      <c r="BQ508" t="s" s="0">
        <v>11966</v>
      </c>
      <c r="BR508" t="s" s="0">
        <v>11967</v>
      </c>
      <c r="BS508" t="s" s="0">
        <v>11968</v>
      </c>
      <c r="BT508" t="s" s="1011">
        <f>HYPERLINK("https://www.webofscience.com/wos/woscc/full-record/WOS:001152520400007","View Record in Web of Science")</f>
        <v>120</v>
      </c>
      <c r="BU508" t="s" s="0">
        <v>846</v>
      </c>
      <c r="BV508" t="s" s="0">
        <v>82</v>
      </c>
      <c r="BW508" t="s" s="0">
        <v>82</v>
      </c>
      <c r="BX508" t="s" s="0">
        <v>122</v>
      </c>
    </row>
    <row r="509">
      <c r="A509" t="s" s="0">
        <v>77</v>
      </c>
      <c r="B509" t="s" s="0">
        <v>78</v>
      </c>
      <c r="C509" t="s" s="0">
        <v>447</v>
      </c>
      <c r="D509" t="s" s="0">
        <v>78</v>
      </c>
      <c r="E509" t="s" s="0">
        <v>11969</v>
      </c>
      <c r="F509" t="s" s="0">
        <v>11970</v>
      </c>
      <c r="G509" t="s" s="0">
        <v>11971</v>
      </c>
      <c r="H509" t="s" s="0">
        <v>82</v>
      </c>
      <c r="I509" t="s" s="0">
        <v>83</v>
      </c>
      <c r="J509" t="s" s="0">
        <v>11972</v>
      </c>
      <c r="K509" t="s" s="0">
        <v>11973</v>
      </c>
      <c r="L509" t="s" s="0">
        <v>11974</v>
      </c>
      <c r="M509" t="s" s="0">
        <v>11975</v>
      </c>
      <c r="N509" t="s" s="0">
        <v>11976</v>
      </c>
      <c r="O509" t="s" s="0">
        <v>11977</v>
      </c>
      <c r="P509" t="s" s="0">
        <v>11978</v>
      </c>
      <c r="Q509" t="s" s="0">
        <v>91</v>
      </c>
      <c r="R509" t="s" s="0">
        <v>82</v>
      </c>
      <c r="S509" t="s" s="0">
        <v>82</v>
      </c>
      <c r="T509" t="s" s="0">
        <v>82</v>
      </c>
      <c r="U509" t="s" s="0">
        <v>82</v>
      </c>
      <c r="V509" t="s" s="0">
        <v>11979</v>
      </c>
      <c r="W509" t="s" s="0">
        <v>340</v>
      </c>
      <c r="X509" t="s" s="0">
        <v>82</v>
      </c>
      <c r="Y509" t="s" s="0">
        <v>82</v>
      </c>
      <c r="Z509" t="s" s="0">
        <v>94</v>
      </c>
      <c r="AA509" t="s" s="0">
        <v>95</v>
      </c>
      <c r="AB509" t="s" s="0">
        <v>82</v>
      </c>
      <c r="AC509" t="s" s="0">
        <v>82</v>
      </c>
      <c r="AD509" t="s" s="0">
        <v>82</v>
      </c>
      <c r="AE509" t="s" s="0">
        <v>82</v>
      </c>
      <c r="AF509" t="s" s="0">
        <v>82</v>
      </c>
      <c r="AG509" t="s" s="0">
        <v>11980</v>
      </c>
      <c r="AH509" t="s" s="0">
        <v>11981</v>
      </c>
      <c r="AI509" t="s" s="0">
        <v>11982</v>
      </c>
      <c r="AJ509" t="s" s="0">
        <v>11983</v>
      </c>
      <c r="AK509" t="s" s="0">
        <v>82</v>
      </c>
      <c r="AL509" t="s" s="0">
        <v>830</v>
      </c>
      <c r="AM509" t="s" s="0">
        <v>149</v>
      </c>
      <c r="AN509" t="s" s="0">
        <v>349</v>
      </c>
      <c r="AO509" t="s" s="0">
        <v>78</v>
      </c>
      <c r="AP509" t="s" s="0">
        <v>102</v>
      </c>
      <c r="AQ509" t="s" s="0">
        <v>312</v>
      </c>
      <c r="AR509" t="s" s="0">
        <v>313</v>
      </c>
      <c r="AS509" t="s" s="0">
        <v>314</v>
      </c>
      <c r="AT509" t="s" s="0">
        <v>82</v>
      </c>
      <c r="AU509" t="s" s="0">
        <v>345</v>
      </c>
      <c r="AV509" t="s" s="0">
        <v>82</v>
      </c>
      <c r="AW509" t="s" s="0">
        <v>346</v>
      </c>
      <c r="AX509" t="s" s="0">
        <v>347</v>
      </c>
      <c r="AY509" t="s" s="0">
        <v>5023</v>
      </c>
      <c r="AZ509" t="s" s="0">
        <v>210</v>
      </c>
      <c r="BA509" t="s" s="0">
        <v>149</v>
      </c>
      <c r="BB509" t="s" s="0">
        <v>149</v>
      </c>
      <c r="BC509" t="s" s="0">
        <v>82</v>
      </c>
      <c r="BD509" t="s" s="0">
        <v>82</v>
      </c>
      <c r="BE509" t="s" s="0">
        <v>82</v>
      </c>
      <c r="BF509" t="s" s="0">
        <v>82</v>
      </c>
      <c r="BG509" t="s" s="0">
        <v>82</v>
      </c>
      <c r="BH509" t="s" s="0">
        <v>82</v>
      </c>
      <c r="BI509" t="s" s="0">
        <v>11984</v>
      </c>
      <c r="BJ509" t="s" s="0">
        <v>11985</v>
      </c>
      <c r="BK509" t="s" s="1012">
        <f>HYPERLINK("http://dx.doi.org/10.3390/jcm12124005","http://dx.doi.org/10.3390/jcm12124005")</f>
        <v>11986</v>
      </c>
      <c r="BL509" t="s" s="0">
        <v>82</v>
      </c>
      <c r="BM509" t="s" s="0">
        <v>82</v>
      </c>
      <c r="BN509" t="s" s="0">
        <v>323</v>
      </c>
      <c r="BO509" t="s" s="0">
        <v>354</v>
      </c>
      <c r="BP509" t="s" s="0">
        <v>355</v>
      </c>
      <c r="BQ509" t="s" s="0">
        <v>11987</v>
      </c>
      <c r="BR509" t="s" s="0">
        <v>11988</v>
      </c>
      <c r="BS509" t="s" s="0">
        <v>11989</v>
      </c>
      <c r="BT509" t="s" s="1013">
        <f>HYPERLINK("https://www.webofscience.com/wos/woscc/full-record/WOS:001017245500001","View Record in Web of Science")</f>
        <v>120</v>
      </c>
      <c r="BU509" t="s" s="0">
        <v>121</v>
      </c>
      <c r="BV509" t="s" s="0">
        <v>82</v>
      </c>
      <c r="BW509" t="s" s="0">
        <v>82</v>
      </c>
      <c r="BX509" t="s" s="0">
        <v>122</v>
      </c>
    </row>
    <row r="510">
      <c r="A510" t="s" s="0">
        <v>78</v>
      </c>
      <c r="B510" t="s" s="0">
        <v>78</v>
      </c>
      <c r="C510" t="s" s="0">
        <v>78</v>
      </c>
      <c r="D510" t="s" s="0">
        <v>78</v>
      </c>
      <c r="E510" t="s" s="0">
        <v>11990</v>
      </c>
      <c r="F510" t="s" s="0">
        <v>11991</v>
      </c>
      <c r="G510" t="s" s="0">
        <v>11992</v>
      </c>
      <c r="H510" t="s" s="0">
        <v>82</v>
      </c>
      <c r="I510" t="s" s="0">
        <v>83</v>
      </c>
      <c r="J510" t="s" s="0">
        <v>11993</v>
      </c>
      <c r="K510" t="s" s="0">
        <v>11994</v>
      </c>
      <c r="L510" t="s" s="0">
        <v>4416</v>
      </c>
      <c r="M510" t="s" s="0">
        <v>4417</v>
      </c>
      <c r="N510" t="s" s="0">
        <v>11995</v>
      </c>
      <c r="O510" t="s" s="0">
        <v>11996</v>
      </c>
      <c r="P510" t="s" s="0">
        <v>11997</v>
      </c>
      <c r="Q510" t="s" s="0">
        <v>91</v>
      </c>
      <c r="R510" t="s" s="0">
        <v>82</v>
      </c>
      <c r="S510" t="s" s="0">
        <v>82</v>
      </c>
      <c r="T510" t="s" s="0">
        <v>82</v>
      </c>
      <c r="U510" t="s" s="0">
        <v>82</v>
      </c>
      <c r="V510" t="s" s="0">
        <v>11998</v>
      </c>
      <c r="W510" t="s" s="0">
        <v>3900</v>
      </c>
      <c r="X510" t="s" s="0">
        <v>82</v>
      </c>
      <c r="Y510" t="s" s="0">
        <v>82</v>
      </c>
      <c r="Z510" t="s" s="0">
        <v>94</v>
      </c>
      <c r="AA510" t="s" s="0">
        <v>95</v>
      </c>
      <c r="AB510" t="s" s="0">
        <v>82</v>
      </c>
      <c r="AC510" t="s" s="0">
        <v>82</v>
      </c>
      <c r="AD510" t="s" s="0">
        <v>82</v>
      </c>
      <c r="AE510" t="s" s="0">
        <v>82</v>
      </c>
      <c r="AF510" t="s" s="0">
        <v>82</v>
      </c>
      <c r="AG510" t="s" s="0">
        <v>11999</v>
      </c>
      <c r="AH510" t="s" s="0">
        <v>82</v>
      </c>
      <c r="AI510" t="s" s="0">
        <v>12000</v>
      </c>
      <c r="AJ510" t="s" s="0">
        <v>12001</v>
      </c>
      <c r="AK510" t="s" s="0">
        <v>82</v>
      </c>
      <c r="AL510" t="s" s="0">
        <v>201</v>
      </c>
      <c r="AM510" t="s" s="0">
        <v>101</v>
      </c>
      <c r="AN510" t="s" s="0">
        <v>101</v>
      </c>
      <c r="AO510" t="s" s="0">
        <v>101</v>
      </c>
      <c r="AP510" t="s" s="0">
        <v>111</v>
      </c>
      <c r="AQ510" t="s" s="0">
        <v>312</v>
      </c>
      <c r="AR510" t="s" s="0">
        <v>313</v>
      </c>
      <c r="AS510" t="s" s="0">
        <v>549</v>
      </c>
      <c r="AT510" t="s" s="0">
        <v>82</v>
      </c>
      <c r="AU510" t="s" s="0">
        <v>3904</v>
      </c>
      <c r="AV510" t="s" s="0">
        <v>82</v>
      </c>
      <c r="AW510" t="s" s="0">
        <v>3900</v>
      </c>
      <c r="AX510" t="s" s="0">
        <v>3905</v>
      </c>
      <c r="AY510" t="s" s="0">
        <v>2370</v>
      </c>
      <c r="AZ510" t="s" s="0">
        <v>110</v>
      </c>
      <c r="BA510" t="s" s="0">
        <v>137</v>
      </c>
      <c r="BB510" t="s" s="0">
        <v>101</v>
      </c>
      <c r="BC510" t="s" s="0">
        <v>82</v>
      </c>
      <c r="BD510" t="s" s="0">
        <v>82</v>
      </c>
      <c r="BE510" t="s" s="0">
        <v>82</v>
      </c>
      <c r="BF510" t="s" s="0">
        <v>82</v>
      </c>
      <c r="BG510" t="s" s="0">
        <v>82</v>
      </c>
      <c r="BH510" t="s" s="0">
        <v>82</v>
      </c>
      <c r="BI510" t="s" s="0">
        <v>12002</v>
      </c>
      <c r="BJ510" t="s" s="0">
        <v>12003</v>
      </c>
      <c r="BK510" t="s" s="1014">
        <f>HYPERLINK("http://dx.doi.org/10.3390/bioengineering11030293","http://dx.doi.org/10.3390/bioengineering11030293")</f>
        <v>12004</v>
      </c>
      <c r="BL510" t="s" s="0">
        <v>82</v>
      </c>
      <c r="BM510" t="s" s="0">
        <v>82</v>
      </c>
      <c r="BN510" t="s" s="0">
        <v>173</v>
      </c>
      <c r="BO510" t="s" s="0">
        <v>3909</v>
      </c>
      <c r="BP510" t="s" s="0">
        <v>3910</v>
      </c>
      <c r="BQ510" t="s" s="0">
        <v>12005</v>
      </c>
      <c r="BR510" t="s" s="0">
        <v>12006</v>
      </c>
      <c r="BS510" t="s" s="0">
        <v>12007</v>
      </c>
      <c r="BT510" t="s" s="1015">
        <f>HYPERLINK("https://www.webofscience.com/wos/woscc/full-record/WOS:001191734700001","View Record in Web of Science")</f>
        <v>120</v>
      </c>
      <c r="BU510" t="s" s="0">
        <v>121</v>
      </c>
      <c r="BV510" t="s" s="0">
        <v>82</v>
      </c>
      <c r="BW510" t="s" s="0">
        <v>82</v>
      </c>
      <c r="BX510" t="s" s="0">
        <v>122</v>
      </c>
    </row>
    <row r="511">
      <c r="A511" t="s" s="0">
        <v>78</v>
      </c>
      <c r="B511" t="s" s="0">
        <v>78</v>
      </c>
      <c r="C511" t="s" s="0">
        <v>77</v>
      </c>
      <c r="D511" t="s" s="0">
        <v>78</v>
      </c>
      <c r="E511" t="s" s="0">
        <v>12008</v>
      </c>
      <c r="F511" t="s" s="0">
        <v>12009</v>
      </c>
      <c r="G511" t="s" s="0">
        <v>12010</v>
      </c>
      <c r="H511" t="s" s="0">
        <v>82</v>
      </c>
      <c r="I511" t="s" s="0">
        <v>83</v>
      </c>
      <c r="J511" t="s" s="0">
        <v>12011</v>
      </c>
      <c r="K511" t="s" s="0">
        <v>12012</v>
      </c>
      <c r="L511" t="s" s="0">
        <v>12013</v>
      </c>
      <c r="M511" t="s" s="0">
        <v>12014</v>
      </c>
      <c r="N511" t="s" s="0">
        <v>12015</v>
      </c>
      <c r="O511" t="s" s="0">
        <v>12016</v>
      </c>
      <c r="P511" t="s" s="0">
        <v>12017</v>
      </c>
      <c r="Q511" t="s" s="0">
        <v>91</v>
      </c>
      <c r="R511" t="s" s="0">
        <v>82</v>
      </c>
      <c r="S511" t="s" s="0">
        <v>82</v>
      </c>
      <c r="T511" t="s" s="0">
        <v>82</v>
      </c>
      <c r="U511" t="s" s="0">
        <v>82</v>
      </c>
      <c r="V511" t="s" s="0">
        <v>12018</v>
      </c>
      <c r="W511" t="s" s="0">
        <v>4192</v>
      </c>
      <c r="X511" t="s" s="0">
        <v>82</v>
      </c>
      <c r="Y511" t="s" s="0">
        <v>82</v>
      </c>
      <c r="Z511" t="s" s="0">
        <v>94</v>
      </c>
      <c r="AA511" t="s" s="0">
        <v>95</v>
      </c>
      <c r="AB511" t="s" s="0">
        <v>82</v>
      </c>
      <c r="AC511" t="s" s="0">
        <v>82</v>
      </c>
      <c r="AD511" t="s" s="0">
        <v>82</v>
      </c>
      <c r="AE511" t="s" s="0">
        <v>82</v>
      </c>
      <c r="AF511" t="s" s="0">
        <v>82</v>
      </c>
      <c r="AG511" t="s" s="0">
        <v>12019</v>
      </c>
      <c r="AH511" t="s" s="0">
        <v>12020</v>
      </c>
      <c r="AI511" t="s" s="0">
        <v>12021</v>
      </c>
      <c r="AJ511" t="s" s="0">
        <v>12022</v>
      </c>
      <c r="AK511" t="s" s="0">
        <v>82</v>
      </c>
      <c r="AL511" t="s" s="0">
        <v>1658</v>
      </c>
      <c r="AM511" t="s" s="0">
        <v>319</v>
      </c>
      <c r="AN511" t="s" s="0">
        <v>245</v>
      </c>
      <c r="AO511" t="s" s="0">
        <v>78</v>
      </c>
      <c r="AP511" t="s" s="0">
        <v>447</v>
      </c>
      <c r="AQ511" t="s" s="0">
        <v>103</v>
      </c>
      <c r="AR511" t="s" s="0">
        <v>104</v>
      </c>
      <c r="AS511" t="s" s="0">
        <v>105</v>
      </c>
      <c r="AT511" t="s" s="0">
        <v>4197</v>
      </c>
      <c r="AU511" t="s" s="0">
        <v>82</v>
      </c>
      <c r="AV511" t="s" s="0">
        <v>82</v>
      </c>
      <c r="AW511" t="s" s="0">
        <v>4198</v>
      </c>
      <c r="AX511" t="s" s="0">
        <v>4199</v>
      </c>
      <c r="AY511" t="s" s="0">
        <v>12023</v>
      </c>
      <c r="AZ511" t="s" s="0">
        <v>110</v>
      </c>
      <c r="BA511" t="s" s="0">
        <v>1320</v>
      </c>
      <c r="BB511" t="s" s="0">
        <v>77</v>
      </c>
      <c r="BC511" t="s" s="0">
        <v>82</v>
      </c>
      <c r="BD511" t="s" s="0">
        <v>82</v>
      </c>
      <c r="BE511" t="s" s="0">
        <v>82</v>
      </c>
      <c r="BF511" t="s" s="0">
        <v>82</v>
      </c>
      <c r="BG511" t="s" s="0">
        <v>82</v>
      </c>
      <c r="BH511" t="s" s="0">
        <v>82</v>
      </c>
      <c r="BI511" t="s" s="0">
        <v>12024</v>
      </c>
      <c r="BJ511" t="s" s="0">
        <v>12025</v>
      </c>
      <c r="BK511" t="s" s="1016">
        <f>HYPERLINK("http://dx.doi.org/10.1186/s13018-024-05128-6","http://dx.doi.org/10.1186/s13018-024-05128-6")</f>
        <v>12026</v>
      </c>
      <c r="BL511" t="s" s="0">
        <v>82</v>
      </c>
      <c r="BM511" t="s" s="0">
        <v>82</v>
      </c>
      <c r="BN511" t="s" s="0">
        <v>136</v>
      </c>
      <c r="BO511" t="s" s="0">
        <v>2964</v>
      </c>
      <c r="BP511" t="s" s="0">
        <v>2964</v>
      </c>
      <c r="BQ511" t="s" s="0">
        <v>12027</v>
      </c>
      <c r="BR511" t="s" s="0">
        <v>12028</v>
      </c>
      <c r="BS511" t="s" s="0">
        <v>12029</v>
      </c>
      <c r="BT511" t="s" s="1017">
        <f>HYPERLINK("https://www.webofscience.com/wos/woscc/full-record/WOS:001331302600002","View Record in Web of Science")</f>
        <v>120</v>
      </c>
      <c r="BU511" t="s" s="0">
        <v>121</v>
      </c>
      <c r="BV511" t="s" s="0">
        <v>82</v>
      </c>
      <c r="BW511" t="s" s="0">
        <v>82</v>
      </c>
      <c r="BX511" t="s" s="0">
        <v>122</v>
      </c>
    </row>
    <row r="512">
      <c r="A512" t="s" s="0">
        <v>77</v>
      </c>
      <c r="B512" t="s" s="0">
        <v>78</v>
      </c>
      <c r="C512" t="s" s="0">
        <v>138</v>
      </c>
      <c r="D512" t="s" s="0">
        <v>78</v>
      </c>
      <c r="E512" t="s" s="0">
        <v>12030</v>
      </c>
      <c r="F512" t="s" s="0">
        <v>12031</v>
      </c>
      <c r="G512" t="s" s="0">
        <v>12032</v>
      </c>
      <c r="H512" t="s" s="0">
        <v>82</v>
      </c>
      <c r="I512" t="s" s="0">
        <v>83</v>
      </c>
      <c r="J512" t="s" s="0">
        <v>12033</v>
      </c>
      <c r="K512" t="s" s="0">
        <v>12034</v>
      </c>
      <c r="L512" t="s" s="0">
        <v>12035</v>
      </c>
      <c r="M512" t="s" s="0">
        <v>12036</v>
      </c>
      <c r="N512" t="s" s="0">
        <v>12037</v>
      </c>
      <c r="O512" t="s" s="0">
        <v>12038</v>
      </c>
      <c r="P512" t="s" s="0">
        <v>12039</v>
      </c>
      <c r="Q512" t="s" s="0">
        <v>91</v>
      </c>
      <c r="R512" t="s" s="0">
        <v>82</v>
      </c>
      <c r="S512" t="s" s="0">
        <v>82</v>
      </c>
      <c r="T512" t="s" s="0">
        <v>82</v>
      </c>
      <c r="U512" t="s" s="0">
        <v>82</v>
      </c>
      <c r="V512" t="s" s="0">
        <v>12040</v>
      </c>
      <c r="W512" t="s" s="0">
        <v>12041</v>
      </c>
      <c r="X512" t="s" s="0">
        <v>82</v>
      </c>
      <c r="Y512" t="s" s="0">
        <v>82</v>
      </c>
      <c r="Z512" t="s" s="0">
        <v>94</v>
      </c>
      <c r="AA512" t="s" s="0">
        <v>95</v>
      </c>
      <c r="AB512" t="s" s="0">
        <v>82</v>
      </c>
      <c r="AC512" t="s" s="0">
        <v>82</v>
      </c>
      <c r="AD512" t="s" s="0">
        <v>82</v>
      </c>
      <c r="AE512" t="s" s="0">
        <v>82</v>
      </c>
      <c r="AF512" t="s" s="0">
        <v>82</v>
      </c>
      <c r="AG512" t="s" s="0">
        <v>12042</v>
      </c>
      <c r="AH512" t="s" s="0">
        <v>12043</v>
      </c>
      <c r="AI512" t="s" s="0">
        <v>82</v>
      </c>
      <c r="AJ512" t="s" s="0">
        <v>12044</v>
      </c>
      <c r="AK512" t="s" s="0">
        <v>82</v>
      </c>
      <c r="AL512" t="s" s="0">
        <v>1026</v>
      </c>
      <c r="AM512" t="s" s="0">
        <v>1161</v>
      </c>
      <c r="AN512" t="s" s="0">
        <v>273</v>
      </c>
      <c r="AO512" t="s" s="0">
        <v>447</v>
      </c>
      <c r="AP512" t="s" s="0">
        <v>100</v>
      </c>
      <c r="AQ512" t="s" s="0">
        <v>312</v>
      </c>
      <c r="AR512" t="s" s="0">
        <v>313</v>
      </c>
      <c r="AS512" t="s" s="0">
        <v>314</v>
      </c>
      <c r="AT512" t="s" s="0">
        <v>82</v>
      </c>
      <c r="AU512" t="s" s="0">
        <v>12045</v>
      </c>
      <c r="AV512" t="s" s="0">
        <v>82</v>
      </c>
      <c r="AW512" t="s" s="0">
        <v>12046</v>
      </c>
      <c r="AX512" t="s" s="0">
        <v>12047</v>
      </c>
      <c r="AY512" t="s" s="0">
        <v>1844</v>
      </c>
      <c r="AZ512" t="s" s="0">
        <v>525</v>
      </c>
      <c r="BA512" t="s" s="0">
        <v>137</v>
      </c>
      <c r="BB512" t="s" s="0">
        <v>221</v>
      </c>
      <c r="BC512" t="s" s="0">
        <v>82</v>
      </c>
      <c r="BD512" t="s" s="0">
        <v>82</v>
      </c>
      <c r="BE512" t="s" s="0">
        <v>82</v>
      </c>
      <c r="BF512" t="s" s="0">
        <v>82</v>
      </c>
      <c r="BG512" t="s" s="0">
        <v>82</v>
      </c>
      <c r="BH512" t="s" s="0">
        <v>82</v>
      </c>
      <c r="BI512" t="s" s="0">
        <v>12048</v>
      </c>
      <c r="BJ512" t="s" s="0">
        <v>12049</v>
      </c>
      <c r="BK512" t="s" s="1018">
        <f>HYPERLINK("http://dx.doi.org/10.3390/brainsci11050615","http://dx.doi.org/10.3390/brainsci11050615")</f>
        <v>12050</v>
      </c>
      <c r="BL512" t="s" s="0">
        <v>82</v>
      </c>
      <c r="BM512" t="s" s="0">
        <v>82</v>
      </c>
      <c r="BN512" t="s" s="0">
        <v>685</v>
      </c>
      <c r="BO512" t="s" s="0">
        <v>613</v>
      </c>
      <c r="BP512" t="s" s="0">
        <v>252</v>
      </c>
      <c r="BQ512" t="s" s="0">
        <v>12051</v>
      </c>
      <c r="BR512" t="s" s="0">
        <v>12052</v>
      </c>
      <c r="BS512" t="s" s="0">
        <v>12053</v>
      </c>
      <c r="BT512" t="s" s="1019">
        <f>HYPERLINK("https://www.webofscience.com/wos/woscc/full-record/WOS:000653607800001","View Record in Web of Science")</f>
        <v>120</v>
      </c>
      <c r="BU512" t="s" s="0">
        <v>121</v>
      </c>
      <c r="BV512" t="s" s="0">
        <v>82</v>
      </c>
      <c r="BW512" t="s" s="0">
        <v>82</v>
      </c>
      <c r="BX512" t="s" s="0">
        <v>122</v>
      </c>
    </row>
    <row r="513">
      <c r="A513" t="s" s="0">
        <v>78</v>
      </c>
      <c r="B513" t="s" s="0">
        <v>78</v>
      </c>
      <c r="C513" t="s" s="0">
        <v>78</v>
      </c>
      <c r="D513" t="s" s="0">
        <v>78</v>
      </c>
      <c r="E513" t="s" s="0">
        <v>12054</v>
      </c>
      <c r="F513" t="s" s="0">
        <v>12055</v>
      </c>
      <c r="G513" t="s" s="0">
        <v>12056</v>
      </c>
      <c r="H513" t="s" s="0">
        <v>82</v>
      </c>
      <c r="I513" t="s" s="0">
        <v>83</v>
      </c>
      <c r="J513" t="s" s="0">
        <v>12057</v>
      </c>
      <c r="K513" t="s" s="0">
        <v>12058</v>
      </c>
      <c r="L513" t="s" s="0">
        <v>12059</v>
      </c>
      <c r="M513" t="s" s="0">
        <v>12060</v>
      </c>
      <c r="N513" t="s" s="0">
        <v>12061</v>
      </c>
      <c r="O513" t="s" s="0">
        <v>12062</v>
      </c>
      <c r="P513" t="s" s="0">
        <v>6854</v>
      </c>
      <c r="Q513" t="s" s="0">
        <v>91</v>
      </c>
      <c r="R513" t="s" s="0">
        <v>82</v>
      </c>
      <c r="S513" t="s" s="0">
        <v>82</v>
      </c>
      <c r="T513" t="s" s="0">
        <v>82</v>
      </c>
      <c r="U513" t="s" s="0">
        <v>82</v>
      </c>
      <c r="V513" t="s" s="0">
        <v>12063</v>
      </c>
      <c r="W513" t="s" s="0">
        <v>5619</v>
      </c>
      <c r="X513" t="s" s="0">
        <v>82</v>
      </c>
      <c r="Y513" t="s" s="0">
        <v>82</v>
      </c>
      <c r="Z513" t="s" s="0">
        <v>94</v>
      </c>
      <c r="AA513" t="s" s="0">
        <v>95</v>
      </c>
      <c r="AB513" t="s" s="0">
        <v>82</v>
      </c>
      <c r="AC513" t="s" s="0">
        <v>82</v>
      </c>
      <c r="AD513" t="s" s="0">
        <v>82</v>
      </c>
      <c r="AE513" t="s" s="0">
        <v>82</v>
      </c>
      <c r="AF513" t="s" s="0">
        <v>82</v>
      </c>
      <c r="AG513" t="s" s="0">
        <v>12064</v>
      </c>
      <c r="AH513" t="s" s="0">
        <v>12065</v>
      </c>
      <c r="AI513" t="s" s="0">
        <v>82</v>
      </c>
      <c r="AJ513" t="s" s="0">
        <v>82</v>
      </c>
      <c r="AK513" t="s" s="0">
        <v>82</v>
      </c>
      <c r="AL513" t="s" s="0">
        <v>273</v>
      </c>
      <c r="AM513" t="s" s="0">
        <v>447</v>
      </c>
      <c r="AN513" t="s" s="0">
        <v>447</v>
      </c>
      <c r="AO513" t="s" s="0">
        <v>77</v>
      </c>
      <c r="AP513" t="s" s="0">
        <v>447</v>
      </c>
      <c r="AQ513" t="s" s="0">
        <v>2484</v>
      </c>
      <c r="AR513" t="s" s="0">
        <v>2485</v>
      </c>
      <c r="AS513" t="s" s="0">
        <v>2486</v>
      </c>
      <c r="AT513" t="s" s="0">
        <v>5623</v>
      </c>
      <c r="AU513" t="s" s="0">
        <v>82</v>
      </c>
      <c r="AV513" t="s" s="0">
        <v>82</v>
      </c>
      <c r="AW513" t="s" s="0">
        <v>5624</v>
      </c>
      <c r="AX513" t="s" s="0">
        <v>5625</v>
      </c>
      <c r="AY513" t="s" s="0">
        <v>12066</v>
      </c>
      <c r="AZ513" t="s" s="0">
        <v>147</v>
      </c>
      <c r="BA513" t="s" s="0">
        <v>149</v>
      </c>
      <c r="BB513" t="s" s="0">
        <v>82</v>
      </c>
      <c r="BC513" t="s" s="0">
        <v>82</v>
      </c>
      <c r="BD513" t="s" s="0">
        <v>82</v>
      </c>
      <c r="BE513" t="s" s="0">
        <v>82</v>
      </c>
      <c r="BF513" t="s" s="0">
        <v>82</v>
      </c>
      <c r="BG513" t="s" s="0">
        <v>82</v>
      </c>
      <c r="BH513" t="s" s="0">
        <v>82</v>
      </c>
      <c r="BI513" t="s" s="0">
        <v>12067</v>
      </c>
      <c r="BJ513" t="s" s="0">
        <v>12068</v>
      </c>
      <c r="BK513" t="s" s="1020">
        <f>HYPERLINK("http://dx.doi.org/10.3389/fcvm.2025.1647882","http://dx.doi.org/10.3389/fcvm.2025.1647882")</f>
        <v>12069</v>
      </c>
      <c r="BL513" t="s" s="0">
        <v>82</v>
      </c>
      <c r="BM513" t="s" s="0">
        <v>82</v>
      </c>
      <c r="BN513" t="s" s="0">
        <v>115</v>
      </c>
      <c r="BO513" t="s" s="0">
        <v>503</v>
      </c>
      <c r="BP513" t="s" s="0">
        <v>504</v>
      </c>
      <c r="BQ513" t="s" s="0">
        <v>12070</v>
      </c>
      <c r="BR513" t="s" s="0">
        <v>12071</v>
      </c>
      <c r="BS513" t="s" s="0">
        <v>12072</v>
      </c>
      <c r="BT513" t="s" s="1021">
        <f>HYPERLINK("https://www.webofscience.com/wos/woscc/full-record/WOS:001607788000001","View Record in Web of Science")</f>
        <v>120</v>
      </c>
      <c r="BU513" t="s" s="0">
        <v>121</v>
      </c>
      <c r="BV513" t="s" s="0">
        <v>82</v>
      </c>
      <c r="BW513" t="s" s="0">
        <v>82</v>
      </c>
      <c r="BX513" t="s" s="0">
        <v>122</v>
      </c>
    </row>
    <row r="514">
      <c r="A514" t="s" s="0">
        <v>78</v>
      </c>
      <c r="B514" t="s" s="0">
        <v>78</v>
      </c>
      <c r="C514" t="s" s="0">
        <v>78</v>
      </c>
      <c r="D514" t="s" s="0">
        <v>78</v>
      </c>
      <c r="E514" t="s" s="0">
        <v>12073</v>
      </c>
      <c r="F514" t="s" s="0">
        <v>12074</v>
      </c>
      <c r="G514" t="s" s="0">
        <v>12075</v>
      </c>
      <c r="H514" t="s" s="0">
        <v>82</v>
      </c>
      <c r="I514" t="s" s="0">
        <v>83</v>
      </c>
      <c r="J514" t="s" s="0">
        <v>12076</v>
      </c>
      <c r="K514" t="s" s="0">
        <v>12077</v>
      </c>
      <c r="L514" t="s" s="0">
        <v>12078</v>
      </c>
      <c r="M514" t="s" s="0">
        <v>12079</v>
      </c>
      <c r="N514" t="s" s="0">
        <v>12080</v>
      </c>
      <c r="O514" t="s" s="0">
        <v>12081</v>
      </c>
      <c r="P514" t="s" s="0">
        <v>12082</v>
      </c>
      <c r="Q514" t="s" s="0">
        <v>91</v>
      </c>
      <c r="R514" t="s" s="0">
        <v>82</v>
      </c>
      <c r="S514" t="s" s="0">
        <v>82</v>
      </c>
      <c r="T514" t="s" s="0">
        <v>82</v>
      </c>
      <c r="U514" t="s" s="0">
        <v>82</v>
      </c>
      <c r="V514" t="s" s="0">
        <v>12083</v>
      </c>
      <c r="W514" t="s" s="0">
        <v>2046</v>
      </c>
      <c r="X514" t="s" s="0">
        <v>82</v>
      </c>
      <c r="Y514" t="s" s="0">
        <v>82</v>
      </c>
      <c r="Z514" t="s" s="0">
        <v>94</v>
      </c>
      <c r="AA514" t="s" s="0">
        <v>169</v>
      </c>
      <c r="AB514" t="s" s="0">
        <v>82</v>
      </c>
      <c r="AC514" t="s" s="0">
        <v>82</v>
      </c>
      <c r="AD514" t="s" s="0">
        <v>82</v>
      </c>
      <c r="AE514" t="s" s="0">
        <v>82</v>
      </c>
      <c r="AF514" t="s" s="0">
        <v>82</v>
      </c>
      <c r="AG514" t="s" s="0">
        <v>12084</v>
      </c>
      <c r="AH514" t="s" s="0">
        <v>7271</v>
      </c>
      <c r="AI514" t="s" s="0">
        <v>82</v>
      </c>
      <c r="AJ514" t="s" s="0">
        <v>82</v>
      </c>
      <c r="AK514" t="s" s="0">
        <v>82</v>
      </c>
      <c r="AL514" t="s" s="0">
        <v>1161</v>
      </c>
      <c r="AM514" t="s" s="0">
        <v>78</v>
      </c>
      <c r="AN514" t="s" s="0">
        <v>78</v>
      </c>
      <c r="AO514" t="s" s="0">
        <v>447</v>
      </c>
      <c r="AP514" t="s" s="0">
        <v>447</v>
      </c>
      <c r="AQ514" t="s" s="0">
        <v>2051</v>
      </c>
      <c r="AR514" t="s" s="0">
        <v>203</v>
      </c>
      <c r="AS514" t="s" s="0">
        <v>2052</v>
      </c>
      <c r="AT514" t="s" s="0">
        <v>2053</v>
      </c>
      <c r="AU514" t="s" s="0">
        <v>2054</v>
      </c>
      <c r="AV514" t="s" s="0">
        <v>82</v>
      </c>
      <c r="AW514" t="s" s="0">
        <v>2055</v>
      </c>
      <c r="AX514" t="s" s="0">
        <v>2056</v>
      </c>
      <c r="AY514" t="s" s="0">
        <v>82</v>
      </c>
      <c r="AZ514" t="s" s="0">
        <v>181</v>
      </c>
      <c r="BA514" t="s" s="0">
        <v>82</v>
      </c>
      <c r="BB514" t="s" s="0">
        <v>82</v>
      </c>
      <c r="BC514" t="s" s="0">
        <v>82</v>
      </c>
      <c r="BD514" t="s" s="0">
        <v>82</v>
      </c>
      <c r="BE514" t="s" s="0">
        <v>82</v>
      </c>
      <c r="BF514" t="s" s="0">
        <v>82</v>
      </c>
      <c r="BG514" t="s" s="0">
        <v>82</v>
      </c>
      <c r="BH514" t="s" s="0">
        <v>82</v>
      </c>
      <c r="BI514" t="s" s="0">
        <v>82</v>
      </c>
      <c r="BJ514" t="s" s="0">
        <v>12085</v>
      </c>
      <c r="BK514" t="s" s="1022">
        <f>HYPERLINK("http://dx.doi.org/10.1007/s00586-026-09872-7","http://dx.doi.org/10.1007/s00586-026-09872-7")</f>
        <v>12086</v>
      </c>
      <c r="BL514" t="s" s="0">
        <v>82</v>
      </c>
      <c r="BM514" t="s" s="0">
        <v>153</v>
      </c>
      <c r="BN514" t="s" s="0">
        <v>138</v>
      </c>
      <c r="BO514" t="s" s="0">
        <v>2062</v>
      </c>
      <c r="BP514" t="s" s="0">
        <v>2063</v>
      </c>
      <c r="BQ514" t="s" s="0">
        <v>12087</v>
      </c>
      <c r="BR514" t="s" s="0">
        <v>12088</v>
      </c>
      <c r="BS514" t="s" s="0">
        <v>12089</v>
      </c>
      <c r="BT514" t="s" s="1023">
        <f>HYPERLINK("https://www.webofscience.com/wos/woscc/full-record/WOS:001728697100001","View Record in Web of Science")</f>
        <v>120</v>
      </c>
      <c r="BU514" t="s" s="0">
        <v>159</v>
      </c>
      <c r="BV514" t="s" s="0">
        <v>82</v>
      </c>
      <c r="BW514" t="s" s="0">
        <v>82</v>
      </c>
      <c r="BX514" t="s" s="0">
        <v>122</v>
      </c>
    </row>
    <row r="515">
      <c r="A515" t="s" s="0">
        <v>78</v>
      </c>
      <c r="B515" t="s" s="0">
        <v>78</v>
      </c>
      <c r="C515" t="s" s="0">
        <v>78</v>
      </c>
      <c r="D515" t="s" s="0">
        <v>78</v>
      </c>
      <c r="E515" t="s" s="0">
        <v>12090</v>
      </c>
      <c r="F515" t="s" s="0">
        <v>12091</v>
      </c>
      <c r="G515" t="s" s="0">
        <v>12092</v>
      </c>
      <c r="H515" t="s" s="0">
        <v>82</v>
      </c>
      <c r="I515" t="s" s="0">
        <v>83</v>
      </c>
      <c r="J515" t="s" s="0">
        <v>12093</v>
      </c>
      <c r="K515" t="s" s="0">
        <v>12094</v>
      </c>
      <c r="L515" t="s" s="0">
        <v>12095</v>
      </c>
      <c r="M515" t="s" s="0">
        <v>12096</v>
      </c>
      <c r="N515" t="s" s="0">
        <v>12097</v>
      </c>
      <c r="O515" t="s" s="0">
        <v>12098</v>
      </c>
      <c r="P515" t="s" s="0">
        <v>12099</v>
      </c>
      <c r="Q515" t="s" s="0">
        <v>91</v>
      </c>
      <c r="R515" t="s" s="0">
        <v>82</v>
      </c>
      <c r="S515" t="s" s="0">
        <v>82</v>
      </c>
      <c r="T515" t="s" s="0">
        <v>82</v>
      </c>
      <c r="U515" t="s" s="0">
        <v>82</v>
      </c>
      <c r="V515" t="s" s="0">
        <v>12100</v>
      </c>
      <c r="W515" t="s" s="0">
        <v>543</v>
      </c>
      <c r="X515" t="s" s="0">
        <v>82</v>
      </c>
      <c r="Y515" t="s" s="0">
        <v>82</v>
      </c>
      <c r="Z515" t="s" s="0">
        <v>94</v>
      </c>
      <c r="AA515" t="s" s="0">
        <v>95</v>
      </c>
      <c r="AB515" t="s" s="0">
        <v>82</v>
      </c>
      <c r="AC515" t="s" s="0">
        <v>82</v>
      </c>
      <c r="AD515" t="s" s="0">
        <v>82</v>
      </c>
      <c r="AE515" t="s" s="0">
        <v>82</v>
      </c>
      <c r="AF515" t="s" s="0">
        <v>82</v>
      </c>
      <c r="AG515" t="s" s="0">
        <v>12101</v>
      </c>
      <c r="AH515" t="s" s="0">
        <v>12102</v>
      </c>
      <c r="AI515" t="s" s="0">
        <v>82</v>
      </c>
      <c r="AJ515" t="s" s="0">
        <v>82</v>
      </c>
      <c r="AK515" t="s" s="0">
        <v>82</v>
      </c>
      <c r="AL515" t="s" s="0">
        <v>890</v>
      </c>
      <c r="AM515" t="s" s="0">
        <v>78</v>
      </c>
      <c r="AN515" t="s" s="0">
        <v>78</v>
      </c>
      <c r="AO515" t="s" s="0">
        <v>78</v>
      </c>
      <c r="AP515" t="s" s="0">
        <v>78</v>
      </c>
      <c r="AQ515" t="s" s="0">
        <v>312</v>
      </c>
      <c r="AR515" t="s" s="0">
        <v>313</v>
      </c>
      <c r="AS515" t="s" s="0">
        <v>314</v>
      </c>
      <c r="AT515" t="s" s="0">
        <v>82</v>
      </c>
      <c r="AU515" t="s" s="0">
        <v>550</v>
      </c>
      <c r="AV515" t="s" s="0">
        <v>82</v>
      </c>
      <c r="AW515" t="s" s="0">
        <v>543</v>
      </c>
      <c r="AX515" t="s" s="0">
        <v>551</v>
      </c>
      <c r="AY515" t="s" s="0">
        <v>9821</v>
      </c>
      <c r="AZ515" t="s" s="0">
        <v>181</v>
      </c>
      <c r="BA515" t="s" s="0">
        <v>640</v>
      </c>
      <c r="BB515" t="s" s="0">
        <v>447</v>
      </c>
      <c r="BC515" t="s" s="0">
        <v>82</v>
      </c>
      <c r="BD515" t="s" s="0">
        <v>82</v>
      </c>
      <c r="BE515" t="s" s="0">
        <v>82</v>
      </c>
      <c r="BF515" t="s" s="0">
        <v>82</v>
      </c>
      <c r="BG515" t="s" s="0">
        <v>82</v>
      </c>
      <c r="BH515" t="s" s="0">
        <v>82</v>
      </c>
      <c r="BI515" t="s" s="0">
        <v>4739</v>
      </c>
      <c r="BJ515" t="s" s="0">
        <v>12103</v>
      </c>
      <c r="BK515" t="s" s="1024">
        <f>HYPERLINK("http://dx.doi.org/10.3390/diagnostics16020267","http://dx.doi.org/10.3390/diagnostics16020267")</f>
        <v>12104</v>
      </c>
      <c r="BL515" t="s" s="0">
        <v>82</v>
      </c>
      <c r="BM515" t="s" s="0">
        <v>82</v>
      </c>
      <c r="BN515" t="s" s="0">
        <v>323</v>
      </c>
      <c r="BO515" t="s" s="0">
        <v>354</v>
      </c>
      <c r="BP515" t="s" s="0">
        <v>355</v>
      </c>
      <c r="BQ515" t="s" s="0">
        <v>12105</v>
      </c>
      <c r="BR515" t="s" s="0">
        <v>12106</v>
      </c>
      <c r="BS515" t="s" s="0">
        <v>12107</v>
      </c>
      <c r="BT515" t="s" s="1025">
        <f>HYPERLINK("https://www.webofscience.com/wos/woscc/full-record/WOS:001672798200001","View Record in Web of Science")</f>
        <v>120</v>
      </c>
      <c r="BU515" t="s" s="0">
        <v>121</v>
      </c>
      <c r="BV515" t="s" s="0">
        <v>82</v>
      </c>
      <c r="BW515" t="s" s="0">
        <v>82</v>
      </c>
      <c r="BX515" t="s" s="0">
        <v>122</v>
      </c>
    </row>
    <row r="516">
      <c r="A516" t="s" s="0">
        <v>78</v>
      </c>
      <c r="B516" t="s" s="0">
        <v>78</v>
      </c>
      <c r="C516" t="s" s="0">
        <v>78</v>
      </c>
      <c r="D516" t="s" s="0">
        <v>78</v>
      </c>
      <c r="E516" t="s" s="0">
        <v>12108</v>
      </c>
      <c r="F516" t="s" s="0">
        <v>12109</v>
      </c>
      <c r="G516" t="s" s="0">
        <v>12110</v>
      </c>
      <c r="H516" t="s" s="0">
        <v>82</v>
      </c>
      <c r="I516" t="s" s="0">
        <v>83</v>
      </c>
      <c r="J516" t="s" s="0">
        <v>12111</v>
      </c>
      <c r="K516" t="s" s="0">
        <v>12112</v>
      </c>
      <c r="L516" t="s" s="0">
        <v>12113</v>
      </c>
      <c r="M516" t="s" s="0">
        <v>12114</v>
      </c>
      <c r="N516" t="s" s="0">
        <v>12115</v>
      </c>
      <c r="O516" t="s" s="0">
        <v>12116</v>
      </c>
      <c r="P516" t="s" s="0">
        <v>12117</v>
      </c>
      <c r="Q516" t="s" s="0">
        <v>91</v>
      </c>
      <c r="R516" t="s" s="0">
        <v>82</v>
      </c>
      <c r="S516" t="s" s="0">
        <v>82</v>
      </c>
      <c r="T516" t="s" s="0">
        <v>82</v>
      </c>
      <c r="U516" t="s" s="0">
        <v>82</v>
      </c>
      <c r="V516" t="s" s="0">
        <v>12118</v>
      </c>
      <c r="W516" t="s" s="0">
        <v>1677</v>
      </c>
      <c r="X516" t="s" s="0">
        <v>82</v>
      </c>
      <c r="Y516" t="s" s="0">
        <v>82</v>
      </c>
      <c r="Z516" t="s" s="0">
        <v>94</v>
      </c>
      <c r="AA516" t="s" s="0">
        <v>95</v>
      </c>
      <c r="AB516" t="s" s="0">
        <v>82</v>
      </c>
      <c r="AC516" t="s" s="0">
        <v>82</v>
      </c>
      <c r="AD516" t="s" s="0">
        <v>82</v>
      </c>
      <c r="AE516" t="s" s="0">
        <v>82</v>
      </c>
      <c r="AF516" t="s" s="0">
        <v>82</v>
      </c>
      <c r="AG516" t="s" s="0">
        <v>82</v>
      </c>
      <c r="AH516" t="s" s="0">
        <v>12119</v>
      </c>
      <c r="AI516" t="s" s="0">
        <v>12120</v>
      </c>
      <c r="AJ516" t="s" s="0">
        <v>12121</v>
      </c>
      <c r="AK516" t="s" s="0">
        <v>82</v>
      </c>
      <c r="AL516" t="s" s="0">
        <v>154</v>
      </c>
      <c r="AM516" t="s" s="0">
        <v>78</v>
      </c>
      <c r="AN516" t="s" s="0">
        <v>78</v>
      </c>
      <c r="AO516" t="s" s="0">
        <v>78</v>
      </c>
      <c r="AP516" t="s" s="0">
        <v>78</v>
      </c>
      <c r="AQ516" t="s" s="0">
        <v>1681</v>
      </c>
      <c r="AR516" t="s" s="0">
        <v>1682</v>
      </c>
      <c r="AS516" t="s" s="0">
        <v>1683</v>
      </c>
      <c r="AT516" t="s" s="0">
        <v>1684</v>
      </c>
      <c r="AU516" t="s" s="0">
        <v>1685</v>
      </c>
      <c r="AV516" t="s" s="0">
        <v>82</v>
      </c>
      <c r="AW516" t="s" s="0">
        <v>1686</v>
      </c>
      <c r="AX516" t="s" s="0">
        <v>1687</v>
      </c>
      <c r="AY516" t="s" s="0">
        <v>12122</v>
      </c>
      <c r="AZ516" t="s" s="0">
        <v>181</v>
      </c>
      <c r="BA516" t="s" s="0">
        <v>829</v>
      </c>
      <c r="BB516" t="s" s="0">
        <v>447</v>
      </c>
      <c r="BC516" t="s" s="0">
        <v>82</v>
      </c>
      <c r="BD516" t="s" s="0">
        <v>82</v>
      </c>
      <c r="BE516" t="s" s="0">
        <v>82</v>
      </c>
      <c r="BF516" t="s" s="0">
        <v>82</v>
      </c>
      <c r="BG516" t="s" s="0">
        <v>6041</v>
      </c>
      <c r="BH516" t="s" s="0">
        <v>12123</v>
      </c>
      <c r="BI516" t="s" s="0">
        <v>82</v>
      </c>
      <c r="BJ516" t="s" s="0">
        <v>12124</v>
      </c>
      <c r="BK516" t="s" s="1026">
        <f>HYPERLINK("http://dx.doi.org/10.3174/ajnr.A8992","http://dx.doi.org/10.3174/ajnr.A8992")</f>
        <v>12125</v>
      </c>
      <c r="BL516" t="s" s="0">
        <v>82</v>
      </c>
      <c r="BM516" t="s" s="0">
        <v>82</v>
      </c>
      <c r="BN516" t="s" s="0">
        <v>138</v>
      </c>
      <c r="BO516" t="s" s="0">
        <v>1692</v>
      </c>
      <c r="BP516" t="s" s="0">
        <v>1693</v>
      </c>
      <c r="BQ516" t="s" s="0">
        <v>12126</v>
      </c>
      <c r="BR516" t="s" s="0">
        <v>12127</v>
      </c>
      <c r="BS516" t="s" s="0">
        <v>12128</v>
      </c>
      <c r="BT516" t="s" s="1027">
        <f>HYPERLINK("https://www.webofscience.com/wos/woscc/full-record/WOS:001675414100001","View Record in Web of Science")</f>
        <v>120</v>
      </c>
      <c r="BU516" t="s" s="0">
        <v>159</v>
      </c>
      <c r="BV516" t="s" s="0">
        <v>82</v>
      </c>
      <c r="BW516" t="s" s="0">
        <v>82</v>
      </c>
      <c r="BX516" t="s" s="0">
        <v>122</v>
      </c>
    </row>
    <row r="517">
      <c r="A517" t="s" s="0">
        <v>101</v>
      </c>
      <c r="B517" t="s" s="0">
        <v>78</v>
      </c>
      <c r="C517" t="s" s="0">
        <v>136</v>
      </c>
      <c r="D517" t="s" s="0">
        <v>78</v>
      </c>
      <c r="E517" t="s" s="0">
        <v>12129</v>
      </c>
      <c r="F517" t="s" s="0">
        <v>12130</v>
      </c>
      <c r="G517" t="s" s="0">
        <v>12131</v>
      </c>
      <c r="H517" t="s" s="0">
        <v>82</v>
      </c>
      <c r="I517" t="s" s="0">
        <v>83</v>
      </c>
      <c r="J517" t="s" s="0">
        <v>12132</v>
      </c>
      <c r="K517" t="s" s="0">
        <v>8203</v>
      </c>
      <c r="L517" t="s" s="0">
        <v>82</v>
      </c>
      <c r="M517" t="s" s="0">
        <v>82</v>
      </c>
      <c r="N517" t="s" s="0">
        <v>82</v>
      </c>
      <c r="O517" t="s" s="0">
        <v>12133</v>
      </c>
      <c r="P517" t="s" s="0">
        <v>12134</v>
      </c>
      <c r="Q517" t="s" s="0">
        <v>91</v>
      </c>
      <c r="R517" t="s" s="0">
        <v>82</v>
      </c>
      <c r="S517" t="s" s="0">
        <v>82</v>
      </c>
      <c r="T517" t="s" s="0">
        <v>82</v>
      </c>
      <c r="U517" t="s" s="0">
        <v>82</v>
      </c>
      <c r="V517" t="s" s="0">
        <v>12135</v>
      </c>
      <c r="W517" t="s" s="0">
        <v>12136</v>
      </c>
      <c r="X517" t="s" s="0">
        <v>82</v>
      </c>
      <c r="Y517" t="s" s="0">
        <v>82</v>
      </c>
      <c r="Z517" t="s" s="0">
        <v>94</v>
      </c>
      <c r="AA517" t="s" s="0">
        <v>95</v>
      </c>
      <c r="AB517" t="s" s="0">
        <v>82</v>
      </c>
      <c r="AC517" t="s" s="0">
        <v>82</v>
      </c>
      <c r="AD517" t="s" s="0">
        <v>82</v>
      </c>
      <c r="AE517" t="s" s="0">
        <v>82</v>
      </c>
      <c r="AF517" t="s" s="0">
        <v>82</v>
      </c>
      <c r="AG517" t="s" s="0">
        <v>12137</v>
      </c>
      <c r="AH517" t="s" s="0">
        <v>12138</v>
      </c>
      <c r="AI517" t="s" s="0">
        <v>12139</v>
      </c>
      <c r="AJ517" t="s" s="0">
        <v>12140</v>
      </c>
      <c r="AK517" t="s" s="0">
        <v>82</v>
      </c>
      <c r="AL517" t="s" s="0">
        <v>548</v>
      </c>
      <c r="AM517" t="s" s="0">
        <v>1780</v>
      </c>
      <c r="AN517" t="s" s="0">
        <v>1502</v>
      </c>
      <c r="AO517" t="s" s="0">
        <v>447</v>
      </c>
      <c r="AP517" t="s" s="0">
        <v>323</v>
      </c>
      <c r="AQ517" t="s" s="0">
        <v>12141</v>
      </c>
      <c r="AR517" t="s" s="0">
        <v>1134</v>
      </c>
      <c r="AS517" t="s" s="0">
        <v>12142</v>
      </c>
      <c r="AT517" t="s" s="0">
        <v>12143</v>
      </c>
      <c r="AU517" t="s" s="0">
        <v>12144</v>
      </c>
      <c r="AV517" t="s" s="0">
        <v>82</v>
      </c>
      <c r="AW517" t="s" s="0">
        <v>12145</v>
      </c>
      <c r="AX517" t="s" s="0">
        <v>12146</v>
      </c>
      <c r="AY517" t="s" s="0">
        <v>1657</v>
      </c>
      <c r="AZ517" t="s" s="0">
        <v>525</v>
      </c>
      <c r="BA517" t="s" s="0">
        <v>148</v>
      </c>
      <c r="BB517" t="s" s="0">
        <v>149</v>
      </c>
      <c r="BC517" t="s" s="0">
        <v>82</v>
      </c>
      <c r="BD517" t="s" s="0">
        <v>82</v>
      </c>
      <c r="BE517" t="s" s="0">
        <v>82</v>
      </c>
      <c r="BF517" t="s" s="0">
        <v>82</v>
      </c>
      <c r="BG517" t="s" s="0">
        <v>8009</v>
      </c>
      <c r="BH517" t="s" s="0">
        <v>147</v>
      </c>
      <c r="BI517" t="s" s="0">
        <v>82</v>
      </c>
      <c r="BJ517" t="s" s="0">
        <v>12147</v>
      </c>
      <c r="BK517" t="s" s="1028">
        <f>HYPERLINK("http://dx.doi.org/10.3348/kjr.2020.1468","http://dx.doi.org/10.3348/kjr.2020.1468")</f>
        <v>12148</v>
      </c>
      <c r="BL517" t="s" s="0">
        <v>82</v>
      </c>
      <c r="BM517" t="s" s="0">
        <v>82</v>
      </c>
      <c r="BN517" t="s" s="0">
        <v>319</v>
      </c>
      <c r="BO517" t="s" s="0">
        <v>414</v>
      </c>
      <c r="BP517" t="s" s="0">
        <v>414</v>
      </c>
      <c r="BQ517" t="s" s="0">
        <v>12149</v>
      </c>
      <c r="BR517" t="s" s="0">
        <v>12150</v>
      </c>
      <c r="BS517" t="s" s="0">
        <v>12151</v>
      </c>
      <c r="BT517" t="s" s="1029">
        <f>HYPERLINK("https://www.webofscience.com/wos/woscc/full-record/WOS:000723390600010","View Record in Web of Science")</f>
        <v>120</v>
      </c>
      <c r="BU517" t="s" s="0">
        <v>256</v>
      </c>
      <c r="BV517" t="s" s="0">
        <v>82</v>
      </c>
      <c r="BW517" t="s" s="0">
        <v>82</v>
      </c>
      <c r="BX517" t="s" s="0">
        <v>122</v>
      </c>
    </row>
    <row r="518">
      <c r="A518" t="s" s="0">
        <v>101</v>
      </c>
      <c r="B518" t="s" s="0">
        <v>78</v>
      </c>
      <c r="C518" t="s" s="0">
        <v>239</v>
      </c>
      <c r="D518" t="s" s="0">
        <v>78</v>
      </c>
      <c r="E518" t="s" s="0">
        <v>12152</v>
      </c>
      <c r="F518" t="s" s="0">
        <v>12153</v>
      </c>
      <c r="G518" t="s" s="0">
        <v>12154</v>
      </c>
      <c r="H518" t="s" s="0">
        <v>82</v>
      </c>
      <c r="I518" t="s" s="0">
        <v>83</v>
      </c>
      <c r="J518" t="s" s="0">
        <v>12155</v>
      </c>
      <c r="K518" t="s" s="0">
        <v>12156</v>
      </c>
      <c r="L518" t="s" s="0">
        <v>82</v>
      </c>
      <c r="M518" t="s" s="0">
        <v>82</v>
      </c>
      <c r="N518" t="s" s="0">
        <v>82</v>
      </c>
      <c r="O518" t="s" s="0">
        <v>12157</v>
      </c>
      <c r="P518" t="s" s="0">
        <v>12158</v>
      </c>
      <c r="Q518" t="s" s="0">
        <v>91</v>
      </c>
      <c r="R518" t="s" s="0">
        <v>82</v>
      </c>
      <c r="S518" t="s" s="0">
        <v>82</v>
      </c>
      <c r="T518" t="s" s="0">
        <v>82</v>
      </c>
      <c r="U518" t="s" s="0">
        <v>82</v>
      </c>
      <c r="V518" t="s" s="0">
        <v>12159</v>
      </c>
      <c r="W518" t="s" s="0">
        <v>340</v>
      </c>
      <c r="X518" t="s" s="0">
        <v>82</v>
      </c>
      <c r="Y518" t="s" s="0">
        <v>82</v>
      </c>
      <c r="Z518" t="s" s="0">
        <v>94</v>
      </c>
      <c r="AA518" t="s" s="0">
        <v>95</v>
      </c>
      <c r="AB518" t="s" s="0">
        <v>82</v>
      </c>
      <c r="AC518" t="s" s="0">
        <v>82</v>
      </c>
      <c r="AD518" t="s" s="0">
        <v>82</v>
      </c>
      <c r="AE518" t="s" s="0">
        <v>82</v>
      </c>
      <c r="AF518" t="s" s="0">
        <v>82</v>
      </c>
      <c r="AG518" t="s" s="0">
        <v>12160</v>
      </c>
      <c r="AH518" t="s" s="0">
        <v>12161</v>
      </c>
      <c r="AI518" t="s" s="0">
        <v>12162</v>
      </c>
      <c r="AJ518" t="s" s="0">
        <v>12163</v>
      </c>
      <c r="AK518" t="s" s="0">
        <v>82</v>
      </c>
      <c r="AL518" t="s" s="0">
        <v>4661</v>
      </c>
      <c r="AM518" t="s" s="0">
        <v>828</v>
      </c>
      <c r="AN518" t="s" s="0">
        <v>3171</v>
      </c>
      <c r="AO518" t="s" s="0">
        <v>77</v>
      </c>
      <c r="AP518" t="s" s="0">
        <v>375</v>
      </c>
      <c r="AQ518" t="s" s="0">
        <v>312</v>
      </c>
      <c r="AR518" t="s" s="0">
        <v>313</v>
      </c>
      <c r="AS518" t="s" s="0">
        <v>549</v>
      </c>
      <c r="AT518" t="s" s="0">
        <v>82</v>
      </c>
      <c r="AU518" t="s" s="0">
        <v>345</v>
      </c>
      <c r="AV518" t="s" s="0">
        <v>82</v>
      </c>
      <c r="AW518" t="s" s="0">
        <v>346</v>
      </c>
      <c r="AX518" t="s" s="0">
        <v>347</v>
      </c>
      <c r="AY518" t="s" s="0">
        <v>837</v>
      </c>
      <c r="AZ518" t="s" s="0">
        <v>210</v>
      </c>
      <c r="BA518" t="s" s="0">
        <v>149</v>
      </c>
      <c r="BB518" t="s" s="0">
        <v>221</v>
      </c>
      <c r="BC518" t="s" s="0">
        <v>82</v>
      </c>
      <c r="BD518" t="s" s="0">
        <v>82</v>
      </c>
      <c r="BE518" t="s" s="0">
        <v>82</v>
      </c>
      <c r="BF518" t="s" s="0">
        <v>82</v>
      </c>
      <c r="BG518" t="s" s="0">
        <v>82</v>
      </c>
      <c r="BH518" t="s" s="0">
        <v>82</v>
      </c>
      <c r="BI518" t="s" s="0">
        <v>12164</v>
      </c>
      <c r="BJ518" t="s" s="0">
        <v>12165</v>
      </c>
      <c r="BK518" t="s" s="1030">
        <f>HYPERLINK("http://dx.doi.org/10.3390/jcm12051806","http://dx.doi.org/10.3390/jcm12051806")</f>
        <v>12166</v>
      </c>
      <c r="BL518" t="s" s="0">
        <v>82</v>
      </c>
      <c r="BM518" t="s" s="0">
        <v>82</v>
      </c>
      <c r="BN518" t="s" s="0">
        <v>154</v>
      </c>
      <c r="BO518" t="s" s="0">
        <v>354</v>
      </c>
      <c r="BP518" t="s" s="0">
        <v>355</v>
      </c>
      <c r="BQ518" t="s" s="0">
        <v>12167</v>
      </c>
      <c r="BR518" t="s" s="0">
        <v>12168</v>
      </c>
      <c r="BS518" t="s" s="0">
        <v>12169</v>
      </c>
      <c r="BT518" t="s" s="1031">
        <f>HYPERLINK("https://www.webofscience.com/wos/woscc/full-record/WOS:000947874200001","View Record in Web of Science")</f>
        <v>120</v>
      </c>
      <c r="BU518" t="s" s="0">
        <v>121</v>
      </c>
      <c r="BV518" t="s" s="0">
        <v>82</v>
      </c>
      <c r="BW518" t="s" s="0">
        <v>82</v>
      </c>
      <c r="BX518" t="s" s="0">
        <v>122</v>
      </c>
    </row>
    <row r="519">
      <c r="A519" t="s" s="0">
        <v>78</v>
      </c>
      <c r="B519" t="s" s="0">
        <v>78</v>
      </c>
      <c r="C519" t="s" s="0">
        <v>78</v>
      </c>
      <c r="D519" t="s" s="0">
        <v>78</v>
      </c>
      <c r="E519" t="s" s="0">
        <v>12170</v>
      </c>
      <c r="F519" t="s" s="0">
        <v>12171</v>
      </c>
      <c r="G519" t="s" s="0">
        <v>12172</v>
      </c>
      <c r="H519" t="s" s="0">
        <v>82</v>
      </c>
      <c r="I519" t="s" s="0">
        <v>83</v>
      </c>
      <c r="J519" t="s" s="0">
        <v>12173</v>
      </c>
      <c r="K519" t="s" s="0">
        <v>12174</v>
      </c>
      <c r="L519" t="s" s="0">
        <v>82</v>
      </c>
      <c r="M519" t="s" s="0">
        <v>82</v>
      </c>
      <c r="N519" t="s" s="0">
        <v>82</v>
      </c>
      <c r="O519" t="s" s="0">
        <v>12175</v>
      </c>
      <c r="P519" t="s" s="0">
        <v>12176</v>
      </c>
      <c r="Q519" t="s" s="0">
        <v>91</v>
      </c>
      <c r="R519" t="s" s="0">
        <v>82</v>
      </c>
      <c r="S519" t="s" s="0">
        <v>82</v>
      </c>
      <c r="T519" t="s" s="0">
        <v>82</v>
      </c>
      <c r="U519" t="s" s="0">
        <v>82</v>
      </c>
      <c r="V519" t="s" s="0">
        <v>12177</v>
      </c>
      <c r="W519" t="s" s="0">
        <v>12178</v>
      </c>
      <c r="X519" t="s" s="0">
        <v>82</v>
      </c>
      <c r="Y519" t="s" s="0">
        <v>82</v>
      </c>
      <c r="Z519" t="s" s="0">
        <v>94</v>
      </c>
      <c r="AA519" t="s" s="0">
        <v>95</v>
      </c>
      <c r="AB519" t="s" s="0">
        <v>82</v>
      </c>
      <c r="AC519" t="s" s="0">
        <v>82</v>
      </c>
      <c r="AD519" t="s" s="0">
        <v>82</v>
      </c>
      <c r="AE519" t="s" s="0">
        <v>82</v>
      </c>
      <c r="AF519" t="s" s="0">
        <v>82</v>
      </c>
      <c r="AG519" t="s" s="0">
        <v>12179</v>
      </c>
      <c r="AH519" t="s" s="0">
        <v>12180</v>
      </c>
      <c r="AI519" t="s" s="0">
        <v>12181</v>
      </c>
      <c r="AJ519" t="s" s="0">
        <v>82</v>
      </c>
      <c r="AK519" t="s" s="0">
        <v>82</v>
      </c>
      <c r="AL519" t="s" s="0">
        <v>1502</v>
      </c>
      <c r="AM519" t="s" s="0">
        <v>78</v>
      </c>
      <c r="AN519" t="s" s="0">
        <v>78</v>
      </c>
      <c r="AO519" t="s" s="0">
        <v>78</v>
      </c>
      <c r="AP519" t="s" s="0">
        <v>78</v>
      </c>
      <c r="AQ519" t="s" s="0">
        <v>832</v>
      </c>
      <c r="AR519" t="s" s="0">
        <v>833</v>
      </c>
      <c r="AS519" t="s" s="0">
        <v>834</v>
      </c>
      <c r="AT519" t="s" s="0">
        <v>12182</v>
      </c>
      <c r="AU519" t="s" s="0">
        <v>12183</v>
      </c>
      <c r="AV519" t="s" s="0">
        <v>82</v>
      </c>
      <c r="AW519" t="s" s="0">
        <v>12184</v>
      </c>
      <c r="AX519" t="s" s="0">
        <v>12185</v>
      </c>
      <c r="AY519" t="s" s="0">
        <v>12186</v>
      </c>
      <c r="AZ519" t="s" s="0">
        <v>181</v>
      </c>
      <c r="BA519" t="s" s="0">
        <v>2191</v>
      </c>
      <c r="BB519" t="s" s="0">
        <v>102</v>
      </c>
      <c r="BC519" t="s" s="0">
        <v>82</v>
      </c>
      <c r="BD519" t="s" s="0">
        <v>82</v>
      </c>
      <c r="BE519" t="s" s="0">
        <v>82</v>
      </c>
      <c r="BF519" t="s" s="0">
        <v>82</v>
      </c>
      <c r="BG519" t="s" s="0">
        <v>12187</v>
      </c>
      <c r="BH519" t="s" s="0">
        <v>12188</v>
      </c>
      <c r="BI519" t="s" s="0">
        <v>82</v>
      </c>
      <c r="BJ519" t="s" s="0">
        <v>12189</v>
      </c>
      <c r="BK519" t="s" s="1032">
        <f>HYPERLINK("http://dx.doi.org/10.1097/RCT.0000000000001840","http://dx.doi.org/10.1097/RCT.0000000000001840")</f>
        <v>12190</v>
      </c>
      <c r="BL519" t="s" s="0">
        <v>82</v>
      </c>
      <c r="BM519" t="s" s="0">
        <v>82</v>
      </c>
      <c r="BN519" t="s" s="0">
        <v>319</v>
      </c>
      <c r="BO519" t="s" s="0">
        <v>414</v>
      </c>
      <c r="BP519" t="s" s="0">
        <v>414</v>
      </c>
      <c r="BQ519" t="s" s="0">
        <v>12191</v>
      </c>
      <c r="BR519" t="s" s="0">
        <v>12192</v>
      </c>
      <c r="BS519" t="s" s="0">
        <v>12193</v>
      </c>
      <c r="BT519" t="s" s="1033">
        <f>HYPERLINK("https://www.webofscience.com/wos/woscc/full-record/WOS:001818645200003","View Record in Web of Science")</f>
        <v>120</v>
      </c>
      <c r="BU519" t="s" s="0">
        <v>82</v>
      </c>
      <c r="BV519" t="s" s="0">
        <v>82</v>
      </c>
      <c r="BW519" t="s" s="0">
        <v>82</v>
      </c>
      <c r="BX519" t="s" s="0">
        <v>122</v>
      </c>
    </row>
    <row r="520">
      <c r="A520" t="s" s="0">
        <v>78</v>
      </c>
      <c r="B520" t="s" s="0">
        <v>78</v>
      </c>
      <c r="C520" t="s" s="0">
        <v>101</v>
      </c>
      <c r="D520" t="s" s="0">
        <v>78</v>
      </c>
      <c r="E520" t="s" s="0">
        <v>12194</v>
      </c>
      <c r="F520" t="s" s="0">
        <v>12195</v>
      </c>
      <c r="G520" t="s" s="0">
        <v>12196</v>
      </c>
      <c r="H520" t="s" s="0">
        <v>82</v>
      </c>
      <c r="I520" t="s" s="0">
        <v>83</v>
      </c>
      <c r="J520" t="s" s="0">
        <v>12197</v>
      </c>
      <c r="K520" t="s" s="0">
        <v>12198</v>
      </c>
      <c r="L520" t="s" s="0">
        <v>12199</v>
      </c>
      <c r="M520" t="s" s="0">
        <v>12200</v>
      </c>
      <c r="N520" t="s" s="0">
        <v>12201</v>
      </c>
      <c r="O520" t="s" s="0">
        <v>12202</v>
      </c>
      <c r="P520" t="s" s="0">
        <v>12203</v>
      </c>
      <c r="Q520" t="s" s="0">
        <v>91</v>
      </c>
      <c r="R520" t="s" s="0">
        <v>82</v>
      </c>
      <c r="S520" t="s" s="0">
        <v>82</v>
      </c>
      <c r="T520" t="s" s="0">
        <v>82</v>
      </c>
      <c r="U520" t="s" s="0">
        <v>82</v>
      </c>
      <c r="V520" t="s" s="0">
        <v>12204</v>
      </c>
      <c r="W520" t="s" s="0">
        <v>4291</v>
      </c>
      <c r="X520" t="s" s="0">
        <v>82</v>
      </c>
      <c r="Y520" t="s" s="0">
        <v>82</v>
      </c>
      <c r="Z520" t="s" s="0">
        <v>94</v>
      </c>
      <c r="AA520" t="s" s="0">
        <v>95</v>
      </c>
      <c r="AB520" t="s" s="0">
        <v>82</v>
      </c>
      <c r="AC520" t="s" s="0">
        <v>82</v>
      </c>
      <c r="AD520" t="s" s="0">
        <v>82</v>
      </c>
      <c r="AE520" t="s" s="0">
        <v>82</v>
      </c>
      <c r="AF520" t="s" s="0">
        <v>82</v>
      </c>
      <c r="AG520" t="s" s="0">
        <v>82</v>
      </c>
      <c r="AH520" t="s" s="0">
        <v>12205</v>
      </c>
      <c r="AI520" t="s" s="0">
        <v>12206</v>
      </c>
      <c r="AJ520" t="s" s="0">
        <v>12207</v>
      </c>
      <c r="AK520" t="s" s="0">
        <v>82</v>
      </c>
      <c r="AL520" t="s" s="0">
        <v>1502</v>
      </c>
      <c r="AM520" t="s" s="0">
        <v>323</v>
      </c>
      <c r="AN520" t="s" s="0">
        <v>323</v>
      </c>
      <c r="AO520" t="s" s="0">
        <v>78</v>
      </c>
      <c r="AP520" t="s" s="0">
        <v>101</v>
      </c>
      <c r="AQ520" t="s" s="0">
        <v>4295</v>
      </c>
      <c r="AR520" t="s" s="0">
        <v>4296</v>
      </c>
      <c r="AS520" t="s" s="0">
        <v>4297</v>
      </c>
      <c r="AT520" t="s" s="0">
        <v>4298</v>
      </c>
      <c r="AU520" t="s" s="0">
        <v>82</v>
      </c>
      <c r="AV520" t="s" s="0">
        <v>82</v>
      </c>
      <c r="AW520" t="s" s="0">
        <v>4291</v>
      </c>
      <c r="AX520" t="s" s="0">
        <v>4299</v>
      </c>
      <c r="AY520" t="s" s="0">
        <v>8191</v>
      </c>
      <c r="AZ520" t="s" s="0">
        <v>110</v>
      </c>
      <c r="BA520" t="s" s="0">
        <v>1320</v>
      </c>
      <c r="BB520" t="s" s="0">
        <v>447</v>
      </c>
      <c r="BC520" t="s" s="0">
        <v>82</v>
      </c>
      <c r="BD520" t="s" s="0">
        <v>82</v>
      </c>
      <c r="BE520" t="s" s="0">
        <v>82</v>
      </c>
      <c r="BF520" t="s" s="0">
        <v>82</v>
      </c>
      <c r="BG520" t="s" s="0">
        <v>82</v>
      </c>
      <c r="BH520" t="s" s="0">
        <v>82</v>
      </c>
      <c r="BI520" t="s" s="0">
        <v>12208</v>
      </c>
      <c r="BJ520" t="s" s="0">
        <v>12209</v>
      </c>
      <c r="BK520" t="s" s="1034">
        <f>HYPERLINK("http://dx.doi.org/10.1371/journal.pone.0297390","http://dx.doi.org/10.1371/journal.pone.0297390")</f>
        <v>12210</v>
      </c>
      <c r="BL520" t="s" s="0">
        <v>82</v>
      </c>
      <c r="BM520" t="s" s="0">
        <v>82</v>
      </c>
      <c r="BN520" t="s" s="0">
        <v>239</v>
      </c>
      <c r="BO520" t="s" s="0">
        <v>644</v>
      </c>
      <c r="BP520" t="s" s="0">
        <v>645</v>
      </c>
      <c r="BQ520" t="s" s="0">
        <v>12211</v>
      </c>
      <c r="BR520" t="s" s="0">
        <v>12212</v>
      </c>
      <c r="BS520" t="s" s="0">
        <v>12213</v>
      </c>
      <c r="BT520" t="s" s="1035">
        <f>HYPERLINK("https://www.webofscience.com/wos/woscc/full-record/WOS:001177191300015","View Record in Web of Science")</f>
        <v>120</v>
      </c>
      <c r="BU520" t="s" s="0">
        <v>121</v>
      </c>
      <c r="BV520" t="s" s="0">
        <v>82</v>
      </c>
      <c r="BW520" t="s" s="0">
        <v>82</v>
      </c>
      <c r="BX520" t="s" s="0">
        <v>122</v>
      </c>
    </row>
    <row r="521">
      <c r="A521" t="s" s="0">
        <v>77</v>
      </c>
      <c r="B521" t="s" s="0">
        <v>78</v>
      </c>
      <c r="C521" t="s" s="0">
        <v>101</v>
      </c>
      <c r="D521" t="s" s="0">
        <v>78</v>
      </c>
      <c r="E521" t="s" s="0">
        <v>12214</v>
      </c>
      <c r="F521" t="s" s="0">
        <v>12215</v>
      </c>
      <c r="G521" t="s" s="0">
        <v>12216</v>
      </c>
      <c r="H521" t="s" s="0">
        <v>82</v>
      </c>
      <c r="I521" t="s" s="0">
        <v>83</v>
      </c>
      <c r="J521" t="s" s="0">
        <v>12217</v>
      </c>
      <c r="K521" t="s" s="0">
        <v>12218</v>
      </c>
      <c r="L521" t="s" s="0">
        <v>12219</v>
      </c>
      <c r="M521" t="s" s="0">
        <v>12220</v>
      </c>
      <c r="N521" t="s" s="0">
        <v>12221</v>
      </c>
      <c r="O521" t="s" s="0">
        <v>12222</v>
      </c>
      <c r="P521" t="s" s="0">
        <v>12223</v>
      </c>
      <c r="Q521" t="s" s="0">
        <v>91</v>
      </c>
      <c r="R521" t="s" s="0">
        <v>82</v>
      </c>
      <c r="S521" t="s" s="0">
        <v>82</v>
      </c>
      <c r="T521" t="s" s="0">
        <v>82</v>
      </c>
      <c r="U521" t="s" s="0">
        <v>82</v>
      </c>
      <c r="V521" t="s" s="0">
        <v>12224</v>
      </c>
      <c r="W521" t="s" s="0">
        <v>5682</v>
      </c>
      <c r="X521" t="s" s="0">
        <v>82</v>
      </c>
      <c r="Y521" t="s" s="0">
        <v>82</v>
      </c>
      <c r="Z521" t="s" s="0">
        <v>94</v>
      </c>
      <c r="AA521" t="s" s="0">
        <v>95</v>
      </c>
      <c r="AB521" t="s" s="0">
        <v>82</v>
      </c>
      <c r="AC521" t="s" s="0">
        <v>82</v>
      </c>
      <c r="AD521" t="s" s="0">
        <v>82</v>
      </c>
      <c r="AE521" t="s" s="0">
        <v>82</v>
      </c>
      <c r="AF521" t="s" s="0">
        <v>82</v>
      </c>
      <c r="AG521" t="s" s="0">
        <v>12225</v>
      </c>
      <c r="AH521" t="s" s="0">
        <v>12226</v>
      </c>
      <c r="AI521" t="s" s="0">
        <v>82</v>
      </c>
      <c r="AJ521" t="s" s="0">
        <v>12227</v>
      </c>
      <c r="AK521" t="s" s="0">
        <v>82</v>
      </c>
      <c r="AL521" t="s" s="0">
        <v>745</v>
      </c>
      <c r="AM521" t="s" s="0">
        <v>239</v>
      </c>
      <c r="AN521" t="s" s="0">
        <v>1320</v>
      </c>
      <c r="AO521" t="s" s="0">
        <v>78</v>
      </c>
      <c r="AP521" t="s" s="0">
        <v>349</v>
      </c>
      <c r="AQ521" t="s" s="0">
        <v>832</v>
      </c>
      <c r="AR521" t="s" s="0">
        <v>833</v>
      </c>
      <c r="AS521" t="s" s="0">
        <v>834</v>
      </c>
      <c r="AT521" t="s" s="0">
        <v>5687</v>
      </c>
      <c r="AU521" t="s" s="0">
        <v>5688</v>
      </c>
      <c r="AV521" t="s" s="0">
        <v>82</v>
      </c>
      <c r="AW521" t="s" s="0">
        <v>5689</v>
      </c>
      <c r="AX521" t="s" s="0">
        <v>5690</v>
      </c>
      <c r="AY521" t="s" s="0">
        <v>4669</v>
      </c>
      <c r="AZ521" t="s" s="0">
        <v>525</v>
      </c>
      <c r="BA521" t="s" s="0">
        <v>463</v>
      </c>
      <c r="BB521" t="s" s="0">
        <v>136</v>
      </c>
      <c r="BC521" t="s" s="0">
        <v>82</v>
      </c>
      <c r="BD521" t="s" s="0">
        <v>82</v>
      </c>
      <c r="BE521" t="s" s="0">
        <v>82</v>
      </c>
      <c r="BF521" t="s" s="0">
        <v>82</v>
      </c>
      <c r="BG521" t="s" s="0">
        <v>12228</v>
      </c>
      <c r="BH521" t="s" s="0">
        <v>9622</v>
      </c>
      <c r="BI521" t="s" s="0">
        <v>82</v>
      </c>
      <c r="BJ521" t="s" s="0">
        <v>12229</v>
      </c>
      <c r="BK521" t="s" s="1036">
        <f>HYPERLINK("http://dx.doi.org/10.1097/CCM.0000000000004966","http://dx.doi.org/10.1097/CCM.0000000000004966")</f>
        <v>12230</v>
      </c>
      <c r="BL521" t="s" s="0">
        <v>82</v>
      </c>
      <c r="BM521" t="s" s="0">
        <v>82</v>
      </c>
      <c r="BN521" t="s" s="0">
        <v>245</v>
      </c>
      <c r="BO521" t="s" s="0">
        <v>2920</v>
      </c>
      <c r="BP521" t="s" s="0">
        <v>355</v>
      </c>
      <c r="BQ521" t="s" s="0">
        <v>12231</v>
      </c>
      <c r="BR521" t="s" s="0">
        <v>12232</v>
      </c>
      <c r="BS521" t="s" s="0">
        <v>12233</v>
      </c>
      <c r="BT521" t="s" s="1037">
        <f>HYPERLINK("https://www.webofscience.com/wos/woscc/full-record/WOS:000674100000028","View Record in Web of Science")</f>
        <v>120</v>
      </c>
      <c r="BU521" t="s" s="0">
        <v>1265</v>
      </c>
      <c r="BV521" t="s" s="0">
        <v>82</v>
      </c>
      <c r="BW521" t="s" s="0">
        <v>82</v>
      </c>
      <c r="BX521" t="s" s="0">
        <v>122</v>
      </c>
    </row>
    <row r="522">
      <c r="A522" t="s" s="0">
        <v>78</v>
      </c>
      <c r="B522" t="s" s="0">
        <v>78</v>
      </c>
      <c r="C522" t="s" s="0">
        <v>221</v>
      </c>
      <c r="D522" t="s" s="0">
        <v>78</v>
      </c>
      <c r="E522" t="s" s="0">
        <v>12234</v>
      </c>
      <c r="F522" t="s" s="0">
        <v>12235</v>
      </c>
      <c r="G522" t="s" s="0">
        <v>12236</v>
      </c>
      <c r="H522" t="s" s="0">
        <v>82</v>
      </c>
      <c r="I522" t="s" s="0">
        <v>83</v>
      </c>
      <c r="J522" t="s" s="0">
        <v>12237</v>
      </c>
      <c r="K522" t="s" s="0">
        <v>12238</v>
      </c>
      <c r="L522" t="s" s="0">
        <v>82</v>
      </c>
      <c r="M522" t="s" s="0">
        <v>82</v>
      </c>
      <c r="N522" t="s" s="0">
        <v>82</v>
      </c>
      <c r="O522" t="s" s="0">
        <v>12239</v>
      </c>
      <c r="P522" t="s" s="0">
        <v>12240</v>
      </c>
      <c r="Q522" t="s" s="0">
        <v>91</v>
      </c>
      <c r="R522" t="s" s="0">
        <v>82</v>
      </c>
      <c r="S522" t="s" s="0">
        <v>82</v>
      </c>
      <c r="T522" t="s" s="0">
        <v>82</v>
      </c>
      <c r="U522" t="s" s="0">
        <v>82</v>
      </c>
      <c r="V522" t="s" s="0">
        <v>12241</v>
      </c>
      <c r="W522" t="s" s="0">
        <v>12242</v>
      </c>
      <c r="X522" t="s" s="0">
        <v>82</v>
      </c>
      <c r="Y522" t="s" s="0">
        <v>82</v>
      </c>
      <c r="Z522" t="s" s="0">
        <v>94</v>
      </c>
      <c r="AA522" t="s" s="0">
        <v>95</v>
      </c>
      <c r="AB522" t="s" s="0">
        <v>82</v>
      </c>
      <c r="AC522" t="s" s="0">
        <v>82</v>
      </c>
      <c r="AD522" t="s" s="0">
        <v>82</v>
      </c>
      <c r="AE522" t="s" s="0">
        <v>82</v>
      </c>
      <c r="AF522" t="s" s="0">
        <v>82</v>
      </c>
      <c r="AG522" t="s" s="0">
        <v>12243</v>
      </c>
      <c r="AH522" t="s" s="0">
        <v>12244</v>
      </c>
      <c r="AI522" t="s" s="0">
        <v>12245</v>
      </c>
      <c r="AJ522" t="s" s="0">
        <v>12246</v>
      </c>
      <c r="AK522" t="s" s="0">
        <v>82</v>
      </c>
      <c r="AL522" t="s" s="0">
        <v>148</v>
      </c>
      <c r="AM522" t="s" s="0">
        <v>149</v>
      </c>
      <c r="AN522" t="s" s="0">
        <v>115</v>
      </c>
      <c r="AO522" t="s" s="0">
        <v>78</v>
      </c>
      <c r="AP522" t="s" s="0">
        <v>136</v>
      </c>
      <c r="AQ522" t="s" s="0">
        <v>2051</v>
      </c>
      <c r="AR522" t="s" s="0">
        <v>203</v>
      </c>
      <c r="AS522" t="s" s="0">
        <v>2052</v>
      </c>
      <c r="AT522" t="s" s="0">
        <v>12247</v>
      </c>
      <c r="AU522" t="s" s="0">
        <v>12248</v>
      </c>
      <c r="AV522" t="s" s="0">
        <v>82</v>
      </c>
      <c r="AW522" t="s" s="0">
        <v>12249</v>
      </c>
      <c r="AX522" t="s" s="0">
        <v>12250</v>
      </c>
      <c r="AY522" t="s" s="0">
        <v>837</v>
      </c>
      <c r="AZ522" t="s" s="0">
        <v>210</v>
      </c>
      <c r="BA522" t="s" s="0">
        <v>745</v>
      </c>
      <c r="BB522" t="s" s="0">
        <v>101</v>
      </c>
      <c r="BC522" t="s" s="0">
        <v>2057</v>
      </c>
      <c r="BD522" t="s" s="0">
        <v>82</v>
      </c>
      <c r="BE522" t="s" s="0">
        <v>82</v>
      </c>
      <c r="BF522" t="s" s="0">
        <v>82</v>
      </c>
      <c r="BG522" t="s" s="0">
        <v>12251</v>
      </c>
      <c r="BH522" t="s" s="0">
        <v>12252</v>
      </c>
      <c r="BI522" t="s" s="0">
        <v>82</v>
      </c>
      <c r="BJ522" t="s" s="0">
        <v>12253</v>
      </c>
      <c r="BK522" t="s" s="1038">
        <f>HYPERLINK("http://dx.doi.org/10.1007/s00345-022-03965-w","http://dx.doi.org/10.1007/s00345-022-03965-w")</f>
        <v>12254</v>
      </c>
      <c r="BL522" t="s" s="0">
        <v>82</v>
      </c>
      <c r="BM522" t="s" s="0">
        <v>413</v>
      </c>
      <c r="BN522" t="s" s="0">
        <v>138</v>
      </c>
      <c r="BO522" t="s" s="0">
        <v>1197</v>
      </c>
      <c r="BP522" t="s" s="0">
        <v>1197</v>
      </c>
      <c r="BQ522" t="s" s="0">
        <v>12255</v>
      </c>
      <c r="BR522" t="s" s="0">
        <v>12256</v>
      </c>
      <c r="BS522" t="s" s="0">
        <v>12257</v>
      </c>
      <c r="BT522" t="s" s="1039">
        <f>HYPERLINK("https://www.webofscience.com/wos/woscc/full-record/WOS:000765201800004","View Record in Web of Science")</f>
        <v>120</v>
      </c>
      <c r="BU522" t="s" s="0">
        <v>82</v>
      </c>
      <c r="BV522" t="s" s="0">
        <v>82</v>
      </c>
      <c r="BW522" t="s" s="0">
        <v>82</v>
      </c>
      <c r="BX522" t="s" s="0">
        <v>122</v>
      </c>
    </row>
    <row r="523">
      <c r="A523" t="s" s="0">
        <v>78</v>
      </c>
      <c r="B523" t="s" s="0">
        <v>78</v>
      </c>
      <c r="C523" t="s" s="0">
        <v>78</v>
      </c>
      <c r="D523" t="s" s="0">
        <v>78</v>
      </c>
      <c r="E523" t="s" s="0">
        <v>12258</v>
      </c>
      <c r="F523" t="s" s="0">
        <v>12259</v>
      </c>
      <c r="G523" t="s" s="0">
        <v>12260</v>
      </c>
      <c r="H523" t="s" s="0">
        <v>82</v>
      </c>
      <c r="I523" t="s" s="0">
        <v>83</v>
      </c>
      <c r="J523" t="s" s="0">
        <v>12261</v>
      </c>
      <c r="K523" t="s" s="0">
        <v>12262</v>
      </c>
      <c r="L523" t="s" s="0">
        <v>82</v>
      </c>
      <c r="M523" t="s" s="0">
        <v>82</v>
      </c>
      <c r="N523" t="s" s="0">
        <v>82</v>
      </c>
      <c r="O523" t="s" s="0">
        <v>12263</v>
      </c>
      <c r="P523" t="s" s="0">
        <v>12264</v>
      </c>
      <c r="Q523" t="s" s="0">
        <v>91</v>
      </c>
      <c r="R523" t="s" s="0">
        <v>82</v>
      </c>
      <c r="S523" t="s" s="0">
        <v>82</v>
      </c>
      <c r="T523" t="s" s="0">
        <v>82</v>
      </c>
      <c r="U523" t="s" s="0">
        <v>82</v>
      </c>
      <c r="V523" t="s" s="0">
        <v>12265</v>
      </c>
      <c r="W523" t="s" s="0">
        <v>12266</v>
      </c>
      <c r="X523" t="s" s="0">
        <v>82</v>
      </c>
      <c r="Y523" t="s" s="0">
        <v>82</v>
      </c>
      <c r="Z523" t="s" s="0">
        <v>94</v>
      </c>
      <c r="AA523" t="s" s="0">
        <v>95</v>
      </c>
      <c r="AB523" t="s" s="0">
        <v>82</v>
      </c>
      <c r="AC523" t="s" s="0">
        <v>82</v>
      </c>
      <c r="AD523" t="s" s="0">
        <v>82</v>
      </c>
      <c r="AE523" t="s" s="0">
        <v>82</v>
      </c>
      <c r="AF523" t="s" s="0">
        <v>82</v>
      </c>
      <c r="AG523" t="s" s="0">
        <v>82</v>
      </c>
      <c r="AH523" t="s" s="0">
        <v>82</v>
      </c>
      <c r="AI523" t="s" s="0">
        <v>12267</v>
      </c>
      <c r="AJ523" t="s" s="0">
        <v>82</v>
      </c>
      <c r="AK523" t="s" s="0">
        <v>82</v>
      </c>
      <c r="AL523" t="s" s="0">
        <v>640</v>
      </c>
      <c r="AM523" t="s" s="0">
        <v>78</v>
      </c>
      <c r="AN523" t="s" s="0">
        <v>78</v>
      </c>
      <c r="AO523" t="s" s="0">
        <v>78</v>
      </c>
      <c r="AP523" t="s" s="0">
        <v>78</v>
      </c>
      <c r="AQ523" t="s" s="0">
        <v>9914</v>
      </c>
      <c r="AR523" t="s" s="0">
        <v>9915</v>
      </c>
      <c r="AS523" t="s" s="0">
        <v>9916</v>
      </c>
      <c r="AT523" t="s" s="0">
        <v>12268</v>
      </c>
      <c r="AU523" t="s" s="0">
        <v>12269</v>
      </c>
      <c r="AV523" t="s" s="0">
        <v>82</v>
      </c>
      <c r="AW523" t="s" s="0">
        <v>12270</v>
      </c>
      <c r="AX523" t="s" s="0">
        <v>12271</v>
      </c>
      <c r="AY523" t="s" s="0">
        <v>181</v>
      </c>
      <c r="AZ523" t="s" s="0">
        <v>181</v>
      </c>
      <c r="BA523" t="s" s="0">
        <v>4777</v>
      </c>
      <c r="BB523" t="s" s="0">
        <v>82</v>
      </c>
      <c r="BC523" t="s" s="0">
        <v>82</v>
      </c>
      <c r="BD523" t="s" s="0">
        <v>82</v>
      </c>
      <c r="BE523" t="s" s="0">
        <v>82</v>
      </c>
      <c r="BF523" t="s" s="0">
        <v>82</v>
      </c>
      <c r="BG523" t="s" s="0">
        <v>12272</v>
      </c>
      <c r="BH523" t="s" s="0">
        <v>12273</v>
      </c>
      <c r="BI523" t="s" s="0">
        <v>82</v>
      </c>
      <c r="BJ523" t="s" s="0">
        <v>12274</v>
      </c>
      <c r="BK523" t="s" s="1040">
        <f>HYPERLINK("http://dx.doi.org/10.2340/17453674.2026.45871","http://dx.doi.org/10.2340/17453674.2026.45871")</f>
        <v>12275</v>
      </c>
      <c r="BL523" t="s" s="0">
        <v>82</v>
      </c>
      <c r="BM523" t="s" s="0">
        <v>82</v>
      </c>
      <c r="BN523" t="s" s="0">
        <v>138</v>
      </c>
      <c r="BO523" t="s" s="0">
        <v>2964</v>
      </c>
      <c r="BP523" t="s" s="0">
        <v>2964</v>
      </c>
      <c r="BQ523" t="s" s="0">
        <v>12276</v>
      </c>
      <c r="BR523" t="s" s="0">
        <v>12277</v>
      </c>
      <c r="BS523" t="s" s="0">
        <v>12278</v>
      </c>
      <c r="BT523" t="s" s="1041">
        <f>HYPERLINK("https://www.webofscience.com/wos/woscc/full-record/WOS:001797926600002","View Record in Web of Science")</f>
        <v>120</v>
      </c>
      <c r="BU523" t="s" s="0">
        <v>121</v>
      </c>
      <c r="BV523" t="s" s="0">
        <v>82</v>
      </c>
      <c r="BW523" t="s" s="0">
        <v>82</v>
      </c>
      <c r="BX523" t="s" s="0">
        <v>122</v>
      </c>
    </row>
    <row r="524">
      <c r="A524" t="s" s="0">
        <v>78</v>
      </c>
      <c r="B524" t="s" s="0">
        <v>78</v>
      </c>
      <c r="C524" t="s" s="0">
        <v>78</v>
      </c>
      <c r="D524" t="s" s="0">
        <v>78</v>
      </c>
      <c r="E524" t="s" s="0">
        <v>12279</v>
      </c>
      <c r="F524" t="s" s="0">
        <v>12280</v>
      </c>
      <c r="G524" t="s" s="0">
        <v>12281</v>
      </c>
      <c r="H524" t="s" s="0">
        <v>82</v>
      </c>
      <c r="I524" t="s" s="0">
        <v>83</v>
      </c>
      <c r="J524" t="s" s="0">
        <v>12282</v>
      </c>
      <c r="K524" t="s" s="0">
        <v>12283</v>
      </c>
      <c r="L524" t="s" s="0">
        <v>12284</v>
      </c>
      <c r="M524" t="s" s="0">
        <v>12285</v>
      </c>
      <c r="N524" t="s" s="0">
        <v>12286</v>
      </c>
      <c r="O524" t="s" s="0">
        <v>12287</v>
      </c>
      <c r="P524" t="s" s="0">
        <v>12288</v>
      </c>
      <c r="Q524" t="s" s="0">
        <v>91</v>
      </c>
      <c r="R524" t="s" s="0">
        <v>82</v>
      </c>
      <c r="S524" t="s" s="0">
        <v>82</v>
      </c>
      <c r="T524" t="s" s="0">
        <v>82</v>
      </c>
      <c r="U524" t="s" s="0">
        <v>82</v>
      </c>
      <c r="V524" t="s" s="0">
        <v>12289</v>
      </c>
      <c r="W524" t="s" s="0">
        <v>12290</v>
      </c>
      <c r="X524" t="s" s="0">
        <v>82</v>
      </c>
      <c r="Y524" t="s" s="0">
        <v>82</v>
      </c>
      <c r="Z524" t="s" s="0">
        <v>94</v>
      </c>
      <c r="AA524" t="s" s="0">
        <v>95</v>
      </c>
      <c r="AB524" t="s" s="0">
        <v>82</v>
      </c>
      <c r="AC524" t="s" s="0">
        <v>82</v>
      </c>
      <c r="AD524" t="s" s="0">
        <v>82</v>
      </c>
      <c r="AE524" t="s" s="0">
        <v>82</v>
      </c>
      <c r="AF524" t="s" s="0">
        <v>82</v>
      </c>
      <c r="AG524" t="s" s="0">
        <v>12291</v>
      </c>
      <c r="AH524" t="s" s="0">
        <v>12292</v>
      </c>
      <c r="AI524" t="s" s="0">
        <v>12293</v>
      </c>
      <c r="AJ524" t="s" s="0">
        <v>12294</v>
      </c>
      <c r="AK524" t="s" s="0">
        <v>82</v>
      </c>
      <c r="AL524" t="s" s="0">
        <v>1869</v>
      </c>
      <c r="AM524" t="s" s="0">
        <v>78</v>
      </c>
      <c r="AN524" t="s" s="0">
        <v>78</v>
      </c>
      <c r="AO524" t="s" s="0">
        <v>78</v>
      </c>
      <c r="AP524" t="s" s="0">
        <v>78</v>
      </c>
      <c r="AQ524" t="s" s="0">
        <v>2051</v>
      </c>
      <c r="AR524" t="s" s="0">
        <v>203</v>
      </c>
      <c r="AS524" t="s" s="0">
        <v>2052</v>
      </c>
      <c r="AT524" t="s" s="0">
        <v>12295</v>
      </c>
      <c r="AU524" t="s" s="0">
        <v>12296</v>
      </c>
      <c r="AV524" t="s" s="0">
        <v>82</v>
      </c>
      <c r="AW524" t="s" s="0">
        <v>12297</v>
      </c>
      <c r="AX524" t="s" s="0">
        <v>12298</v>
      </c>
      <c r="AY524" t="s" s="0">
        <v>146</v>
      </c>
      <c r="AZ524" t="s" s="0">
        <v>147</v>
      </c>
      <c r="BA524" t="s" s="0">
        <v>238</v>
      </c>
      <c r="BB524" t="s" s="0">
        <v>149</v>
      </c>
      <c r="BC524" t="s" s="0">
        <v>82</v>
      </c>
      <c r="BD524" t="s" s="0">
        <v>82</v>
      </c>
      <c r="BE524" t="s" s="0">
        <v>82</v>
      </c>
      <c r="BF524" t="s" s="0">
        <v>82</v>
      </c>
      <c r="BG524" t="s" s="0">
        <v>12299</v>
      </c>
      <c r="BH524" t="s" s="0">
        <v>12300</v>
      </c>
      <c r="BI524" t="s" s="0">
        <v>82</v>
      </c>
      <c r="BJ524" t="s" s="0">
        <v>12301</v>
      </c>
      <c r="BK524" t="s" s="1042">
        <f>HYPERLINK("http://dx.doi.org/10.1007/s11695-025-08321-6","http://dx.doi.org/10.1007/s11695-025-08321-6")</f>
        <v>12302</v>
      </c>
      <c r="BL524" t="s" s="0">
        <v>82</v>
      </c>
      <c r="BM524" t="s" s="0">
        <v>1425</v>
      </c>
      <c r="BN524" t="s" s="0">
        <v>640</v>
      </c>
      <c r="BO524" t="s" s="0">
        <v>950</v>
      </c>
      <c r="BP524" t="s" s="0">
        <v>950</v>
      </c>
      <c r="BQ524" t="s" s="0">
        <v>12303</v>
      </c>
      <c r="BR524" t="s" s="0">
        <v>12304</v>
      </c>
      <c r="BS524" t="s" s="0">
        <v>12305</v>
      </c>
      <c r="BT524" t="s" s="1043">
        <f>HYPERLINK("https://www.webofscience.com/wos/woscc/full-record/WOS:001627890400001","View Record in Web of Science")</f>
        <v>120</v>
      </c>
      <c r="BU524" t="s" s="0">
        <v>256</v>
      </c>
      <c r="BV524" t="s" s="0">
        <v>82</v>
      </c>
      <c r="BW524" t="s" s="0">
        <v>82</v>
      </c>
      <c r="BX524" t="s" s="0">
        <v>122</v>
      </c>
    </row>
    <row r="525">
      <c r="A525" t="s" s="0">
        <v>78</v>
      </c>
      <c r="B525" t="s" s="0">
        <v>78</v>
      </c>
      <c r="C525" t="s" s="0">
        <v>447</v>
      </c>
      <c r="D525" t="s" s="0">
        <v>78</v>
      </c>
      <c r="E525" t="s" s="0">
        <v>12306</v>
      </c>
      <c r="F525" t="s" s="0">
        <v>12307</v>
      </c>
      <c r="G525" t="s" s="0">
        <v>12308</v>
      </c>
      <c r="H525" t="s" s="0">
        <v>82</v>
      </c>
      <c r="I525" t="s" s="0">
        <v>83</v>
      </c>
      <c r="J525" t="s" s="0">
        <v>12309</v>
      </c>
      <c r="K525" t="s" s="0">
        <v>12310</v>
      </c>
      <c r="L525" t="s" s="0">
        <v>12311</v>
      </c>
      <c r="M525" t="s" s="0">
        <v>12312</v>
      </c>
      <c r="N525" t="s" s="0">
        <v>12313</v>
      </c>
      <c r="O525" t="s" s="0">
        <v>12314</v>
      </c>
      <c r="P525" t="s" s="0">
        <v>12315</v>
      </c>
      <c r="Q525" t="s" s="0">
        <v>91</v>
      </c>
      <c r="R525" t="s" s="0">
        <v>82</v>
      </c>
      <c r="S525" t="s" s="0">
        <v>82</v>
      </c>
      <c r="T525" t="s" s="0">
        <v>82</v>
      </c>
      <c r="U525" t="s" s="0">
        <v>82</v>
      </c>
      <c r="V525" t="s" s="0">
        <v>12316</v>
      </c>
      <c r="W525" t="s" s="0">
        <v>3637</v>
      </c>
      <c r="X525" t="s" s="0">
        <v>82</v>
      </c>
      <c r="Y525" t="s" s="0">
        <v>82</v>
      </c>
      <c r="Z525" t="s" s="0">
        <v>94</v>
      </c>
      <c r="AA525" t="s" s="0">
        <v>95</v>
      </c>
      <c r="AB525" t="s" s="0">
        <v>82</v>
      </c>
      <c r="AC525" t="s" s="0">
        <v>82</v>
      </c>
      <c r="AD525" t="s" s="0">
        <v>82</v>
      </c>
      <c r="AE525" t="s" s="0">
        <v>82</v>
      </c>
      <c r="AF525" t="s" s="0">
        <v>82</v>
      </c>
      <c r="AG525" t="s" s="0">
        <v>82</v>
      </c>
      <c r="AH525" t="s" s="0">
        <v>12317</v>
      </c>
      <c r="AI525" t="s" s="0">
        <v>12318</v>
      </c>
      <c r="AJ525" t="s" s="0">
        <v>12319</v>
      </c>
      <c r="AK525" t="s" s="0">
        <v>82</v>
      </c>
      <c r="AL525" t="s" s="0">
        <v>1502</v>
      </c>
      <c r="AM525" t="s" s="0">
        <v>149</v>
      </c>
      <c r="AN525" t="s" s="0">
        <v>149</v>
      </c>
      <c r="AO525" t="s" s="0">
        <v>78</v>
      </c>
      <c r="AP525" t="s" s="0">
        <v>447</v>
      </c>
      <c r="AQ525" t="s" s="0">
        <v>633</v>
      </c>
      <c r="AR525" t="s" s="0">
        <v>634</v>
      </c>
      <c r="AS525" t="s" s="0">
        <v>635</v>
      </c>
      <c r="AT525" t="s" s="0">
        <v>3642</v>
      </c>
      <c r="AU525" t="s" s="0">
        <v>82</v>
      </c>
      <c r="AV525" t="s" s="0">
        <v>82</v>
      </c>
      <c r="AW525" t="s" s="0">
        <v>3643</v>
      </c>
      <c r="AX525" t="s" s="0">
        <v>3644</v>
      </c>
      <c r="AY525" t="s" s="0">
        <v>12320</v>
      </c>
      <c r="AZ525" t="s" s="0">
        <v>408</v>
      </c>
      <c r="BA525" t="s" s="0">
        <v>149</v>
      </c>
      <c r="BB525" t="s" s="0">
        <v>77</v>
      </c>
      <c r="BC525" t="s" s="0">
        <v>82</v>
      </c>
      <c r="BD525" t="s" s="0">
        <v>82</v>
      </c>
      <c r="BE525" t="s" s="0">
        <v>82</v>
      </c>
      <c r="BF525" t="s" s="0">
        <v>82</v>
      </c>
      <c r="BG525" t="s" s="0">
        <v>82</v>
      </c>
      <c r="BH525" t="s" s="0">
        <v>82</v>
      </c>
      <c r="BI525" t="s" s="0">
        <v>12321</v>
      </c>
      <c r="BJ525" t="s" s="0">
        <v>12322</v>
      </c>
      <c r="BK525" t="s" s="1044">
        <f>HYPERLINK("http://dx.doi.org/10.1038/s41598-022-20724-4","http://dx.doi.org/10.1038/s41598-022-20724-4")</f>
        <v>12323</v>
      </c>
      <c r="BL525" t="s" s="0">
        <v>82</v>
      </c>
      <c r="BM525" t="s" s="0">
        <v>82</v>
      </c>
      <c r="BN525" t="s" s="0">
        <v>137</v>
      </c>
      <c r="BO525" t="s" s="0">
        <v>644</v>
      </c>
      <c r="BP525" t="s" s="0">
        <v>645</v>
      </c>
      <c r="BQ525" t="s" s="0">
        <v>12324</v>
      </c>
      <c r="BR525" t="s" s="0">
        <v>12325</v>
      </c>
      <c r="BS525" t="s" s="0">
        <v>12326</v>
      </c>
      <c r="BT525" t="s" s="1045">
        <f>HYPERLINK("https://www.webofscience.com/wos/woscc/full-record/WOS:000865228800002","View Record in Web of Science")</f>
        <v>120</v>
      </c>
      <c r="BU525" t="s" s="0">
        <v>121</v>
      </c>
      <c r="BV525" t="s" s="0">
        <v>82</v>
      </c>
      <c r="BW525" t="s" s="0">
        <v>82</v>
      </c>
      <c r="BX525" t="s" s="0">
        <v>122</v>
      </c>
    </row>
    <row r="526">
      <c r="A526" t="s" s="0">
        <v>78</v>
      </c>
      <c r="B526" t="s" s="0">
        <v>78</v>
      </c>
      <c r="C526" t="s" s="0">
        <v>447</v>
      </c>
      <c r="D526" t="s" s="0">
        <v>78</v>
      </c>
      <c r="E526" t="s" s="0">
        <v>12327</v>
      </c>
      <c r="F526" t="s" s="0">
        <v>12328</v>
      </c>
      <c r="G526" t="s" s="0">
        <v>12329</v>
      </c>
      <c r="H526" t="s" s="0">
        <v>82</v>
      </c>
      <c r="I526" t="s" s="0">
        <v>83</v>
      </c>
      <c r="J526" t="s" s="0">
        <v>12330</v>
      </c>
      <c r="K526" t="s" s="0">
        <v>12331</v>
      </c>
      <c r="L526" t="s" s="0">
        <v>82</v>
      </c>
      <c r="M526" t="s" s="0">
        <v>82</v>
      </c>
      <c r="N526" t="s" s="0">
        <v>12332</v>
      </c>
      <c r="O526" t="s" s="0">
        <v>12333</v>
      </c>
      <c r="P526" t="s" s="0">
        <v>12334</v>
      </c>
      <c r="Q526" t="s" s="0">
        <v>91</v>
      </c>
      <c r="R526" t="s" s="0">
        <v>82</v>
      </c>
      <c r="S526" t="s" s="0">
        <v>82</v>
      </c>
      <c r="T526" t="s" s="0">
        <v>82</v>
      </c>
      <c r="U526" t="s" s="0">
        <v>82</v>
      </c>
      <c r="V526" t="s" s="0">
        <v>12335</v>
      </c>
      <c r="W526" t="s" s="0">
        <v>6387</v>
      </c>
      <c r="X526" t="s" s="0">
        <v>82</v>
      </c>
      <c r="Y526" t="s" s="0">
        <v>82</v>
      </c>
      <c r="Z526" t="s" s="0">
        <v>94</v>
      </c>
      <c r="AA526" t="s" s="0">
        <v>95</v>
      </c>
      <c r="AB526" t="s" s="0">
        <v>82</v>
      </c>
      <c r="AC526" t="s" s="0">
        <v>82</v>
      </c>
      <c r="AD526" t="s" s="0">
        <v>82</v>
      </c>
      <c r="AE526" t="s" s="0">
        <v>82</v>
      </c>
      <c r="AF526" t="s" s="0">
        <v>82</v>
      </c>
      <c r="AG526" t="s" s="0">
        <v>12336</v>
      </c>
      <c r="AH526" t="s" s="0">
        <v>12337</v>
      </c>
      <c r="AI526" t="s" s="0">
        <v>82</v>
      </c>
      <c r="AJ526" t="s" s="0">
        <v>82</v>
      </c>
      <c r="AK526" t="s" s="0">
        <v>82</v>
      </c>
      <c r="AL526" t="s" s="0">
        <v>374</v>
      </c>
      <c r="AM526" t="s" s="0">
        <v>138</v>
      </c>
      <c r="AN526" t="s" s="0">
        <v>319</v>
      </c>
      <c r="AO526" t="s" s="0">
        <v>447</v>
      </c>
      <c r="AP526" t="s" s="0">
        <v>149</v>
      </c>
      <c r="AQ526" t="s" s="0">
        <v>2484</v>
      </c>
      <c r="AR526" t="s" s="0">
        <v>2485</v>
      </c>
      <c r="AS526" t="s" s="0">
        <v>2486</v>
      </c>
      <c r="AT526" t="s" s="0">
        <v>6391</v>
      </c>
      <c r="AU526" t="s" s="0">
        <v>82</v>
      </c>
      <c r="AV526" t="s" s="0">
        <v>82</v>
      </c>
      <c r="AW526" t="s" s="0">
        <v>6392</v>
      </c>
      <c r="AX526" t="s" s="0">
        <v>6393</v>
      </c>
      <c r="AY526" t="s" s="0">
        <v>12338</v>
      </c>
      <c r="AZ526" t="s" s="0">
        <v>110</v>
      </c>
      <c r="BA526" t="s" s="0">
        <v>323</v>
      </c>
      <c r="BB526" t="s" s="0">
        <v>82</v>
      </c>
      <c r="BC526" t="s" s="0">
        <v>82</v>
      </c>
      <c r="BD526" t="s" s="0">
        <v>82</v>
      </c>
      <c r="BE526" t="s" s="0">
        <v>82</v>
      </c>
      <c r="BF526" t="s" s="0">
        <v>82</v>
      </c>
      <c r="BG526" t="s" s="0">
        <v>82</v>
      </c>
      <c r="BH526" t="s" s="0">
        <v>82</v>
      </c>
      <c r="BI526" t="s" s="0">
        <v>12339</v>
      </c>
      <c r="BJ526" t="s" s="0">
        <v>12340</v>
      </c>
      <c r="BK526" t="s" s="1046">
        <f>HYPERLINK("http://dx.doi.org/10.3389/fonc.2024.1488118","http://dx.doi.org/10.3389/fonc.2024.1488118")</f>
        <v>12341</v>
      </c>
      <c r="BL526" t="s" s="0">
        <v>82</v>
      </c>
      <c r="BM526" t="s" s="0">
        <v>82</v>
      </c>
      <c r="BN526" t="s" s="0">
        <v>148</v>
      </c>
      <c r="BO526" t="s" s="0">
        <v>4833</v>
      </c>
      <c r="BP526" t="s" s="0">
        <v>4833</v>
      </c>
      <c r="BQ526" t="s" s="0">
        <v>12342</v>
      </c>
      <c r="BR526" t="s" s="0">
        <v>12343</v>
      </c>
      <c r="BS526" t="s" s="0">
        <v>12344</v>
      </c>
      <c r="BT526" t="s" s="1047">
        <f>HYPERLINK("https://www.webofscience.com/wos/woscc/full-record/WOS:001348317900001","View Record in Web of Science")</f>
        <v>120</v>
      </c>
      <c r="BU526" t="s" s="0">
        <v>121</v>
      </c>
      <c r="BV526" t="s" s="0">
        <v>82</v>
      </c>
      <c r="BW526" t="s" s="0">
        <v>82</v>
      </c>
      <c r="BX526" t="s" s="0">
        <v>122</v>
      </c>
    </row>
    <row r="527">
      <c r="A527" t="s" s="0">
        <v>78</v>
      </c>
      <c r="B527" t="s" s="0">
        <v>78</v>
      </c>
      <c r="C527" t="s" s="0">
        <v>78</v>
      </c>
      <c r="D527" t="s" s="0">
        <v>78</v>
      </c>
      <c r="E527" t="s" s="0">
        <v>12345</v>
      </c>
      <c r="F527" t="s" s="0">
        <v>12346</v>
      </c>
      <c r="G527" t="s" s="0">
        <v>12347</v>
      </c>
      <c r="H527" t="s" s="0">
        <v>82</v>
      </c>
      <c r="I527" t="s" s="0">
        <v>83</v>
      </c>
      <c r="J527" t="s" s="0">
        <v>12348</v>
      </c>
      <c r="K527" t="s" s="0">
        <v>12349</v>
      </c>
      <c r="L527" t="s" s="0">
        <v>82</v>
      </c>
      <c r="M527" t="s" s="0">
        <v>82</v>
      </c>
      <c r="N527" t="s" s="0">
        <v>82</v>
      </c>
      <c r="O527" t="s" s="0">
        <v>12350</v>
      </c>
      <c r="P527" t="s" s="0">
        <v>82</v>
      </c>
      <c r="Q527" t="s" s="0">
        <v>91</v>
      </c>
      <c r="R527" t="s" s="0">
        <v>82</v>
      </c>
      <c r="S527" t="s" s="0">
        <v>82</v>
      </c>
      <c r="T527" t="s" s="0">
        <v>82</v>
      </c>
      <c r="U527" t="s" s="0">
        <v>82</v>
      </c>
      <c r="V527" t="s" s="0">
        <v>12351</v>
      </c>
      <c r="W527" t="s" s="0">
        <v>12352</v>
      </c>
      <c r="X527" t="s" s="0">
        <v>82</v>
      </c>
      <c r="Y527" t="s" s="0">
        <v>82</v>
      </c>
      <c r="Z527" t="s" s="0">
        <v>94</v>
      </c>
      <c r="AA527" t="s" s="0">
        <v>95</v>
      </c>
      <c r="AB527" t="s" s="0">
        <v>82</v>
      </c>
      <c r="AC527" t="s" s="0">
        <v>82</v>
      </c>
      <c r="AD527" t="s" s="0">
        <v>82</v>
      </c>
      <c r="AE527" t="s" s="0">
        <v>82</v>
      </c>
      <c r="AF527" t="s" s="0">
        <v>82</v>
      </c>
      <c r="AG527" t="s" s="0">
        <v>12353</v>
      </c>
      <c r="AH527" t="s" s="0">
        <v>82</v>
      </c>
      <c r="AI527" t="s" s="0">
        <v>82</v>
      </c>
      <c r="AJ527" t="s" s="0">
        <v>82</v>
      </c>
      <c r="AK527" t="s" s="0">
        <v>82</v>
      </c>
      <c r="AL527" t="s" s="0">
        <v>685</v>
      </c>
      <c r="AM527" t="s" s="0">
        <v>78</v>
      </c>
      <c r="AN527" t="s" s="0">
        <v>78</v>
      </c>
      <c r="AO527" t="s" s="0">
        <v>78</v>
      </c>
      <c r="AP527" t="s" s="0">
        <v>78</v>
      </c>
      <c r="AQ527" t="s" s="0">
        <v>2484</v>
      </c>
      <c r="AR527" t="s" s="0">
        <v>2485</v>
      </c>
      <c r="AS527" t="s" s="0">
        <v>2486</v>
      </c>
      <c r="AT527" t="s" s="0">
        <v>12354</v>
      </c>
      <c r="AU527" t="s" s="0">
        <v>82</v>
      </c>
      <c r="AV527" t="s" s="0">
        <v>82</v>
      </c>
      <c r="AW527" t="s" s="0">
        <v>12355</v>
      </c>
      <c r="AX527" t="s" s="0">
        <v>12356</v>
      </c>
      <c r="AY527" t="s" s="0">
        <v>3665</v>
      </c>
      <c r="AZ527" t="s" s="0">
        <v>181</v>
      </c>
      <c r="BA527" t="s" s="0">
        <v>323</v>
      </c>
      <c r="BB527" t="s" s="0">
        <v>82</v>
      </c>
      <c r="BC527" t="s" s="0">
        <v>82</v>
      </c>
      <c r="BD527" t="s" s="0">
        <v>82</v>
      </c>
      <c r="BE527" t="s" s="0">
        <v>82</v>
      </c>
      <c r="BF527" t="s" s="0">
        <v>82</v>
      </c>
      <c r="BG527" t="s" s="0">
        <v>82</v>
      </c>
      <c r="BH527" t="s" s="0">
        <v>82</v>
      </c>
      <c r="BI527" t="s" s="0">
        <v>12357</v>
      </c>
      <c r="BJ527" t="s" s="0">
        <v>12358</v>
      </c>
      <c r="BK527" t="s" s="1048">
        <f>HYPERLINK("http://dx.doi.org/10.3389/fped.2026.1870229","http://dx.doi.org/10.3389/fped.2026.1870229")</f>
        <v>12359</v>
      </c>
      <c r="BL527" t="s" s="0">
        <v>82</v>
      </c>
      <c r="BM527" t="s" s="0">
        <v>82</v>
      </c>
      <c r="BN527" t="s" s="0">
        <v>137</v>
      </c>
      <c r="BO527" t="s" s="0">
        <v>5770</v>
      </c>
      <c r="BP527" t="s" s="0">
        <v>5770</v>
      </c>
      <c r="BQ527" t="s" s="0">
        <v>12360</v>
      </c>
      <c r="BR527" t="s" s="0">
        <v>82</v>
      </c>
      <c r="BS527" t="s" s="0">
        <v>12361</v>
      </c>
      <c r="BT527" t="s" s="1049">
        <f>HYPERLINK("https://www.webofscience.com/wos/woscc/full-record/WOS:001840177900001","View Record in Web of Science")</f>
        <v>120</v>
      </c>
      <c r="BU527" t="s" s="0">
        <v>1008</v>
      </c>
      <c r="BV527" t="s" s="0">
        <v>82</v>
      </c>
      <c r="BW527" t="s" s="0">
        <v>82</v>
      </c>
      <c r="BX527" t="s" s="0">
        <v>122</v>
      </c>
    </row>
    <row r="528">
      <c r="A528" t="s" s="0">
        <v>77</v>
      </c>
      <c r="B528" t="s" s="0">
        <v>78</v>
      </c>
      <c r="C528" t="s" s="0">
        <v>101</v>
      </c>
      <c r="D528" t="s" s="0">
        <v>78</v>
      </c>
      <c r="E528" t="s" s="0">
        <v>12362</v>
      </c>
      <c r="F528" t="s" s="0">
        <v>12363</v>
      </c>
      <c r="G528" t="s" s="0">
        <v>12364</v>
      </c>
      <c r="H528" t="s" s="0">
        <v>82</v>
      </c>
      <c r="I528" t="s" s="0">
        <v>83</v>
      </c>
      <c r="J528" t="s" s="0">
        <v>12365</v>
      </c>
      <c r="K528" t="s" s="0">
        <v>12366</v>
      </c>
      <c r="L528" t="s" s="0">
        <v>12367</v>
      </c>
      <c r="M528" t="s" s="0">
        <v>12367</v>
      </c>
      <c r="N528" t="s" s="0">
        <v>12368</v>
      </c>
      <c r="O528" t="s" s="0">
        <v>12369</v>
      </c>
      <c r="P528" t="s" s="0">
        <v>12370</v>
      </c>
      <c r="Q528" t="s" s="0">
        <v>91</v>
      </c>
      <c r="R528" t="s" s="0">
        <v>82</v>
      </c>
      <c r="S528" t="s" s="0">
        <v>82</v>
      </c>
      <c r="T528" t="s" s="0">
        <v>82</v>
      </c>
      <c r="U528" t="s" s="0">
        <v>82</v>
      </c>
      <c r="V528" t="s" s="0">
        <v>12371</v>
      </c>
      <c r="W528" t="s" s="0">
        <v>3978</v>
      </c>
      <c r="X528" t="s" s="0">
        <v>82</v>
      </c>
      <c r="Y528" t="s" s="0">
        <v>82</v>
      </c>
      <c r="Z528" t="s" s="0">
        <v>94</v>
      </c>
      <c r="AA528" t="s" s="0">
        <v>95</v>
      </c>
      <c r="AB528" t="s" s="0">
        <v>82</v>
      </c>
      <c r="AC528" t="s" s="0">
        <v>82</v>
      </c>
      <c r="AD528" t="s" s="0">
        <v>82</v>
      </c>
      <c r="AE528" t="s" s="0">
        <v>82</v>
      </c>
      <c r="AF528" t="s" s="0">
        <v>82</v>
      </c>
      <c r="AG528" t="s" s="0">
        <v>12372</v>
      </c>
      <c r="AH528" t="s" s="0">
        <v>12373</v>
      </c>
      <c r="AI528" t="s" s="0">
        <v>12374</v>
      </c>
      <c r="AJ528" t="s" s="0">
        <v>12375</v>
      </c>
      <c r="AK528" t="s" s="0">
        <v>82</v>
      </c>
      <c r="AL528" t="s" s="0">
        <v>1162</v>
      </c>
      <c r="AM528" t="s" s="0">
        <v>149</v>
      </c>
      <c r="AN528" t="s" s="0">
        <v>349</v>
      </c>
      <c r="AO528" t="s" s="0">
        <v>136</v>
      </c>
      <c r="AP528" t="s" s="0">
        <v>111</v>
      </c>
      <c r="AQ528" t="s" s="0">
        <v>103</v>
      </c>
      <c r="AR528" t="s" s="0">
        <v>104</v>
      </c>
      <c r="AS528" t="s" s="0">
        <v>105</v>
      </c>
      <c r="AT528" t="s" s="0">
        <v>3981</v>
      </c>
      <c r="AU528" t="s" s="0">
        <v>82</v>
      </c>
      <c r="AV528" t="s" s="0">
        <v>82</v>
      </c>
      <c r="AW528" t="s" s="0">
        <v>3982</v>
      </c>
      <c r="AX528" t="s" s="0">
        <v>3983</v>
      </c>
      <c r="AY528" t="s" s="0">
        <v>12376</v>
      </c>
      <c r="AZ528" t="s" s="0">
        <v>147</v>
      </c>
      <c r="BA528" t="s" s="0">
        <v>685</v>
      </c>
      <c r="BB528" t="s" s="0">
        <v>77</v>
      </c>
      <c r="BC528" t="s" s="0">
        <v>82</v>
      </c>
      <c r="BD528" t="s" s="0">
        <v>82</v>
      </c>
      <c r="BE528" t="s" s="0">
        <v>82</v>
      </c>
      <c r="BF528" t="s" s="0">
        <v>82</v>
      </c>
      <c r="BG528" t="s" s="0">
        <v>82</v>
      </c>
      <c r="BH528" t="s" s="0">
        <v>82</v>
      </c>
      <c r="BI528" t="s" s="0">
        <v>12377</v>
      </c>
      <c r="BJ528" t="s" s="0">
        <v>12378</v>
      </c>
      <c r="BK528" t="s" s="1050">
        <f>HYPERLINK("http://dx.doi.org/10.1186/s12916-025-03912-7","http://dx.doi.org/10.1186/s12916-025-03912-7")</f>
        <v>12379</v>
      </c>
      <c r="BL528" t="s" s="0">
        <v>82</v>
      </c>
      <c r="BM528" t="s" s="0">
        <v>82</v>
      </c>
      <c r="BN528" t="s" s="0">
        <v>323</v>
      </c>
      <c r="BO528" t="s" s="0">
        <v>354</v>
      </c>
      <c r="BP528" t="s" s="0">
        <v>355</v>
      </c>
      <c r="BQ528" t="s" s="0">
        <v>12380</v>
      </c>
      <c r="BR528" t="s" s="0">
        <v>12381</v>
      </c>
      <c r="BS528" t="s" s="0">
        <v>12382</v>
      </c>
      <c r="BT528" t="s" s="1051">
        <f>HYPERLINK("https://www.webofscience.com/wos/woscc/full-record/WOS:001428298600005","View Record in Web of Science")</f>
        <v>120</v>
      </c>
      <c r="BU528" t="s" s="0">
        <v>121</v>
      </c>
      <c r="BV528" t="s" s="0">
        <v>82</v>
      </c>
      <c r="BW528" t="s" s="0">
        <v>82</v>
      </c>
      <c r="BX528" t="s" s="0">
        <v>122</v>
      </c>
    </row>
    <row r="529">
      <c r="A529" t="s" s="0">
        <v>78</v>
      </c>
      <c r="B529" t="s" s="0">
        <v>78</v>
      </c>
      <c r="C529" t="s" s="0">
        <v>77</v>
      </c>
      <c r="D529" t="s" s="0">
        <v>78</v>
      </c>
      <c r="E529" t="s" s="0">
        <v>12383</v>
      </c>
      <c r="F529" t="s" s="0">
        <v>12384</v>
      </c>
      <c r="G529" t="s" s="0">
        <v>12385</v>
      </c>
      <c r="H529" t="s" s="0">
        <v>82</v>
      </c>
      <c r="I529" t="s" s="0">
        <v>83</v>
      </c>
      <c r="J529" t="s" s="0">
        <v>12386</v>
      </c>
      <c r="K529" t="s" s="0">
        <v>12387</v>
      </c>
      <c r="L529" t="s" s="0">
        <v>12388</v>
      </c>
      <c r="M529" t="s" s="0">
        <v>12389</v>
      </c>
      <c r="N529" t="s" s="0">
        <v>12390</v>
      </c>
      <c r="O529" t="s" s="0">
        <v>12391</v>
      </c>
      <c r="P529" t="s" s="0">
        <v>12392</v>
      </c>
      <c r="Q529" t="s" s="0">
        <v>91</v>
      </c>
      <c r="R529" t="s" s="0">
        <v>82</v>
      </c>
      <c r="S529" t="s" s="0">
        <v>82</v>
      </c>
      <c r="T529" t="s" s="0">
        <v>82</v>
      </c>
      <c r="U529" t="s" s="0">
        <v>82</v>
      </c>
      <c r="V529" t="s" s="0">
        <v>12393</v>
      </c>
      <c r="W529" t="s" s="0">
        <v>12394</v>
      </c>
      <c r="X529" t="s" s="0">
        <v>82</v>
      </c>
      <c r="Y529" t="s" s="0">
        <v>82</v>
      </c>
      <c r="Z529" t="s" s="0">
        <v>94</v>
      </c>
      <c r="AA529" t="s" s="0">
        <v>95</v>
      </c>
      <c r="AB529" t="s" s="0">
        <v>82</v>
      </c>
      <c r="AC529" t="s" s="0">
        <v>82</v>
      </c>
      <c r="AD529" t="s" s="0">
        <v>82</v>
      </c>
      <c r="AE529" t="s" s="0">
        <v>82</v>
      </c>
      <c r="AF529" t="s" s="0">
        <v>82</v>
      </c>
      <c r="AG529" t="s" s="0">
        <v>12395</v>
      </c>
      <c r="AH529" t="s" s="0">
        <v>12396</v>
      </c>
      <c r="AI529" t="s" s="0">
        <v>12397</v>
      </c>
      <c r="AJ529" t="s" s="0">
        <v>12398</v>
      </c>
      <c r="AK529" t="s" s="0">
        <v>82</v>
      </c>
      <c r="AL529" t="s" s="0">
        <v>890</v>
      </c>
      <c r="AM529" t="s" s="0">
        <v>138</v>
      </c>
      <c r="AN529" t="s" s="0">
        <v>319</v>
      </c>
      <c r="AO529" t="s" s="0">
        <v>78</v>
      </c>
      <c r="AP529" t="s" s="0">
        <v>221</v>
      </c>
      <c r="AQ529" t="s" s="0">
        <v>174</v>
      </c>
      <c r="AR529" t="s" s="0">
        <v>175</v>
      </c>
      <c r="AS529" t="s" s="0">
        <v>176</v>
      </c>
      <c r="AT529" t="s" s="0">
        <v>82</v>
      </c>
      <c r="AU529" t="s" s="0">
        <v>12399</v>
      </c>
      <c r="AV529" t="s" s="0">
        <v>82</v>
      </c>
      <c r="AW529" t="s" s="0">
        <v>12400</v>
      </c>
      <c r="AX529" t="s" s="0">
        <v>12401</v>
      </c>
      <c r="AY529" t="s" s="0">
        <v>12402</v>
      </c>
      <c r="AZ529" t="s" s="0">
        <v>110</v>
      </c>
      <c r="BA529" t="s" s="0">
        <v>115</v>
      </c>
      <c r="BB529" t="s" s="0">
        <v>173</v>
      </c>
      <c r="BC529" t="s" s="0">
        <v>82</v>
      </c>
      <c r="BD529" t="s" s="0">
        <v>82</v>
      </c>
      <c r="BE529" t="s" s="0">
        <v>82</v>
      </c>
      <c r="BF529" t="s" s="0">
        <v>82</v>
      </c>
      <c r="BG529" t="s" s="0">
        <v>82</v>
      </c>
      <c r="BH529" t="s" s="0">
        <v>82</v>
      </c>
      <c r="BI529" t="s" s="0">
        <v>12403</v>
      </c>
      <c r="BJ529" t="s" s="0">
        <v>12404</v>
      </c>
      <c r="BK529" t="s" s="1052">
        <f>HYPERLINK("http://dx.doi.org/10.1161/JAHA.124.037088","http://dx.doi.org/10.1161/JAHA.124.037088")</f>
        <v>12405</v>
      </c>
      <c r="BL529" t="s" s="0">
        <v>82</v>
      </c>
      <c r="BM529" t="s" s="0">
        <v>82</v>
      </c>
      <c r="BN529" t="s" s="0">
        <v>149</v>
      </c>
      <c r="BO529" t="s" s="0">
        <v>503</v>
      </c>
      <c r="BP529" t="s" s="0">
        <v>504</v>
      </c>
      <c r="BQ529" t="s" s="0">
        <v>12406</v>
      </c>
      <c r="BR529" t="s" s="0">
        <v>12407</v>
      </c>
      <c r="BS529" t="s" s="0">
        <v>12408</v>
      </c>
      <c r="BT529" t="s" s="1053">
        <f>HYPERLINK("https://www.webofscience.com/wos/woscc/full-record/WOS:001332695300021","View Record in Web of Science")</f>
        <v>120</v>
      </c>
      <c r="BU529" t="s" s="0">
        <v>121</v>
      </c>
      <c r="BV529" t="s" s="0">
        <v>82</v>
      </c>
      <c r="BW529" t="s" s="0">
        <v>82</v>
      </c>
      <c r="BX529" t="s" s="0">
        <v>122</v>
      </c>
    </row>
    <row r="530">
      <c r="A530" t="s" s="0">
        <v>78</v>
      </c>
      <c r="B530" t="s" s="0">
        <v>78</v>
      </c>
      <c r="C530" t="s" s="0">
        <v>78</v>
      </c>
      <c r="D530" t="s" s="0">
        <v>78</v>
      </c>
      <c r="E530" t="s" s="0">
        <v>12409</v>
      </c>
      <c r="F530" t="s" s="0">
        <v>12410</v>
      </c>
      <c r="G530" t="s" s="0">
        <v>12411</v>
      </c>
      <c r="H530" t="s" s="0">
        <v>82</v>
      </c>
      <c r="I530" t="s" s="0">
        <v>297</v>
      </c>
      <c r="J530" t="s" s="0">
        <v>12412</v>
      </c>
      <c r="K530" t="s" s="0">
        <v>12413</v>
      </c>
      <c r="L530" t="s" s="0">
        <v>12414</v>
      </c>
      <c r="M530" t="s" s="0">
        <v>12415</v>
      </c>
      <c r="N530" t="s" s="0">
        <v>12416</v>
      </c>
      <c r="O530" t="s" s="0">
        <v>12417</v>
      </c>
      <c r="P530" t="s" s="0">
        <v>12418</v>
      </c>
      <c r="Q530" t="s" s="0">
        <v>91</v>
      </c>
      <c r="R530" t="s" s="0">
        <v>82</v>
      </c>
      <c r="S530" t="s" s="0">
        <v>82</v>
      </c>
      <c r="T530" t="s" s="0">
        <v>82</v>
      </c>
      <c r="U530" t="s" s="0">
        <v>82</v>
      </c>
      <c r="V530" t="s" s="0">
        <v>12419</v>
      </c>
      <c r="W530" t="s" s="0">
        <v>12420</v>
      </c>
      <c r="X530" t="s" s="0">
        <v>82</v>
      </c>
      <c r="Y530" t="s" s="0">
        <v>82</v>
      </c>
      <c r="Z530" t="s" s="0">
        <v>94</v>
      </c>
      <c r="AA530" t="s" s="0">
        <v>95</v>
      </c>
      <c r="AB530" t="s" s="0">
        <v>82</v>
      </c>
      <c r="AC530" t="s" s="0">
        <v>82</v>
      </c>
      <c r="AD530" t="s" s="0">
        <v>82</v>
      </c>
      <c r="AE530" t="s" s="0">
        <v>82</v>
      </c>
      <c r="AF530" t="s" s="0">
        <v>82</v>
      </c>
      <c r="AG530" t="s" s="0">
        <v>12421</v>
      </c>
      <c r="AH530" t="s" s="0">
        <v>12422</v>
      </c>
      <c r="AI530" t="s" s="0">
        <v>12423</v>
      </c>
      <c r="AJ530" t="s" s="0">
        <v>82</v>
      </c>
      <c r="AK530" t="s" s="0">
        <v>82</v>
      </c>
      <c r="AL530" t="s" s="0">
        <v>828</v>
      </c>
      <c r="AM530" t="s" s="0">
        <v>78</v>
      </c>
      <c r="AN530" t="s" s="0">
        <v>78</v>
      </c>
      <c r="AO530" t="s" s="0">
        <v>78</v>
      </c>
      <c r="AP530" t="s" s="0">
        <v>78</v>
      </c>
      <c r="AQ530" t="s" s="0">
        <v>277</v>
      </c>
      <c r="AR530" t="s" s="0">
        <v>278</v>
      </c>
      <c r="AS530" t="s" s="0">
        <v>279</v>
      </c>
      <c r="AT530" t="s" s="0">
        <v>12424</v>
      </c>
      <c r="AU530" t="s" s="0">
        <v>82</v>
      </c>
      <c r="AV530" t="s" s="0">
        <v>82</v>
      </c>
      <c r="AW530" t="s" s="0">
        <v>12425</v>
      </c>
      <c r="AX530" t="s" s="0">
        <v>12426</v>
      </c>
      <c r="AY530" t="s" s="0">
        <v>184</v>
      </c>
      <c r="AZ530" t="s" s="0">
        <v>181</v>
      </c>
      <c r="BA530" t="s" s="0">
        <v>375</v>
      </c>
      <c r="BB530" t="s" s="0">
        <v>101</v>
      </c>
      <c r="BC530" t="s" s="0">
        <v>82</v>
      </c>
      <c r="BD530" t="s" s="0">
        <v>82</v>
      </c>
      <c r="BE530" t="s" s="0">
        <v>82</v>
      </c>
      <c r="BF530" t="s" s="0">
        <v>82</v>
      </c>
      <c r="BG530" t="s" s="0">
        <v>12427</v>
      </c>
      <c r="BH530" t="s" s="0">
        <v>1223</v>
      </c>
      <c r="BI530" t="s" s="0">
        <v>82</v>
      </c>
      <c r="BJ530" t="s" s="0">
        <v>12428</v>
      </c>
      <c r="BK530" t="s" s="1054">
        <f>HYPERLINK("http://dx.doi.org/10.1016/j.jncc.2025.12.002","http://dx.doi.org/10.1016/j.jncc.2025.12.002")</f>
        <v>12429</v>
      </c>
      <c r="BL530" t="s" s="0">
        <v>82</v>
      </c>
      <c r="BM530" t="s" s="0">
        <v>82</v>
      </c>
      <c r="BN530" t="s" s="0">
        <v>245</v>
      </c>
      <c r="BO530" t="s" s="0">
        <v>4833</v>
      </c>
      <c r="BP530" t="s" s="0">
        <v>4833</v>
      </c>
      <c r="BQ530" t="s" s="0">
        <v>12430</v>
      </c>
      <c r="BR530" t="s" s="0">
        <v>12431</v>
      </c>
      <c r="BS530" t="s" s="0">
        <v>12432</v>
      </c>
      <c r="BT530" t="s" s="1055">
        <f>HYPERLINK("https://www.webofscience.com/wos/woscc/full-record/WOS:001794876800001","View Record in Web of Science")</f>
        <v>120</v>
      </c>
      <c r="BU530" t="s" s="0">
        <v>1008</v>
      </c>
      <c r="BV530" t="s" s="0">
        <v>82</v>
      </c>
      <c r="BW530" t="s" s="0">
        <v>82</v>
      </c>
      <c r="BX530" t="s" s="0">
        <v>122</v>
      </c>
    </row>
    <row r="531">
      <c r="A531" t="s" s="0">
        <v>78</v>
      </c>
      <c r="B531" t="s" s="0">
        <v>78</v>
      </c>
      <c r="C531" t="s" s="0">
        <v>78</v>
      </c>
      <c r="D531" t="s" s="0">
        <v>78</v>
      </c>
      <c r="E531" t="s" s="0">
        <v>12433</v>
      </c>
      <c r="F531" t="s" s="0">
        <v>12434</v>
      </c>
      <c r="G531" t="s" s="0">
        <v>12435</v>
      </c>
      <c r="H531" t="s" s="0">
        <v>82</v>
      </c>
      <c r="I531" t="s" s="0">
        <v>589</v>
      </c>
      <c r="J531" t="s" s="0">
        <v>12436</v>
      </c>
      <c r="K531" t="s" s="0">
        <v>12437</v>
      </c>
      <c r="L531" t="s" s="0">
        <v>82</v>
      </c>
      <c r="M531" t="s" s="0">
        <v>82</v>
      </c>
      <c r="N531" t="s" s="0">
        <v>82</v>
      </c>
      <c r="O531" t="s" s="0">
        <v>12438</v>
      </c>
      <c r="P531" t="s" s="0">
        <v>12439</v>
      </c>
      <c r="Q531" t="s" s="0">
        <v>91</v>
      </c>
      <c r="R531" t="s" s="0">
        <v>82</v>
      </c>
      <c r="S531" t="s" s="0">
        <v>82</v>
      </c>
      <c r="T531" t="s" s="0">
        <v>82</v>
      </c>
      <c r="U531" t="s" s="0">
        <v>82</v>
      </c>
      <c r="V531" t="s" s="0">
        <v>12440</v>
      </c>
      <c r="W531" t="s" s="0">
        <v>2730</v>
      </c>
      <c r="X531" t="s" s="0">
        <v>82</v>
      </c>
      <c r="Y531" t="s" s="0">
        <v>82</v>
      </c>
      <c r="Z531" t="s" s="0">
        <v>94</v>
      </c>
      <c r="AA531" t="s" s="0">
        <v>95</v>
      </c>
      <c r="AB531" t="s" s="0">
        <v>82</v>
      </c>
      <c r="AC531" t="s" s="0">
        <v>82</v>
      </c>
      <c r="AD531" t="s" s="0">
        <v>82</v>
      </c>
      <c r="AE531" t="s" s="0">
        <v>82</v>
      </c>
      <c r="AF531" t="s" s="0">
        <v>82</v>
      </c>
      <c r="AG531" t="s" s="0">
        <v>12441</v>
      </c>
      <c r="AH531" t="s" s="0">
        <v>12442</v>
      </c>
      <c r="AI531" t="s" s="0">
        <v>82</v>
      </c>
      <c r="AJ531" t="s" s="0">
        <v>82</v>
      </c>
      <c r="AK531" t="s" s="0">
        <v>82</v>
      </c>
      <c r="AL531" t="s" s="0">
        <v>1502</v>
      </c>
      <c r="AM531" t="s" s="0">
        <v>78</v>
      </c>
      <c r="AN531" t="s" s="0">
        <v>78</v>
      </c>
      <c r="AO531" t="s" s="0">
        <v>101</v>
      </c>
      <c r="AP531" t="s" s="0">
        <v>101</v>
      </c>
      <c r="AQ531" t="s" s="0">
        <v>1280</v>
      </c>
      <c r="AR531" t="s" s="0">
        <v>104</v>
      </c>
      <c r="AS531" t="s" s="0">
        <v>1281</v>
      </c>
      <c r="AT531" t="s" s="0">
        <v>2733</v>
      </c>
      <c r="AU531" t="s" s="0">
        <v>82</v>
      </c>
      <c r="AV531" t="s" s="0">
        <v>82</v>
      </c>
      <c r="AW531" t="s" s="0">
        <v>2734</v>
      </c>
      <c r="AX531" t="s" s="0">
        <v>2735</v>
      </c>
      <c r="AY531" t="s" s="0">
        <v>181</v>
      </c>
      <c r="AZ531" t="s" s="0">
        <v>181</v>
      </c>
      <c r="BA531" t="s" s="0">
        <v>149</v>
      </c>
      <c r="BB531" t="s" s="0">
        <v>82</v>
      </c>
      <c r="BC531" t="s" s="0">
        <v>82</v>
      </c>
      <c r="BD531" t="s" s="0">
        <v>82</v>
      </c>
      <c r="BE531" t="s" s="0">
        <v>82</v>
      </c>
      <c r="BF531" t="s" s="0">
        <v>82</v>
      </c>
      <c r="BG531" t="s" s="0">
        <v>82</v>
      </c>
      <c r="BH531" t="s" s="0">
        <v>82</v>
      </c>
      <c r="BI531" t="s" s="0">
        <v>12443</v>
      </c>
      <c r="BJ531" t="s" s="0">
        <v>12444</v>
      </c>
      <c r="BK531" t="s" s="1056">
        <f>HYPERLINK("http://dx.doi.org/10.1177/20552076261458962","http://dx.doi.org/10.1177/20552076261458962")</f>
        <v>12445</v>
      </c>
      <c r="BL531" t="s" s="0">
        <v>82</v>
      </c>
      <c r="BM531" t="s" s="0">
        <v>82</v>
      </c>
      <c r="BN531" t="s" s="0">
        <v>640</v>
      </c>
      <c r="BO531" t="s" s="0">
        <v>2739</v>
      </c>
      <c r="BP531" t="s" s="0">
        <v>2740</v>
      </c>
      <c r="BQ531" t="s" s="0">
        <v>12446</v>
      </c>
      <c r="BR531" t="s" s="0">
        <v>12447</v>
      </c>
      <c r="BS531" t="s" s="0">
        <v>12448</v>
      </c>
      <c r="BT531" t="s" s="1057">
        <f>HYPERLINK("https://www.webofscience.com/wos/woscc/full-record/WOS:001787048900001","View Record in Web of Science")</f>
        <v>120</v>
      </c>
      <c r="BU531" t="s" s="0">
        <v>121</v>
      </c>
      <c r="BV531" t="s" s="0">
        <v>82</v>
      </c>
      <c r="BW531" t="s" s="0">
        <v>82</v>
      </c>
      <c r="BX531" t="s" s="0">
        <v>122</v>
      </c>
    </row>
    <row r="532">
      <c r="A532" t="s" s="0">
        <v>78</v>
      </c>
      <c r="B532" t="s" s="0">
        <v>78</v>
      </c>
      <c r="C532" t="s" s="0">
        <v>78</v>
      </c>
      <c r="D532" t="s" s="0">
        <v>78</v>
      </c>
      <c r="E532" t="s" s="0">
        <v>12449</v>
      </c>
      <c r="F532" t="s" s="0">
        <v>12450</v>
      </c>
      <c r="G532" t="s" s="0">
        <v>12451</v>
      </c>
      <c r="H532" t="s" s="0">
        <v>82</v>
      </c>
      <c r="I532" t="s" s="0">
        <v>83</v>
      </c>
      <c r="J532" t="s" s="0">
        <v>12452</v>
      </c>
      <c r="K532" t="s" s="0">
        <v>12453</v>
      </c>
      <c r="L532" t="s" s="0">
        <v>12454</v>
      </c>
      <c r="M532" t="s" s="0">
        <v>12455</v>
      </c>
      <c r="N532" t="s" s="0">
        <v>12456</v>
      </c>
      <c r="O532" t="s" s="0">
        <v>12457</v>
      </c>
      <c r="P532" t="s" s="0">
        <v>12458</v>
      </c>
      <c r="Q532" t="s" s="0">
        <v>91</v>
      </c>
      <c r="R532" t="s" s="0">
        <v>82</v>
      </c>
      <c r="S532" t="s" s="0">
        <v>82</v>
      </c>
      <c r="T532" t="s" s="0">
        <v>82</v>
      </c>
      <c r="U532" t="s" s="0">
        <v>82</v>
      </c>
      <c r="V532" t="s" s="0">
        <v>12459</v>
      </c>
      <c r="W532" t="s" s="0">
        <v>12460</v>
      </c>
      <c r="X532" t="s" s="0">
        <v>82</v>
      </c>
      <c r="Y532" t="s" s="0">
        <v>82</v>
      </c>
      <c r="Z532" t="s" s="0">
        <v>94</v>
      </c>
      <c r="AA532" t="s" s="0">
        <v>95</v>
      </c>
      <c r="AB532" t="s" s="0">
        <v>82</v>
      </c>
      <c r="AC532" t="s" s="0">
        <v>82</v>
      </c>
      <c r="AD532" t="s" s="0">
        <v>82</v>
      </c>
      <c r="AE532" t="s" s="0">
        <v>82</v>
      </c>
      <c r="AF532" t="s" s="0">
        <v>82</v>
      </c>
      <c r="AG532" t="s" s="0">
        <v>82</v>
      </c>
      <c r="AH532" t="s" s="0">
        <v>12461</v>
      </c>
      <c r="AI532" t="s" s="0">
        <v>12462</v>
      </c>
      <c r="AJ532" t="s" s="0">
        <v>12463</v>
      </c>
      <c r="AK532" t="s" s="0">
        <v>82</v>
      </c>
      <c r="AL532" t="s" s="0">
        <v>1279</v>
      </c>
      <c r="AM532" t="s" s="0">
        <v>78</v>
      </c>
      <c r="AN532" t="s" s="0">
        <v>78</v>
      </c>
      <c r="AO532" t="s" s="0">
        <v>101</v>
      </c>
      <c r="AP532" t="s" s="0">
        <v>375</v>
      </c>
      <c r="AQ532" t="s" s="0">
        <v>277</v>
      </c>
      <c r="AR532" t="s" s="0">
        <v>278</v>
      </c>
      <c r="AS532" t="s" s="0">
        <v>279</v>
      </c>
      <c r="AT532" t="s" s="0">
        <v>12464</v>
      </c>
      <c r="AU532" t="s" s="0">
        <v>12465</v>
      </c>
      <c r="AV532" t="s" s="0">
        <v>82</v>
      </c>
      <c r="AW532" t="s" s="0">
        <v>12466</v>
      </c>
      <c r="AX532" t="s" s="0">
        <v>12467</v>
      </c>
      <c r="AY532" t="s" s="0">
        <v>12468</v>
      </c>
      <c r="AZ532" t="s" s="0">
        <v>110</v>
      </c>
      <c r="BA532" t="s" s="0">
        <v>12469</v>
      </c>
      <c r="BB532" t="s" s="0">
        <v>82</v>
      </c>
      <c r="BC532" t="s" s="0">
        <v>82</v>
      </c>
      <c r="BD532" t="s" s="0">
        <v>82</v>
      </c>
      <c r="BE532" t="s" s="0">
        <v>82</v>
      </c>
      <c r="BF532" t="s" s="0">
        <v>82</v>
      </c>
      <c r="BG532" t="s" s="0">
        <v>82</v>
      </c>
      <c r="BH532" t="s" s="0">
        <v>82</v>
      </c>
      <c r="BI532" t="s" s="0">
        <v>12470</v>
      </c>
      <c r="BJ532" t="s" s="0">
        <v>12471</v>
      </c>
      <c r="BK532" t="s" s="1058">
        <f>HYPERLINK("http://dx.doi.org/10.1016/j.cca.2024.119904","http://dx.doi.org/10.1016/j.cca.2024.119904")</f>
        <v>12472</v>
      </c>
      <c r="BL532" t="s" s="0">
        <v>82</v>
      </c>
      <c r="BM532" t="s" s="0">
        <v>250</v>
      </c>
      <c r="BN532" t="s" s="0">
        <v>136</v>
      </c>
      <c r="BO532" t="s" s="0">
        <v>2031</v>
      </c>
      <c r="BP532" t="s" s="0">
        <v>2031</v>
      </c>
      <c r="BQ532" t="s" s="0">
        <v>12473</v>
      </c>
      <c r="BR532" t="s" s="0">
        <v>12474</v>
      </c>
      <c r="BS532" t="s" s="0">
        <v>12475</v>
      </c>
      <c r="BT532" t="s" s="1059">
        <f>HYPERLINK("https://www.webofscience.com/wos/woscc/full-record/WOS:001294252800001","View Record in Web of Science")</f>
        <v>120</v>
      </c>
      <c r="BU532" t="s" s="0">
        <v>159</v>
      </c>
      <c r="BV532" t="s" s="0">
        <v>82</v>
      </c>
      <c r="BW532" t="s" s="0">
        <v>82</v>
      </c>
      <c r="BX532" t="s" s="0">
        <v>122</v>
      </c>
    </row>
    <row r="533">
      <c r="A533" t="s" s="0">
        <v>78</v>
      </c>
      <c r="B533" t="s" s="0">
        <v>78</v>
      </c>
      <c r="C533" t="s" s="0">
        <v>78</v>
      </c>
      <c r="D533" t="s" s="0">
        <v>78</v>
      </c>
      <c r="E533" t="s" s="0">
        <v>12476</v>
      </c>
      <c r="F533" t="s" s="0">
        <v>12477</v>
      </c>
      <c r="G533" t="s" s="0">
        <v>12478</v>
      </c>
      <c r="H533" t="s" s="0">
        <v>82</v>
      </c>
      <c r="I533" t="s" s="0">
        <v>83</v>
      </c>
      <c r="J533" t="s" s="0">
        <v>12479</v>
      </c>
      <c r="K533" t="s" s="0">
        <v>12480</v>
      </c>
      <c r="L533" t="s" s="0">
        <v>82</v>
      </c>
      <c r="M533" t="s" s="0">
        <v>82</v>
      </c>
      <c r="N533" t="s" s="0">
        <v>82</v>
      </c>
      <c r="O533" t="s" s="0">
        <v>12481</v>
      </c>
      <c r="P533" t="s" s="0">
        <v>9347</v>
      </c>
      <c r="Q533" t="s" s="0">
        <v>91</v>
      </c>
      <c r="R533" t="s" s="0">
        <v>82</v>
      </c>
      <c r="S533" t="s" s="0">
        <v>82</v>
      </c>
      <c r="T533" t="s" s="0">
        <v>82</v>
      </c>
      <c r="U533" t="s" s="0">
        <v>82</v>
      </c>
      <c r="V533" t="s" s="0">
        <v>12482</v>
      </c>
      <c r="W533" t="s" s="0">
        <v>12483</v>
      </c>
      <c r="X533" t="s" s="0">
        <v>82</v>
      </c>
      <c r="Y533" t="s" s="0">
        <v>82</v>
      </c>
      <c r="Z533" t="s" s="0">
        <v>94</v>
      </c>
      <c r="AA533" t="s" s="0">
        <v>95</v>
      </c>
      <c r="AB533" t="s" s="0">
        <v>82</v>
      </c>
      <c r="AC533" t="s" s="0">
        <v>82</v>
      </c>
      <c r="AD533" t="s" s="0">
        <v>82</v>
      </c>
      <c r="AE533" t="s" s="0">
        <v>82</v>
      </c>
      <c r="AF533" t="s" s="0">
        <v>82</v>
      </c>
      <c r="AG533" t="s" s="0">
        <v>12484</v>
      </c>
      <c r="AH533" t="s" s="0">
        <v>12485</v>
      </c>
      <c r="AI533" t="s" s="0">
        <v>82</v>
      </c>
      <c r="AJ533" t="s" s="0">
        <v>82</v>
      </c>
      <c r="AK533" t="s" s="0">
        <v>82</v>
      </c>
      <c r="AL533" t="s" s="0">
        <v>1161</v>
      </c>
      <c r="AM533" t="s" s="0">
        <v>78</v>
      </c>
      <c r="AN533" t="s" s="0">
        <v>78</v>
      </c>
      <c r="AO533" t="s" s="0">
        <v>78</v>
      </c>
      <c r="AP533" t="s" s="0">
        <v>78</v>
      </c>
      <c r="AQ533" t="s" s="0">
        <v>2484</v>
      </c>
      <c r="AR533" t="s" s="0">
        <v>2485</v>
      </c>
      <c r="AS533" t="s" s="0">
        <v>2486</v>
      </c>
      <c r="AT533" t="s" s="0">
        <v>12486</v>
      </c>
      <c r="AU533" t="s" s="0">
        <v>82</v>
      </c>
      <c r="AV533" t="s" s="0">
        <v>82</v>
      </c>
      <c r="AW533" t="s" s="0">
        <v>12487</v>
      </c>
      <c r="AX533" t="s" s="0">
        <v>12488</v>
      </c>
      <c r="AY533" t="s" s="0">
        <v>12489</v>
      </c>
      <c r="AZ533" t="s" s="0">
        <v>181</v>
      </c>
      <c r="BA533" t="s" s="0">
        <v>115</v>
      </c>
      <c r="BB533" t="s" s="0">
        <v>82</v>
      </c>
      <c r="BC533" t="s" s="0">
        <v>82</v>
      </c>
      <c r="BD533" t="s" s="0">
        <v>82</v>
      </c>
      <c r="BE533" t="s" s="0">
        <v>82</v>
      </c>
      <c r="BF533" t="s" s="0">
        <v>82</v>
      </c>
      <c r="BG533" t="s" s="0">
        <v>82</v>
      </c>
      <c r="BH533" t="s" s="0">
        <v>82</v>
      </c>
      <c r="BI533" t="s" s="0">
        <v>12490</v>
      </c>
      <c r="BJ533" t="s" s="0">
        <v>12491</v>
      </c>
      <c r="BK533" t="s" s="1060">
        <f>HYPERLINK("http://dx.doi.org/10.3389/fsurg.2026.1850385","http://dx.doi.org/10.3389/fsurg.2026.1850385")</f>
        <v>12492</v>
      </c>
      <c r="BL533" t="s" s="0">
        <v>82</v>
      </c>
      <c r="BM533" t="s" s="0">
        <v>3226</v>
      </c>
      <c r="BN533" t="s" s="0">
        <v>349</v>
      </c>
      <c r="BO533" t="s" s="0">
        <v>950</v>
      </c>
      <c r="BP533" t="s" s="0">
        <v>950</v>
      </c>
      <c r="BQ533" t="s" s="0">
        <v>12493</v>
      </c>
      <c r="BR533" t="s" s="0">
        <v>12494</v>
      </c>
      <c r="BS533" t="s" s="0">
        <v>12495</v>
      </c>
      <c r="BT533" t="s" s="1061">
        <f>HYPERLINK("https://www.webofscience.com/wos/woscc/full-record/WOS:001823687700001","View Record in Web of Science")</f>
        <v>120</v>
      </c>
      <c r="BU533" t="s" s="0">
        <v>121</v>
      </c>
      <c r="BV533" t="s" s="0">
        <v>82</v>
      </c>
      <c r="BW533" t="s" s="0">
        <v>82</v>
      </c>
      <c r="BX533" t="s" s="0">
        <v>122</v>
      </c>
    </row>
    <row r="534">
      <c r="A534" t="s" s="0">
        <v>78</v>
      </c>
      <c r="B534" t="s" s="0">
        <v>78</v>
      </c>
      <c r="C534" t="s" s="0">
        <v>447</v>
      </c>
      <c r="D534" t="s" s="0">
        <v>78</v>
      </c>
      <c r="E534" t="s" s="0">
        <v>12496</v>
      </c>
      <c r="F534" t="s" s="0">
        <v>12497</v>
      </c>
      <c r="G534" t="s" s="0">
        <v>12498</v>
      </c>
      <c r="H534" t="s" s="0">
        <v>82</v>
      </c>
      <c r="I534" t="s" s="0">
        <v>83</v>
      </c>
      <c r="J534" t="s" s="0">
        <v>12499</v>
      </c>
      <c r="K534" t="s" s="0">
        <v>12500</v>
      </c>
      <c r="L534" t="s" s="0">
        <v>12501</v>
      </c>
      <c r="M534" t="s" s="0">
        <v>12502</v>
      </c>
      <c r="N534" t="s" s="0">
        <v>12503</v>
      </c>
      <c r="O534" t="s" s="0">
        <v>12504</v>
      </c>
      <c r="P534" t="s" s="0">
        <v>12505</v>
      </c>
      <c r="Q534" t="s" s="0">
        <v>91</v>
      </c>
      <c r="R534" t="s" s="0">
        <v>82</v>
      </c>
      <c r="S534" t="s" s="0">
        <v>82</v>
      </c>
      <c r="T534" t="s" s="0">
        <v>82</v>
      </c>
      <c r="U534" t="s" s="0">
        <v>82</v>
      </c>
      <c r="V534" t="s" s="0">
        <v>12506</v>
      </c>
      <c r="W534" t="s" s="0">
        <v>12507</v>
      </c>
      <c r="X534" t="s" s="0">
        <v>82</v>
      </c>
      <c r="Y534" t="s" s="0">
        <v>82</v>
      </c>
      <c r="Z534" t="s" s="0">
        <v>94</v>
      </c>
      <c r="AA534" t="s" s="0">
        <v>95</v>
      </c>
      <c r="AB534" t="s" s="0">
        <v>82</v>
      </c>
      <c r="AC534" t="s" s="0">
        <v>82</v>
      </c>
      <c r="AD534" t="s" s="0">
        <v>82</v>
      </c>
      <c r="AE534" t="s" s="0">
        <v>82</v>
      </c>
      <c r="AF534" t="s" s="0">
        <v>82</v>
      </c>
      <c r="AG534" t="s" s="0">
        <v>12508</v>
      </c>
      <c r="AH534" t="s" s="0">
        <v>12509</v>
      </c>
      <c r="AI534" t="s" s="0">
        <v>12510</v>
      </c>
      <c r="AJ534" t="s" s="0">
        <v>82</v>
      </c>
      <c r="AK534" t="s" s="0">
        <v>82</v>
      </c>
      <c r="AL534" t="s" s="0">
        <v>4685</v>
      </c>
      <c r="AM534" t="s" s="0">
        <v>323</v>
      </c>
      <c r="AN534" t="s" s="0">
        <v>323</v>
      </c>
      <c r="AO534" t="s" s="0">
        <v>323</v>
      </c>
      <c r="AP534" t="s" s="0">
        <v>1091</v>
      </c>
      <c r="AQ534" t="s" s="0">
        <v>277</v>
      </c>
      <c r="AR534" t="s" s="0">
        <v>278</v>
      </c>
      <c r="AS534" t="s" s="0">
        <v>279</v>
      </c>
      <c r="AT534" t="s" s="0">
        <v>12511</v>
      </c>
      <c r="AU534" t="s" s="0">
        <v>12512</v>
      </c>
      <c r="AV534" t="s" s="0">
        <v>82</v>
      </c>
      <c r="AW534" t="s" s="0">
        <v>12513</v>
      </c>
      <c r="AX534" t="s" s="0">
        <v>12514</v>
      </c>
      <c r="AY534" t="s" s="0">
        <v>12515</v>
      </c>
      <c r="AZ534" t="s" s="0">
        <v>147</v>
      </c>
      <c r="BA534" t="s" s="0">
        <v>10722</v>
      </c>
      <c r="BB534" t="s" s="0">
        <v>82</v>
      </c>
      <c r="BC534" t="s" s="0">
        <v>82</v>
      </c>
      <c r="BD534" t="s" s="0">
        <v>82</v>
      </c>
      <c r="BE534" t="s" s="0">
        <v>82</v>
      </c>
      <c r="BF534" t="s" s="0">
        <v>82</v>
      </c>
      <c r="BG534" t="s" s="0">
        <v>82</v>
      </c>
      <c r="BH534" t="s" s="0">
        <v>82</v>
      </c>
      <c r="BI534" t="s" s="0">
        <v>12516</v>
      </c>
      <c r="BJ534" t="s" s="0">
        <v>12517</v>
      </c>
      <c r="BK534" t="s" s="1062">
        <f>HYPERLINK("http://dx.doi.org/10.1016/j.seppur.2025.133019","http://dx.doi.org/10.1016/j.seppur.2025.133019")</f>
        <v>12518</v>
      </c>
      <c r="BL534" t="s" s="0">
        <v>82</v>
      </c>
      <c r="BM534" t="s" s="0">
        <v>1191</v>
      </c>
      <c r="BN534" t="s" s="0">
        <v>137</v>
      </c>
      <c r="BO534" t="s" s="0">
        <v>12519</v>
      </c>
      <c r="BP534" t="s" s="0">
        <v>2763</v>
      </c>
      <c r="BQ534" t="s" s="0">
        <v>12520</v>
      </c>
      <c r="BR534" t="s" s="0">
        <v>82</v>
      </c>
      <c r="BS534" t="s" s="0">
        <v>12521</v>
      </c>
      <c r="BT534" t="s" s="1063">
        <f>HYPERLINK("https://www.webofscience.com/wos/woscc/full-record/WOS:001476270900001","View Record in Web of Science")</f>
        <v>120</v>
      </c>
      <c r="BU534" t="s" s="0">
        <v>82</v>
      </c>
      <c r="BV534" t="s" s="0">
        <v>82</v>
      </c>
      <c r="BW534" t="s" s="0">
        <v>82</v>
      </c>
      <c r="BX534" t="s" s="0">
        <v>122</v>
      </c>
    </row>
    <row r="535">
      <c r="A535" t="s" s="0">
        <v>78</v>
      </c>
      <c r="B535" t="s" s="0">
        <v>78</v>
      </c>
      <c r="C535" t="s" s="0">
        <v>78</v>
      </c>
      <c r="D535" t="s" s="0">
        <v>78</v>
      </c>
      <c r="E535" t="s" s="0">
        <v>12522</v>
      </c>
      <c r="F535" t="s" s="0">
        <v>12523</v>
      </c>
      <c r="G535" t="s" s="0">
        <v>12524</v>
      </c>
      <c r="H535" t="s" s="0">
        <v>82</v>
      </c>
      <c r="I535" t="s" s="0">
        <v>83</v>
      </c>
      <c r="J535" t="s" s="0">
        <v>12525</v>
      </c>
      <c r="K535" t="s" s="0">
        <v>12526</v>
      </c>
      <c r="L535" t="s" s="0">
        <v>12527</v>
      </c>
      <c r="M535" t="s" s="0">
        <v>12528</v>
      </c>
      <c r="N535" t="s" s="0">
        <v>12529</v>
      </c>
      <c r="O535" t="s" s="0">
        <v>12530</v>
      </c>
      <c r="P535" t="s" s="0">
        <v>12531</v>
      </c>
      <c r="Q535" t="s" s="0">
        <v>91</v>
      </c>
      <c r="R535" t="s" s="0">
        <v>82</v>
      </c>
      <c r="S535" t="s" s="0">
        <v>82</v>
      </c>
      <c r="T535" t="s" s="0">
        <v>82</v>
      </c>
      <c r="U535" t="s" s="0">
        <v>82</v>
      </c>
      <c r="V535" t="s" s="0">
        <v>12532</v>
      </c>
      <c r="W535" t="s" s="0">
        <v>12533</v>
      </c>
      <c r="X535" t="s" s="0">
        <v>82</v>
      </c>
      <c r="Y535" t="s" s="0">
        <v>82</v>
      </c>
      <c r="Z535" t="s" s="0">
        <v>94</v>
      </c>
      <c r="AA535" t="s" s="0">
        <v>95</v>
      </c>
      <c r="AB535" t="s" s="0">
        <v>82</v>
      </c>
      <c r="AC535" t="s" s="0">
        <v>82</v>
      </c>
      <c r="AD535" t="s" s="0">
        <v>82</v>
      </c>
      <c r="AE535" t="s" s="0">
        <v>82</v>
      </c>
      <c r="AF535" t="s" s="0">
        <v>82</v>
      </c>
      <c r="AG535" t="s" s="0">
        <v>12534</v>
      </c>
      <c r="AH535" t="s" s="0">
        <v>12535</v>
      </c>
      <c r="AI535" t="s" s="0">
        <v>12536</v>
      </c>
      <c r="AJ535" t="s" s="0">
        <v>12537</v>
      </c>
      <c r="AK535" t="s" s="0">
        <v>82</v>
      </c>
      <c r="AL535" t="s" s="0">
        <v>100</v>
      </c>
      <c r="AM535" t="s" s="0">
        <v>78</v>
      </c>
      <c r="AN535" t="s" s="0">
        <v>78</v>
      </c>
      <c r="AO535" t="s" s="0">
        <v>447</v>
      </c>
      <c r="AP535" t="s" s="0">
        <v>447</v>
      </c>
      <c r="AQ535" t="s" s="0">
        <v>174</v>
      </c>
      <c r="AR535" t="s" s="0">
        <v>175</v>
      </c>
      <c r="AS535" t="s" s="0">
        <v>12538</v>
      </c>
      <c r="AT535" t="s" s="0">
        <v>12539</v>
      </c>
      <c r="AU535" t="s" s="0">
        <v>82</v>
      </c>
      <c r="AV535" t="s" s="0">
        <v>82</v>
      </c>
      <c r="AW535" t="s" s="0">
        <v>12540</v>
      </c>
      <c r="AX535" t="s" s="0">
        <v>12541</v>
      </c>
      <c r="AY535" t="s" s="0">
        <v>12542</v>
      </c>
      <c r="AZ535" t="s" s="0">
        <v>181</v>
      </c>
      <c r="BA535" t="s" s="0">
        <v>640</v>
      </c>
      <c r="BB535" t="s" s="0">
        <v>102</v>
      </c>
      <c r="BC535" t="s" s="0">
        <v>82</v>
      </c>
      <c r="BD535" t="s" s="0">
        <v>82</v>
      </c>
      <c r="BE535" t="s" s="0">
        <v>82</v>
      </c>
      <c r="BF535" t="s" s="0">
        <v>82</v>
      </c>
      <c r="BG535" t="s" s="0">
        <v>82</v>
      </c>
      <c r="BH535" t="s" s="0">
        <v>82</v>
      </c>
      <c r="BI535" t="s" s="0">
        <v>12543</v>
      </c>
      <c r="BJ535" t="s" s="0">
        <v>12544</v>
      </c>
      <c r="BK535" t="s" s="1064">
        <f>HYPERLINK("http://dx.doi.org/10.1002/brb3.71399","http://dx.doi.org/10.1002/brb3.71399")</f>
        <v>12545</v>
      </c>
      <c r="BL535" t="s" s="0">
        <v>82</v>
      </c>
      <c r="BM535" t="s" s="0">
        <v>82</v>
      </c>
      <c r="BN535" t="s" s="0">
        <v>239</v>
      </c>
      <c r="BO535" t="s" s="0">
        <v>10579</v>
      </c>
      <c r="BP535" t="s" s="0">
        <v>10580</v>
      </c>
      <c r="BQ535" t="s" s="0">
        <v>12546</v>
      </c>
      <c r="BR535" t="s" s="0">
        <v>12547</v>
      </c>
      <c r="BS535" t="s" s="0">
        <v>12548</v>
      </c>
      <c r="BT535" t="s" s="1065">
        <f>HYPERLINK("https://www.webofscience.com/wos/woscc/full-record/WOS:001746695700001","View Record in Web of Science")</f>
        <v>120</v>
      </c>
      <c r="BU535" t="s" s="0">
        <v>121</v>
      </c>
      <c r="BV535" t="s" s="0">
        <v>82</v>
      </c>
      <c r="BW535" t="s" s="0">
        <v>82</v>
      </c>
      <c r="BX535" t="s" s="0">
        <v>122</v>
      </c>
    </row>
    <row r="536">
      <c r="A536" t="s" s="0">
        <v>78</v>
      </c>
      <c r="B536" t="s" s="0">
        <v>78</v>
      </c>
      <c r="C536" t="s" s="0">
        <v>78</v>
      </c>
      <c r="D536" t="s" s="0">
        <v>78</v>
      </c>
      <c r="E536" t="s" s="0">
        <v>12549</v>
      </c>
      <c r="F536" t="s" s="0">
        <v>12550</v>
      </c>
      <c r="G536" t="s" s="0">
        <v>12551</v>
      </c>
      <c r="H536" t="s" s="0">
        <v>82</v>
      </c>
      <c r="I536" t="s" s="0">
        <v>83</v>
      </c>
      <c r="J536" t="s" s="0">
        <v>12552</v>
      </c>
      <c r="K536" t="s" s="0">
        <v>12553</v>
      </c>
      <c r="L536" t="s" s="0">
        <v>12554</v>
      </c>
      <c r="M536" t="s" s="0">
        <v>12555</v>
      </c>
      <c r="N536" t="s" s="0">
        <v>12556</v>
      </c>
      <c r="O536" t="s" s="0">
        <v>12557</v>
      </c>
      <c r="P536" t="s" s="0">
        <v>12558</v>
      </c>
      <c r="Q536" t="s" s="0">
        <v>91</v>
      </c>
      <c r="R536" t="s" s="0">
        <v>82</v>
      </c>
      <c r="S536" t="s" s="0">
        <v>82</v>
      </c>
      <c r="T536" t="s" s="0">
        <v>82</v>
      </c>
      <c r="U536" t="s" s="0">
        <v>82</v>
      </c>
      <c r="V536" t="s" s="0">
        <v>12559</v>
      </c>
      <c r="W536" t="s" s="0">
        <v>12560</v>
      </c>
      <c r="X536" t="s" s="0">
        <v>82</v>
      </c>
      <c r="Y536" t="s" s="0">
        <v>82</v>
      </c>
      <c r="Z536" t="s" s="0">
        <v>94</v>
      </c>
      <c r="AA536" t="s" s="0">
        <v>95</v>
      </c>
      <c r="AB536" t="s" s="0">
        <v>82</v>
      </c>
      <c r="AC536" t="s" s="0">
        <v>82</v>
      </c>
      <c r="AD536" t="s" s="0">
        <v>82</v>
      </c>
      <c r="AE536" t="s" s="0">
        <v>82</v>
      </c>
      <c r="AF536" t="s" s="0">
        <v>82</v>
      </c>
      <c r="AG536" t="s" s="0">
        <v>12561</v>
      </c>
      <c r="AH536" t="s" s="0">
        <v>12562</v>
      </c>
      <c r="AI536" t="s" s="0">
        <v>12563</v>
      </c>
      <c r="AJ536" t="s" s="0">
        <v>82</v>
      </c>
      <c r="AK536" t="s" s="0">
        <v>82</v>
      </c>
      <c r="AL536" t="s" s="0">
        <v>1186</v>
      </c>
      <c r="AM536" t="s" s="0">
        <v>77</v>
      </c>
      <c r="AN536" t="s" s="0">
        <v>77</v>
      </c>
      <c r="AO536" t="s" s="0">
        <v>101</v>
      </c>
      <c r="AP536" t="s" s="0">
        <v>102</v>
      </c>
      <c r="AQ536" t="s" s="0">
        <v>575</v>
      </c>
      <c r="AR536" t="s" s="0">
        <v>104</v>
      </c>
      <c r="AS536" t="s" s="0">
        <v>576</v>
      </c>
      <c r="AT536" t="s" s="0">
        <v>82</v>
      </c>
      <c r="AU536" t="s" s="0">
        <v>12564</v>
      </c>
      <c r="AV536" t="s" s="0">
        <v>82</v>
      </c>
      <c r="AW536" t="s" s="0">
        <v>12560</v>
      </c>
      <c r="AX536" t="s" s="0">
        <v>12565</v>
      </c>
      <c r="AY536" t="s" s="0">
        <v>12566</v>
      </c>
      <c r="AZ536" t="s" s="0">
        <v>181</v>
      </c>
      <c r="BA536" t="s" s="0">
        <v>311</v>
      </c>
      <c r="BB536" t="s" s="0">
        <v>77</v>
      </c>
      <c r="BC536" t="s" s="0">
        <v>82</v>
      </c>
      <c r="BD536" t="s" s="0">
        <v>82</v>
      </c>
      <c r="BE536" t="s" s="0">
        <v>82</v>
      </c>
      <c r="BF536" t="s" s="0">
        <v>82</v>
      </c>
      <c r="BG536" t="s" s="0">
        <v>82</v>
      </c>
      <c r="BH536" t="s" s="0">
        <v>82</v>
      </c>
      <c r="BI536" t="s" s="0">
        <v>12567</v>
      </c>
      <c r="BJ536" t="s" s="0">
        <v>12568</v>
      </c>
      <c r="BK536" t="s" s="1066">
        <f>HYPERLINK("http://dx.doi.org/10.1136/bmjment-2025-301964","http://dx.doi.org/10.1136/bmjment-2025-301964")</f>
        <v>12569</v>
      </c>
      <c r="BL536" t="s" s="0">
        <v>82</v>
      </c>
      <c r="BM536" t="s" s="0">
        <v>82</v>
      </c>
      <c r="BN536" t="s" s="0">
        <v>136</v>
      </c>
      <c r="BO536" t="s" s="0">
        <v>4625</v>
      </c>
      <c r="BP536" t="s" s="0">
        <v>4625</v>
      </c>
      <c r="BQ536" t="s" s="0">
        <v>12570</v>
      </c>
      <c r="BR536" t="s" s="0">
        <v>12571</v>
      </c>
      <c r="BS536" t="s" s="0">
        <v>12572</v>
      </c>
      <c r="BT536" t="s" s="1067">
        <f>HYPERLINK("https://www.webofscience.com/wos/woscc/full-record/WOS:001664095700001","View Record in Web of Science")</f>
        <v>120</v>
      </c>
      <c r="BU536" t="s" s="0">
        <v>121</v>
      </c>
      <c r="BV536" t="s" s="0">
        <v>82</v>
      </c>
      <c r="BW536" t="s" s="0">
        <v>82</v>
      </c>
      <c r="BX536" t="s" s="0">
        <v>122</v>
      </c>
    </row>
    <row r="537">
      <c r="A537" t="s" s="0">
        <v>78</v>
      </c>
      <c r="B537" t="s" s="0">
        <v>78</v>
      </c>
      <c r="C537" t="s" s="0">
        <v>77</v>
      </c>
      <c r="D537" t="s" s="0">
        <v>78</v>
      </c>
      <c r="E537" t="s" s="0">
        <v>12573</v>
      </c>
      <c r="F537" t="s" s="0">
        <v>12574</v>
      </c>
      <c r="G537" t="s" s="0">
        <v>12575</v>
      </c>
      <c r="H537" t="s" s="0">
        <v>82</v>
      </c>
      <c r="I537" t="s" s="0">
        <v>83</v>
      </c>
      <c r="J537" t="s" s="0">
        <v>12576</v>
      </c>
      <c r="K537" t="s" s="0">
        <v>12577</v>
      </c>
      <c r="L537" t="s" s="0">
        <v>82</v>
      </c>
      <c r="M537" t="s" s="0">
        <v>82</v>
      </c>
      <c r="N537" t="s" s="0">
        <v>82</v>
      </c>
      <c r="O537" t="s" s="0">
        <v>12578</v>
      </c>
      <c r="P537" t="s" s="0">
        <v>12579</v>
      </c>
      <c r="Q537" t="s" s="0">
        <v>91</v>
      </c>
      <c r="R537" t="s" s="0">
        <v>82</v>
      </c>
      <c r="S537" t="s" s="0">
        <v>82</v>
      </c>
      <c r="T537" t="s" s="0">
        <v>82</v>
      </c>
      <c r="U537" t="s" s="0">
        <v>82</v>
      </c>
      <c r="V537" t="s" s="0">
        <v>12580</v>
      </c>
      <c r="W537" t="s" s="0">
        <v>12581</v>
      </c>
      <c r="X537" t="s" s="0">
        <v>82</v>
      </c>
      <c r="Y537" t="s" s="0">
        <v>82</v>
      </c>
      <c r="Z537" t="s" s="0">
        <v>94</v>
      </c>
      <c r="AA537" t="s" s="0">
        <v>95</v>
      </c>
      <c r="AB537" t="s" s="0">
        <v>82</v>
      </c>
      <c r="AC537" t="s" s="0">
        <v>82</v>
      </c>
      <c r="AD537" t="s" s="0">
        <v>82</v>
      </c>
      <c r="AE537" t="s" s="0">
        <v>82</v>
      </c>
      <c r="AF537" t="s" s="0">
        <v>82</v>
      </c>
      <c r="AG537" t="s" s="0">
        <v>12582</v>
      </c>
      <c r="AH537" t="s" s="0">
        <v>82</v>
      </c>
      <c r="AI537" t="s" s="0">
        <v>12583</v>
      </c>
      <c r="AJ537" t="s" s="0">
        <v>12584</v>
      </c>
      <c r="AK537" t="s" s="0">
        <v>82</v>
      </c>
      <c r="AL537" t="s" s="0">
        <v>374</v>
      </c>
      <c r="AM537" t="s" s="0">
        <v>323</v>
      </c>
      <c r="AN537" t="s" s="0">
        <v>323</v>
      </c>
      <c r="AO537" t="s" s="0">
        <v>447</v>
      </c>
      <c r="AP537" t="s" s="0">
        <v>148</v>
      </c>
      <c r="AQ537" t="s" s="0">
        <v>1445</v>
      </c>
      <c r="AR537" t="s" s="0">
        <v>492</v>
      </c>
      <c r="AS537" t="s" s="0">
        <v>1446</v>
      </c>
      <c r="AT537" t="s" s="0">
        <v>12585</v>
      </c>
      <c r="AU537" t="s" s="0">
        <v>12586</v>
      </c>
      <c r="AV537" t="s" s="0">
        <v>82</v>
      </c>
      <c r="AW537" t="s" s="0">
        <v>12587</v>
      </c>
      <c r="AX537" t="s" s="0">
        <v>12588</v>
      </c>
      <c r="AY537" t="s" s="0">
        <v>2108</v>
      </c>
      <c r="AZ537" t="s" s="0">
        <v>110</v>
      </c>
      <c r="BA537" t="s" s="0">
        <v>2088</v>
      </c>
      <c r="BB537" t="s" s="0">
        <v>82</v>
      </c>
      <c r="BC537" t="s" s="0">
        <v>82</v>
      </c>
      <c r="BD537" t="s" s="0">
        <v>82</v>
      </c>
      <c r="BE537" t="s" s="0">
        <v>82</v>
      </c>
      <c r="BF537" t="s" s="0">
        <v>82</v>
      </c>
      <c r="BG537" t="s" s="0">
        <v>82</v>
      </c>
      <c r="BH537" t="s" s="0">
        <v>82</v>
      </c>
      <c r="BI537" t="s" s="0">
        <v>12589</v>
      </c>
      <c r="BJ537" t="s" s="0">
        <v>12590</v>
      </c>
      <c r="BK537" t="s" s="1068">
        <f>HYPERLINK("http://dx.doi.org/10.1016/j.icheatmasstransfer.2023.107228","http://dx.doi.org/10.1016/j.icheatmasstransfer.2023.107228")</f>
        <v>12591</v>
      </c>
      <c r="BL537" t="s" s="0">
        <v>82</v>
      </c>
      <c r="BM537" t="s" s="0">
        <v>7141</v>
      </c>
      <c r="BN537" t="s" s="0">
        <v>154</v>
      </c>
      <c r="BO537" t="s" s="0">
        <v>12592</v>
      </c>
      <c r="BP537" t="s" s="0">
        <v>12592</v>
      </c>
      <c r="BQ537" t="s" s="0">
        <v>12593</v>
      </c>
      <c r="BR537" t="s" s="0">
        <v>82</v>
      </c>
      <c r="BS537" t="s" s="0">
        <v>12594</v>
      </c>
      <c r="BT537" t="s" s="1069">
        <f>HYPERLINK("https://www.webofscience.com/wos/woscc/full-record/WOS:001150802700001","View Record in Web of Science")</f>
        <v>120</v>
      </c>
      <c r="BU537" t="s" s="0">
        <v>82</v>
      </c>
      <c r="BV537" t="s" s="0">
        <v>82</v>
      </c>
      <c r="BW537" t="s" s="0">
        <v>82</v>
      </c>
      <c r="BX537" t="s" s="0">
        <v>122</v>
      </c>
    </row>
    <row r="538">
      <c r="A538" t="s" s="0">
        <v>78</v>
      </c>
      <c r="B538" t="s" s="0">
        <v>78</v>
      </c>
      <c r="C538" t="s" s="0">
        <v>136</v>
      </c>
      <c r="D538" t="s" s="0">
        <v>78</v>
      </c>
      <c r="E538" t="s" s="0">
        <v>12595</v>
      </c>
      <c r="F538" t="s" s="0">
        <v>12596</v>
      </c>
      <c r="G538" t="s" s="0">
        <v>12597</v>
      </c>
      <c r="H538" t="s" s="0">
        <v>82</v>
      </c>
      <c r="I538" t="s" s="0">
        <v>83</v>
      </c>
      <c r="J538" t="s" s="0">
        <v>12598</v>
      </c>
      <c r="K538" t="s" s="0">
        <v>12599</v>
      </c>
      <c r="L538" t="s" s="0">
        <v>82</v>
      </c>
      <c r="M538" t="s" s="0">
        <v>82</v>
      </c>
      <c r="N538" t="s" s="0">
        <v>82</v>
      </c>
      <c r="O538" t="s" s="0">
        <v>12600</v>
      </c>
      <c r="P538" t="s" s="0">
        <v>12601</v>
      </c>
      <c r="Q538" t="s" s="0">
        <v>91</v>
      </c>
      <c r="R538" t="s" s="0">
        <v>82</v>
      </c>
      <c r="S538" t="s" s="0">
        <v>82</v>
      </c>
      <c r="T538" t="s" s="0">
        <v>82</v>
      </c>
      <c r="U538" t="s" s="0">
        <v>82</v>
      </c>
      <c r="V538" t="s" s="0">
        <v>12602</v>
      </c>
      <c r="W538" t="s" s="0">
        <v>12603</v>
      </c>
      <c r="X538" t="s" s="0">
        <v>82</v>
      </c>
      <c r="Y538" t="s" s="0">
        <v>82</v>
      </c>
      <c r="Z538" t="s" s="0">
        <v>94</v>
      </c>
      <c r="AA538" t="s" s="0">
        <v>95</v>
      </c>
      <c r="AB538" t="s" s="0">
        <v>82</v>
      </c>
      <c r="AC538" t="s" s="0">
        <v>82</v>
      </c>
      <c r="AD538" t="s" s="0">
        <v>82</v>
      </c>
      <c r="AE538" t="s" s="0">
        <v>82</v>
      </c>
      <c r="AF538" t="s" s="0">
        <v>82</v>
      </c>
      <c r="AG538" t="s" s="0">
        <v>12604</v>
      </c>
      <c r="AH538" t="s" s="0">
        <v>12605</v>
      </c>
      <c r="AI538" t="s" s="0">
        <v>82</v>
      </c>
      <c r="AJ538" t="s" s="0">
        <v>12606</v>
      </c>
      <c r="AK538" t="s" s="0">
        <v>82</v>
      </c>
      <c r="AL538" t="s" s="0">
        <v>2191</v>
      </c>
      <c r="AM538" t="s" s="0">
        <v>173</v>
      </c>
      <c r="AN538" t="s" s="0">
        <v>148</v>
      </c>
      <c r="AO538" t="s" s="0">
        <v>77</v>
      </c>
      <c r="AP538" t="s" s="0">
        <v>115</v>
      </c>
      <c r="AQ538" t="s" s="0">
        <v>277</v>
      </c>
      <c r="AR538" t="s" s="0">
        <v>278</v>
      </c>
      <c r="AS538" t="s" s="0">
        <v>279</v>
      </c>
      <c r="AT538" t="s" s="0">
        <v>12607</v>
      </c>
      <c r="AU538" t="s" s="0">
        <v>12608</v>
      </c>
      <c r="AV538" t="s" s="0">
        <v>82</v>
      </c>
      <c r="AW538" t="s" s="0">
        <v>12609</v>
      </c>
      <c r="AX538" t="s" s="0">
        <v>12610</v>
      </c>
      <c r="AY538" t="s" s="0">
        <v>1844</v>
      </c>
      <c r="AZ538" t="s" s="0">
        <v>525</v>
      </c>
      <c r="BA538" t="s" s="0">
        <v>2395</v>
      </c>
      <c r="BB538" t="s" s="0">
        <v>82</v>
      </c>
      <c r="BC538" t="s" s="0">
        <v>82</v>
      </c>
      <c r="BD538" t="s" s="0">
        <v>82</v>
      </c>
      <c r="BE538" t="s" s="0">
        <v>82</v>
      </c>
      <c r="BF538" t="s" s="0">
        <v>82</v>
      </c>
      <c r="BG538" t="s" s="0">
        <v>82</v>
      </c>
      <c r="BH538" t="s" s="0">
        <v>82</v>
      </c>
      <c r="BI538" t="s" s="0">
        <v>12611</v>
      </c>
      <c r="BJ538" t="s" s="0">
        <v>12612</v>
      </c>
      <c r="BK538" t="s" s="1070">
        <f>HYPERLINK("http://dx.doi.org/10.1016/j.eplepsyres.2021.106594","http://dx.doi.org/10.1016/j.eplepsyres.2021.106594")</f>
        <v>12613</v>
      </c>
      <c r="BL538" t="s" s="0">
        <v>82</v>
      </c>
      <c r="BM538" t="s" s="0">
        <v>1071</v>
      </c>
      <c r="BN538" t="s" s="0">
        <v>245</v>
      </c>
      <c r="BO538" t="s" s="0">
        <v>251</v>
      </c>
      <c r="BP538" t="s" s="0">
        <v>252</v>
      </c>
      <c r="BQ538" t="s" s="0">
        <v>12614</v>
      </c>
      <c r="BR538" t="s" s="0">
        <v>12615</v>
      </c>
      <c r="BS538" t="s" s="0">
        <v>12616</v>
      </c>
      <c r="BT538" t="s" s="1071">
        <f>HYPERLINK("https://www.webofscience.com/wos/woscc/full-record/WOS:000640457900005","View Record in Web of Science")</f>
        <v>120</v>
      </c>
      <c r="BU538" t="s" s="0">
        <v>82</v>
      </c>
      <c r="BV538" t="s" s="0">
        <v>82</v>
      </c>
      <c r="BW538" t="s" s="0">
        <v>82</v>
      </c>
      <c r="BX538" t="s" s="0">
        <v>122</v>
      </c>
    </row>
    <row r="539">
      <c r="A539" t="s" s="0">
        <v>78</v>
      </c>
      <c r="B539" t="s" s="0">
        <v>78</v>
      </c>
      <c r="C539" t="s" s="0">
        <v>77</v>
      </c>
      <c r="D539" t="s" s="0">
        <v>78</v>
      </c>
      <c r="E539" t="s" s="0">
        <v>12617</v>
      </c>
      <c r="F539" t="s" s="0">
        <v>12618</v>
      </c>
      <c r="G539" t="s" s="0">
        <v>12619</v>
      </c>
      <c r="H539" t="s" s="0">
        <v>82</v>
      </c>
      <c r="I539" t="s" s="0">
        <v>83</v>
      </c>
      <c r="J539" t="s" s="0">
        <v>12620</v>
      </c>
      <c r="K539" t="s" s="0">
        <v>12621</v>
      </c>
      <c r="L539" t="s" s="0">
        <v>12622</v>
      </c>
      <c r="M539" t="s" s="0">
        <v>12623</v>
      </c>
      <c r="N539" t="s" s="0">
        <v>12624</v>
      </c>
      <c r="O539" t="s" s="0">
        <v>12625</v>
      </c>
      <c r="P539" t="s" s="0">
        <v>12626</v>
      </c>
      <c r="Q539" t="s" s="0">
        <v>91</v>
      </c>
      <c r="R539" t="s" s="0">
        <v>82</v>
      </c>
      <c r="S539" t="s" s="0">
        <v>82</v>
      </c>
      <c r="T539" t="s" s="0">
        <v>82</v>
      </c>
      <c r="U539" t="s" s="0">
        <v>82</v>
      </c>
      <c r="V539" t="s" s="0">
        <v>12627</v>
      </c>
      <c r="W539" t="s" s="0">
        <v>10783</v>
      </c>
      <c r="X539" t="s" s="0">
        <v>82</v>
      </c>
      <c r="Y539" t="s" s="0">
        <v>82</v>
      </c>
      <c r="Z539" t="s" s="0">
        <v>94</v>
      </c>
      <c r="AA539" t="s" s="0">
        <v>95</v>
      </c>
      <c r="AB539" t="s" s="0">
        <v>82</v>
      </c>
      <c r="AC539" t="s" s="0">
        <v>82</v>
      </c>
      <c r="AD539" t="s" s="0">
        <v>82</v>
      </c>
      <c r="AE539" t="s" s="0">
        <v>82</v>
      </c>
      <c r="AF539" t="s" s="0">
        <v>82</v>
      </c>
      <c r="AG539" t="s" s="0">
        <v>12628</v>
      </c>
      <c r="AH539" t="s" s="0">
        <v>12629</v>
      </c>
      <c r="AI539" t="s" s="0">
        <v>12630</v>
      </c>
      <c r="AJ539" t="s" s="0">
        <v>82</v>
      </c>
      <c r="AK539" t="s" s="0">
        <v>82</v>
      </c>
      <c r="AL539" t="s" s="0">
        <v>685</v>
      </c>
      <c r="AM539" t="s" s="0">
        <v>102</v>
      </c>
      <c r="AN539" t="s" s="0">
        <v>221</v>
      </c>
      <c r="AO539" t="s" s="0">
        <v>78</v>
      </c>
      <c r="AP539" t="s" s="0">
        <v>102</v>
      </c>
      <c r="AQ539" t="s" s="0">
        <v>2602</v>
      </c>
      <c r="AR539" t="s" s="0">
        <v>2603</v>
      </c>
      <c r="AS539" t="s" s="0">
        <v>2604</v>
      </c>
      <c r="AT539" t="s" s="0">
        <v>10788</v>
      </c>
      <c r="AU539" t="s" s="0">
        <v>10789</v>
      </c>
      <c r="AV539" t="s" s="0">
        <v>82</v>
      </c>
      <c r="AW539" t="s" s="0">
        <v>10790</v>
      </c>
      <c r="AX539" t="s" s="0">
        <v>10791</v>
      </c>
      <c r="AY539" t="s" s="0">
        <v>1457</v>
      </c>
      <c r="AZ539" t="s" s="0">
        <v>110</v>
      </c>
      <c r="BA539" t="s" s="0">
        <v>828</v>
      </c>
      <c r="BB539" t="s" s="0">
        <v>136</v>
      </c>
      <c r="BC539" t="s" s="0">
        <v>82</v>
      </c>
      <c r="BD539" t="s" s="0">
        <v>82</v>
      </c>
      <c r="BE539" t="s" s="0">
        <v>82</v>
      </c>
      <c r="BF539" t="s" s="0">
        <v>82</v>
      </c>
      <c r="BG539" t="s" s="0">
        <v>12631</v>
      </c>
      <c r="BH539" t="s" s="0">
        <v>12632</v>
      </c>
      <c r="BI539" t="s" s="0">
        <v>82</v>
      </c>
      <c r="BJ539" t="s" s="0">
        <v>12633</v>
      </c>
      <c r="BK539" t="s" s="1072">
        <f>HYPERLINK("http://dx.doi.org/10.1007/s40620-024-02011-9","http://dx.doi.org/10.1007/s40620-024-02011-9")</f>
        <v>12634</v>
      </c>
      <c r="BL539" t="s" s="0">
        <v>82</v>
      </c>
      <c r="BM539" t="s" s="0">
        <v>1196</v>
      </c>
      <c r="BN539" t="s" s="0">
        <v>136</v>
      </c>
      <c r="BO539" t="s" s="0">
        <v>1197</v>
      </c>
      <c r="BP539" t="s" s="0">
        <v>1197</v>
      </c>
      <c r="BQ539" t="s" s="0">
        <v>12635</v>
      </c>
      <c r="BR539" t="s" s="0">
        <v>12636</v>
      </c>
      <c r="BS539" t="s" s="0">
        <v>12637</v>
      </c>
      <c r="BT539" t="s" s="1073">
        <f>HYPERLINK("https://www.webofscience.com/wos/woscc/full-record/WOS:001263066700001","View Record in Web of Science")</f>
        <v>120</v>
      </c>
      <c r="BU539" t="s" s="0">
        <v>82</v>
      </c>
      <c r="BV539" t="s" s="0">
        <v>82</v>
      </c>
      <c r="BW539" t="s" s="0">
        <v>82</v>
      </c>
      <c r="BX539" t="s" s="0">
        <v>122</v>
      </c>
    </row>
    <row r="540">
      <c r="A540" t="s" s="0">
        <v>78</v>
      </c>
      <c r="B540" t="s" s="0">
        <v>78</v>
      </c>
      <c r="C540" t="s" s="0">
        <v>78</v>
      </c>
      <c r="D540" t="s" s="0">
        <v>78</v>
      </c>
      <c r="E540" t="s" s="0">
        <v>12638</v>
      </c>
      <c r="F540" t="s" s="0">
        <v>12639</v>
      </c>
      <c r="G540" t="s" s="0">
        <v>12640</v>
      </c>
      <c r="H540" t="s" s="0">
        <v>82</v>
      </c>
      <c r="I540" t="s" s="0">
        <v>83</v>
      </c>
      <c r="J540" t="s" s="0">
        <v>12641</v>
      </c>
      <c r="K540" t="s" s="0">
        <v>12642</v>
      </c>
      <c r="L540" t="s" s="0">
        <v>12643</v>
      </c>
      <c r="M540" t="s" s="0">
        <v>12644</v>
      </c>
      <c r="N540" t="s" s="0">
        <v>12645</v>
      </c>
      <c r="O540" t="s" s="0">
        <v>12646</v>
      </c>
      <c r="P540" t="s" s="0">
        <v>12647</v>
      </c>
      <c r="Q540" t="s" s="0">
        <v>91</v>
      </c>
      <c r="R540" t="s" s="0">
        <v>82</v>
      </c>
      <c r="S540" t="s" s="0">
        <v>82</v>
      </c>
      <c r="T540" t="s" s="0">
        <v>82</v>
      </c>
      <c r="U540" t="s" s="0">
        <v>82</v>
      </c>
      <c r="V540" t="s" s="0">
        <v>12648</v>
      </c>
      <c r="W540" t="s" s="0">
        <v>7397</v>
      </c>
      <c r="X540" t="s" s="0">
        <v>82</v>
      </c>
      <c r="Y540" t="s" s="0">
        <v>82</v>
      </c>
      <c r="Z540" t="s" s="0">
        <v>94</v>
      </c>
      <c r="AA540" t="s" s="0">
        <v>95</v>
      </c>
      <c r="AB540" t="s" s="0">
        <v>82</v>
      </c>
      <c r="AC540" t="s" s="0">
        <v>82</v>
      </c>
      <c r="AD540" t="s" s="0">
        <v>82</v>
      </c>
      <c r="AE540" t="s" s="0">
        <v>82</v>
      </c>
      <c r="AF540" t="s" s="0">
        <v>82</v>
      </c>
      <c r="AG540" t="s" s="0">
        <v>12649</v>
      </c>
      <c r="AH540" t="s" s="0">
        <v>12650</v>
      </c>
      <c r="AI540" t="s" s="0">
        <v>82</v>
      </c>
      <c r="AJ540" t="s" s="0">
        <v>82</v>
      </c>
      <c r="AK540" t="s" s="0">
        <v>82</v>
      </c>
      <c r="AL540" t="s" s="0">
        <v>745</v>
      </c>
      <c r="AM540" t="s" s="0">
        <v>78</v>
      </c>
      <c r="AN540" t="s" s="0">
        <v>78</v>
      </c>
      <c r="AO540" t="s" s="0">
        <v>77</v>
      </c>
      <c r="AP540" t="s" s="0">
        <v>77</v>
      </c>
      <c r="AQ540" t="s" s="0">
        <v>2484</v>
      </c>
      <c r="AR540" t="s" s="0">
        <v>2485</v>
      </c>
      <c r="AS540" t="s" s="0">
        <v>2486</v>
      </c>
      <c r="AT540" t="s" s="0">
        <v>7400</v>
      </c>
      <c r="AU540" t="s" s="0">
        <v>82</v>
      </c>
      <c r="AV540" t="s" s="0">
        <v>82</v>
      </c>
      <c r="AW540" t="s" s="0">
        <v>7401</v>
      </c>
      <c r="AX540" t="s" s="0">
        <v>7402</v>
      </c>
      <c r="AY540" t="s" s="0">
        <v>12651</v>
      </c>
      <c r="AZ540" t="s" s="0">
        <v>181</v>
      </c>
      <c r="BA540" t="s" s="0">
        <v>115</v>
      </c>
      <c r="BB540" t="s" s="0">
        <v>82</v>
      </c>
      <c r="BC540" t="s" s="0">
        <v>82</v>
      </c>
      <c r="BD540" t="s" s="0">
        <v>82</v>
      </c>
      <c r="BE540" t="s" s="0">
        <v>82</v>
      </c>
      <c r="BF540" t="s" s="0">
        <v>82</v>
      </c>
      <c r="BG540" t="s" s="0">
        <v>82</v>
      </c>
      <c r="BH540" t="s" s="0">
        <v>82</v>
      </c>
      <c r="BI540" t="s" s="0">
        <v>12652</v>
      </c>
      <c r="BJ540" t="s" s="0">
        <v>12653</v>
      </c>
      <c r="BK540" t="s" s="1074">
        <f>HYPERLINK("http://dx.doi.org/10.3389/fnut.2026.1750814","http://dx.doi.org/10.3389/fnut.2026.1750814")</f>
        <v>12654</v>
      </c>
      <c r="BL540" t="s" s="0">
        <v>82</v>
      </c>
      <c r="BM540" t="s" s="0">
        <v>82</v>
      </c>
      <c r="BN540" t="s" s="0">
        <v>115</v>
      </c>
      <c r="BO540" t="s" s="0">
        <v>7407</v>
      </c>
      <c r="BP540" t="s" s="0">
        <v>7407</v>
      </c>
      <c r="BQ540" t="s" s="0">
        <v>12655</v>
      </c>
      <c r="BR540" t="s" s="0">
        <v>12656</v>
      </c>
      <c r="BS540" t="s" s="0">
        <v>12657</v>
      </c>
      <c r="BT540" t="s" s="1075">
        <f>HYPERLINK("https://www.webofscience.com/wos/woscc/full-record/WOS:001726289400001","View Record in Web of Science")</f>
        <v>120</v>
      </c>
      <c r="BU540" t="s" s="0">
        <v>121</v>
      </c>
      <c r="BV540" t="s" s="0">
        <v>82</v>
      </c>
      <c r="BW540" t="s" s="0">
        <v>82</v>
      </c>
      <c r="BX540" t="s" s="0">
        <v>122</v>
      </c>
    </row>
    <row r="541">
      <c r="A541" t="s" s="0">
        <v>78</v>
      </c>
      <c r="B541" t="s" s="0">
        <v>78</v>
      </c>
      <c r="C541" t="s" s="0">
        <v>136</v>
      </c>
      <c r="D541" t="s" s="0">
        <v>78</v>
      </c>
      <c r="E541" t="s" s="0">
        <v>12658</v>
      </c>
      <c r="F541" t="s" s="0">
        <v>12659</v>
      </c>
      <c r="G541" t="s" s="0">
        <v>12660</v>
      </c>
      <c r="H541" t="s" s="0">
        <v>82</v>
      </c>
      <c r="I541" t="s" s="0">
        <v>83</v>
      </c>
      <c r="J541" t="s" s="0">
        <v>12661</v>
      </c>
      <c r="K541" t="s" s="0">
        <v>12662</v>
      </c>
      <c r="L541" t="s" s="0">
        <v>12663</v>
      </c>
      <c r="M541" t="s" s="0">
        <v>12663</v>
      </c>
      <c r="N541" t="s" s="0">
        <v>12664</v>
      </c>
      <c r="O541" t="s" s="0">
        <v>12665</v>
      </c>
      <c r="P541" t="s" s="0">
        <v>12666</v>
      </c>
      <c r="Q541" t="s" s="0">
        <v>91</v>
      </c>
      <c r="R541" t="s" s="0">
        <v>82</v>
      </c>
      <c r="S541" t="s" s="0">
        <v>82</v>
      </c>
      <c r="T541" t="s" s="0">
        <v>82</v>
      </c>
      <c r="U541" t="s" s="0">
        <v>82</v>
      </c>
      <c r="V541" t="s" s="0">
        <v>12667</v>
      </c>
      <c r="W541" t="s" s="0">
        <v>12668</v>
      </c>
      <c r="X541" t="s" s="0">
        <v>82</v>
      </c>
      <c r="Y541" t="s" s="0">
        <v>82</v>
      </c>
      <c r="Z541" t="s" s="0">
        <v>94</v>
      </c>
      <c r="AA541" t="s" s="0">
        <v>95</v>
      </c>
      <c r="AB541" t="s" s="0">
        <v>82</v>
      </c>
      <c r="AC541" t="s" s="0">
        <v>82</v>
      </c>
      <c r="AD541" t="s" s="0">
        <v>82</v>
      </c>
      <c r="AE541" t="s" s="0">
        <v>82</v>
      </c>
      <c r="AF541" t="s" s="0">
        <v>82</v>
      </c>
      <c r="AG541" t="s" s="0">
        <v>82</v>
      </c>
      <c r="AH541" t="s" s="0">
        <v>12669</v>
      </c>
      <c r="AI541" t="s" s="0">
        <v>12670</v>
      </c>
      <c r="AJ541" t="s" s="0">
        <v>12671</v>
      </c>
      <c r="AK541" t="s" s="0">
        <v>82</v>
      </c>
      <c r="AL541" t="s" s="0">
        <v>238</v>
      </c>
      <c r="AM541" t="s" s="0">
        <v>1161</v>
      </c>
      <c r="AN541" t="s" s="0">
        <v>353</v>
      </c>
      <c r="AO541" t="s" s="0">
        <v>78</v>
      </c>
      <c r="AP541" t="s" s="0">
        <v>138</v>
      </c>
      <c r="AQ541" t="s" s="0">
        <v>832</v>
      </c>
      <c r="AR541" t="s" s="0">
        <v>833</v>
      </c>
      <c r="AS541" t="s" s="0">
        <v>834</v>
      </c>
      <c r="AT541" t="s" s="0">
        <v>82</v>
      </c>
      <c r="AU541" t="s" s="0">
        <v>12672</v>
      </c>
      <c r="AV541" t="s" s="0">
        <v>82</v>
      </c>
      <c r="AW541" t="s" s="0">
        <v>12673</v>
      </c>
      <c r="AX541" t="s" s="0">
        <v>12674</v>
      </c>
      <c r="AY541" t="s" s="0">
        <v>2370</v>
      </c>
      <c r="AZ541" t="s" s="0">
        <v>110</v>
      </c>
      <c r="BA541" t="s" s="0">
        <v>136</v>
      </c>
      <c r="BB541" t="s" s="0">
        <v>82</v>
      </c>
      <c r="BC541" t="s" s="0">
        <v>82</v>
      </c>
      <c r="BD541" t="s" s="0">
        <v>82</v>
      </c>
      <c r="BE541" t="s" s="0">
        <v>82</v>
      </c>
      <c r="BF541" t="s" s="0">
        <v>82</v>
      </c>
      <c r="BG541" t="s" s="0">
        <v>82</v>
      </c>
      <c r="BH541" t="s" s="0">
        <v>82</v>
      </c>
      <c r="BI541" t="s" s="0">
        <v>12675</v>
      </c>
      <c r="BJ541" t="s" s="0">
        <v>12676</v>
      </c>
      <c r="BK541" t="s" s="1076">
        <f>HYPERLINK("http://dx.doi.org/10.1200/PO.23.00556","http://dx.doi.org/10.1200/PO.23.00556")</f>
        <v>12677</v>
      </c>
      <c r="BL541" t="s" s="0">
        <v>82</v>
      </c>
      <c r="BM541" t="s" s="0">
        <v>82</v>
      </c>
      <c r="BN541" t="s" s="0">
        <v>149</v>
      </c>
      <c r="BO541" t="s" s="0">
        <v>4833</v>
      </c>
      <c r="BP541" t="s" s="0">
        <v>4833</v>
      </c>
      <c r="BQ541" t="s" s="0">
        <v>12678</v>
      </c>
      <c r="BR541" t="s" s="0">
        <v>12679</v>
      </c>
      <c r="BS541" t="s" s="0">
        <v>12680</v>
      </c>
      <c r="BT541" t="s" s="1077">
        <f>HYPERLINK("https://www.webofscience.com/wos/woscc/full-record/WOS:001283738000003","View Record in Web of Science")</f>
        <v>120</v>
      </c>
      <c r="BU541" t="s" s="0">
        <v>82</v>
      </c>
      <c r="BV541" t="s" s="0">
        <v>82</v>
      </c>
      <c r="BW541" t="s" s="0">
        <v>82</v>
      </c>
      <c r="BX541" t="s" s="0">
        <v>122</v>
      </c>
    </row>
    <row r="542">
      <c r="A542" t="s" s="0">
        <v>78</v>
      </c>
      <c r="B542" t="s" s="0">
        <v>78</v>
      </c>
      <c r="C542" t="s" s="0">
        <v>77</v>
      </c>
      <c r="D542" t="s" s="0">
        <v>78</v>
      </c>
      <c r="E542" t="s" s="0">
        <v>12681</v>
      </c>
      <c r="F542" t="s" s="0">
        <v>12682</v>
      </c>
      <c r="G542" t="s" s="0">
        <v>12683</v>
      </c>
      <c r="H542" t="s" s="0">
        <v>82</v>
      </c>
      <c r="I542" t="s" s="0">
        <v>297</v>
      </c>
      <c r="J542" t="s" s="0">
        <v>12684</v>
      </c>
      <c r="K542" t="s" s="0">
        <v>12685</v>
      </c>
      <c r="L542" t="s" s="0">
        <v>12686</v>
      </c>
      <c r="M542" t="s" s="0">
        <v>12687</v>
      </c>
      <c r="N542" t="s" s="0">
        <v>82</v>
      </c>
      <c r="O542" t="s" s="0">
        <v>12688</v>
      </c>
      <c r="P542" t="s" s="0">
        <v>12689</v>
      </c>
      <c r="Q542" t="s" s="0">
        <v>91</v>
      </c>
      <c r="R542" t="s" s="0">
        <v>82</v>
      </c>
      <c r="S542" t="s" s="0">
        <v>82</v>
      </c>
      <c r="T542" t="s" s="0">
        <v>82</v>
      </c>
      <c r="U542" t="s" s="0">
        <v>82</v>
      </c>
      <c r="V542" t="s" s="0">
        <v>12690</v>
      </c>
      <c r="W542" t="s" s="0">
        <v>486</v>
      </c>
      <c r="X542" t="s" s="0">
        <v>82</v>
      </c>
      <c r="Y542" t="s" s="0">
        <v>82</v>
      </c>
      <c r="Z542" t="s" s="0">
        <v>94</v>
      </c>
      <c r="AA542" t="s" s="0">
        <v>95</v>
      </c>
      <c r="AB542" t="s" s="0">
        <v>82</v>
      </c>
      <c r="AC542" t="s" s="0">
        <v>82</v>
      </c>
      <c r="AD542" t="s" s="0">
        <v>82</v>
      </c>
      <c r="AE542" t="s" s="0">
        <v>82</v>
      </c>
      <c r="AF542" t="s" s="0">
        <v>82</v>
      </c>
      <c r="AG542" t="s" s="0">
        <v>12691</v>
      </c>
      <c r="AH542" t="s" s="0">
        <v>12692</v>
      </c>
      <c r="AI542" t="s" s="0">
        <v>12693</v>
      </c>
      <c r="AJ542" t="s" s="0">
        <v>12694</v>
      </c>
      <c r="AK542" t="s" s="0">
        <v>82</v>
      </c>
      <c r="AL542" t="s" s="0">
        <v>2575</v>
      </c>
      <c r="AM542" t="s" s="0">
        <v>101</v>
      </c>
      <c r="AN542" t="s" s="0">
        <v>101</v>
      </c>
      <c r="AO542" t="s" s="0">
        <v>78</v>
      </c>
      <c r="AP542" t="s" s="0">
        <v>221</v>
      </c>
      <c r="AQ542" t="s" s="0">
        <v>491</v>
      </c>
      <c r="AR542" t="s" s="0">
        <v>492</v>
      </c>
      <c r="AS542" t="s" s="0">
        <v>493</v>
      </c>
      <c r="AT542" t="s" s="0">
        <v>82</v>
      </c>
      <c r="AU542" t="s" s="0">
        <v>494</v>
      </c>
      <c r="AV542" t="s" s="0">
        <v>82</v>
      </c>
      <c r="AW542" t="s" s="0">
        <v>495</v>
      </c>
      <c r="AX542" t="s" s="0">
        <v>496</v>
      </c>
      <c r="AY542" t="s" s="0">
        <v>6430</v>
      </c>
      <c r="AZ542" t="s" s="0">
        <v>110</v>
      </c>
      <c r="BA542" t="s" s="0">
        <v>221</v>
      </c>
      <c r="BB542" t="s" s="0">
        <v>447</v>
      </c>
      <c r="BC542" t="s" s="0">
        <v>82</v>
      </c>
      <c r="BD542" t="s" s="0">
        <v>82</v>
      </c>
      <c r="BE542" t="s" s="0">
        <v>82</v>
      </c>
      <c r="BF542" t="s" s="0">
        <v>82</v>
      </c>
      <c r="BG542" t="s" s="0">
        <v>2373</v>
      </c>
      <c r="BH542" t="s" s="0">
        <v>1025</v>
      </c>
      <c r="BI542" t="s" s="0">
        <v>82</v>
      </c>
      <c r="BJ542" t="s" s="0">
        <v>12695</v>
      </c>
      <c r="BK542" t="s" s="1078">
        <f>HYPERLINK("http://dx.doi.org/10.1093/ehjdh/ztad073","http://dx.doi.org/10.1093/ehjdh/ztad073")</f>
        <v>12696</v>
      </c>
      <c r="BL542" t="s" s="0">
        <v>82</v>
      </c>
      <c r="BM542" t="s" s="0">
        <v>5018</v>
      </c>
      <c r="BN542" t="s" s="0">
        <v>323</v>
      </c>
      <c r="BO542" t="s" s="0">
        <v>503</v>
      </c>
      <c r="BP542" t="s" s="0">
        <v>504</v>
      </c>
      <c r="BQ542" t="s" s="0">
        <v>6434</v>
      </c>
      <c r="BR542" t="s" s="0">
        <v>12697</v>
      </c>
      <c r="BS542" t="s" s="0">
        <v>12698</v>
      </c>
      <c r="BT542" t="s" s="1079">
        <f>HYPERLINK("https://www.webofscience.com/wos/woscc/full-record/WOS:001186120700003","View Record in Web of Science")</f>
        <v>120</v>
      </c>
      <c r="BU542" t="s" s="0">
        <v>121</v>
      </c>
      <c r="BV542" t="s" s="0">
        <v>82</v>
      </c>
      <c r="BW542" t="s" s="0">
        <v>82</v>
      </c>
      <c r="BX542" t="s" s="0">
        <v>122</v>
      </c>
    </row>
    <row r="543">
      <c r="A543" t="s" s="0">
        <v>78</v>
      </c>
      <c r="B543" t="s" s="0">
        <v>78</v>
      </c>
      <c r="C543" t="s" s="0">
        <v>77</v>
      </c>
      <c r="D543" t="s" s="0">
        <v>78</v>
      </c>
      <c r="E543" t="s" s="0">
        <v>12699</v>
      </c>
      <c r="F543" t="s" s="0">
        <v>12700</v>
      </c>
      <c r="G543" t="s" s="0">
        <v>12701</v>
      </c>
      <c r="H543" t="s" s="0">
        <v>82</v>
      </c>
      <c r="I543" t="s" s="0">
        <v>83</v>
      </c>
      <c r="J543" t="s" s="0">
        <v>12702</v>
      </c>
      <c r="K543" t="s" s="0">
        <v>12703</v>
      </c>
      <c r="L543" t="s" s="0">
        <v>12704</v>
      </c>
      <c r="M543" t="s" s="0">
        <v>12705</v>
      </c>
      <c r="N543" t="s" s="0">
        <v>12706</v>
      </c>
      <c r="O543" t="s" s="0">
        <v>12707</v>
      </c>
      <c r="P543" t="s" s="0">
        <v>12708</v>
      </c>
      <c r="Q543" t="s" s="0">
        <v>91</v>
      </c>
      <c r="R543" t="s" s="0">
        <v>82</v>
      </c>
      <c r="S543" t="s" s="0">
        <v>82</v>
      </c>
      <c r="T543" t="s" s="0">
        <v>82</v>
      </c>
      <c r="U543" t="s" s="0">
        <v>82</v>
      </c>
      <c r="V543" t="s" s="0">
        <v>12709</v>
      </c>
      <c r="W543" t="s" s="0">
        <v>12710</v>
      </c>
      <c r="X543" t="s" s="0">
        <v>82</v>
      </c>
      <c r="Y543" t="s" s="0">
        <v>82</v>
      </c>
      <c r="Z543" t="s" s="0">
        <v>94</v>
      </c>
      <c r="AA543" t="s" s="0">
        <v>95</v>
      </c>
      <c r="AB543" t="s" s="0">
        <v>82</v>
      </c>
      <c r="AC543" t="s" s="0">
        <v>82</v>
      </c>
      <c r="AD543" t="s" s="0">
        <v>82</v>
      </c>
      <c r="AE543" t="s" s="0">
        <v>82</v>
      </c>
      <c r="AF543" t="s" s="0">
        <v>82</v>
      </c>
      <c r="AG543" t="s" s="0">
        <v>12711</v>
      </c>
      <c r="AH543" t="s" s="0">
        <v>12712</v>
      </c>
      <c r="AI543" t="s" s="0">
        <v>12713</v>
      </c>
      <c r="AJ543" t="s" s="0">
        <v>12714</v>
      </c>
      <c r="AK543" t="s" s="0">
        <v>82</v>
      </c>
      <c r="AL543" t="s" s="0">
        <v>831</v>
      </c>
      <c r="AM543" t="s" s="0">
        <v>77</v>
      </c>
      <c r="AN543" t="s" s="0">
        <v>447</v>
      </c>
      <c r="AO543" t="s" s="0">
        <v>78</v>
      </c>
      <c r="AP543" t="s" s="0">
        <v>149</v>
      </c>
      <c r="AQ543" t="s" s="0">
        <v>2051</v>
      </c>
      <c r="AR543" t="s" s="0">
        <v>203</v>
      </c>
      <c r="AS543" t="s" s="0">
        <v>2052</v>
      </c>
      <c r="AT543" t="s" s="0">
        <v>12715</v>
      </c>
      <c r="AU543" t="s" s="0">
        <v>12716</v>
      </c>
      <c r="AV543" t="s" s="0">
        <v>82</v>
      </c>
      <c r="AW543" t="s" s="0">
        <v>12710</v>
      </c>
      <c r="AX543" t="s" s="0">
        <v>12717</v>
      </c>
      <c r="AY543" t="s" s="0">
        <v>12718</v>
      </c>
      <c r="AZ543" t="s" s="0">
        <v>210</v>
      </c>
      <c r="BA543" t="s" s="0">
        <v>4998</v>
      </c>
      <c r="BB543" t="s" s="0">
        <v>77</v>
      </c>
      <c r="BC543" t="s" s="0">
        <v>82</v>
      </c>
      <c r="BD543" t="s" s="0">
        <v>82</v>
      </c>
      <c r="BE543" t="s" s="0">
        <v>82</v>
      </c>
      <c r="BF543" t="s" s="0">
        <v>82</v>
      </c>
      <c r="BG543" t="s" s="0">
        <v>82</v>
      </c>
      <c r="BH543" t="s" s="0">
        <v>82</v>
      </c>
      <c r="BI543" t="s" s="0">
        <v>2659</v>
      </c>
      <c r="BJ543" t="s" s="0">
        <v>12719</v>
      </c>
      <c r="BK543" t="s" s="1080">
        <f>HYPERLINK("http://dx.doi.org/10.1007/s00240-023-01490-y","http://dx.doi.org/10.1007/s00240-023-01490-y")</f>
        <v>12720</v>
      </c>
      <c r="BL543" t="s" s="0">
        <v>82</v>
      </c>
      <c r="BM543" t="s" s="0">
        <v>82</v>
      </c>
      <c r="BN543" t="s" s="0">
        <v>136</v>
      </c>
      <c r="BO543" t="s" s="0">
        <v>1197</v>
      </c>
      <c r="BP543" t="s" s="0">
        <v>1197</v>
      </c>
      <c r="BQ543" t="s" s="0">
        <v>12721</v>
      </c>
      <c r="BR543" t="s" s="0">
        <v>12722</v>
      </c>
      <c r="BS543" t="s" s="0">
        <v>12723</v>
      </c>
      <c r="BT543" t="s" s="1081">
        <f>HYPERLINK("https://www.webofscience.com/wos/woscc/full-record/WOS:001075534900001","View Record in Web of Science")</f>
        <v>120</v>
      </c>
      <c r="BU543" t="s" s="0">
        <v>82</v>
      </c>
      <c r="BV543" t="s" s="0">
        <v>82</v>
      </c>
      <c r="BW543" t="s" s="0">
        <v>82</v>
      </c>
      <c r="BX543" t="s" s="0">
        <v>122</v>
      </c>
    </row>
    <row r="544">
      <c r="A544" t="s" s="0">
        <v>78</v>
      </c>
      <c r="B544" t="s" s="0">
        <v>78</v>
      </c>
      <c r="C544" t="s" s="0">
        <v>77</v>
      </c>
      <c r="D544" t="s" s="0">
        <v>78</v>
      </c>
      <c r="E544" t="s" s="0">
        <v>12724</v>
      </c>
      <c r="F544" t="s" s="0">
        <v>12725</v>
      </c>
      <c r="G544" t="s" s="0">
        <v>12726</v>
      </c>
      <c r="H544" t="s" s="0">
        <v>82</v>
      </c>
      <c r="I544" t="s" s="0">
        <v>83</v>
      </c>
      <c r="J544" t="s" s="0">
        <v>12727</v>
      </c>
      <c r="K544" t="s" s="0">
        <v>12728</v>
      </c>
      <c r="L544" t="s" s="0">
        <v>82</v>
      </c>
      <c r="M544" t="s" s="0">
        <v>82</v>
      </c>
      <c r="N544" t="s" s="0">
        <v>82</v>
      </c>
      <c r="O544" t="s" s="0">
        <v>12729</v>
      </c>
      <c r="P544" t="s" s="0">
        <v>12730</v>
      </c>
      <c r="Q544" t="s" s="0">
        <v>91</v>
      </c>
      <c r="R544" t="s" s="0">
        <v>82</v>
      </c>
      <c r="S544" t="s" s="0">
        <v>82</v>
      </c>
      <c r="T544" t="s" s="0">
        <v>82</v>
      </c>
      <c r="U544" t="s" s="0">
        <v>82</v>
      </c>
      <c r="V544" t="s" s="0">
        <v>12731</v>
      </c>
      <c r="W544" t="s" s="0">
        <v>6786</v>
      </c>
      <c r="X544" t="s" s="0">
        <v>82</v>
      </c>
      <c r="Y544" t="s" s="0">
        <v>82</v>
      </c>
      <c r="Z544" t="s" s="0">
        <v>94</v>
      </c>
      <c r="AA544" t="s" s="0">
        <v>95</v>
      </c>
      <c r="AB544" t="s" s="0">
        <v>82</v>
      </c>
      <c r="AC544" t="s" s="0">
        <v>82</v>
      </c>
      <c r="AD544" t="s" s="0">
        <v>82</v>
      </c>
      <c r="AE544" t="s" s="0">
        <v>82</v>
      </c>
      <c r="AF544" t="s" s="0">
        <v>82</v>
      </c>
      <c r="AG544" t="s" s="0">
        <v>12732</v>
      </c>
      <c r="AH544" t="s" s="0">
        <v>12733</v>
      </c>
      <c r="AI544" t="s" s="0">
        <v>12734</v>
      </c>
      <c r="AJ544" t="s" s="0">
        <v>12735</v>
      </c>
      <c r="AK544" t="s" s="0">
        <v>82</v>
      </c>
      <c r="AL544" t="s" s="0">
        <v>828</v>
      </c>
      <c r="AM544" t="s" s="0">
        <v>77</v>
      </c>
      <c r="AN544" t="s" s="0">
        <v>77</v>
      </c>
      <c r="AO544" t="s" s="0">
        <v>101</v>
      </c>
      <c r="AP544" t="s" s="0">
        <v>102</v>
      </c>
      <c r="AQ544" t="s" s="0">
        <v>400</v>
      </c>
      <c r="AR544" t="s" s="0">
        <v>401</v>
      </c>
      <c r="AS544" t="s" s="0">
        <v>402</v>
      </c>
      <c r="AT544" t="s" s="0">
        <v>6792</v>
      </c>
      <c r="AU544" t="s" s="0">
        <v>6793</v>
      </c>
      <c r="AV544" t="s" s="0">
        <v>82</v>
      </c>
      <c r="AW544" t="s" s="0">
        <v>6794</v>
      </c>
      <c r="AX544" t="s" s="0">
        <v>6795</v>
      </c>
      <c r="AY544" t="s" s="0">
        <v>153</v>
      </c>
      <c r="AZ544" t="s" s="0">
        <v>181</v>
      </c>
      <c r="BA544" t="s" s="0">
        <v>2580</v>
      </c>
      <c r="BB544" t="s" s="0">
        <v>82</v>
      </c>
      <c r="BC544" t="s" s="0">
        <v>82</v>
      </c>
      <c r="BD544" t="s" s="0">
        <v>82</v>
      </c>
      <c r="BE544" t="s" s="0">
        <v>82</v>
      </c>
      <c r="BF544" t="s" s="0">
        <v>82</v>
      </c>
      <c r="BG544" t="s" s="0">
        <v>82</v>
      </c>
      <c r="BH544" t="s" s="0">
        <v>82</v>
      </c>
      <c r="BI544" t="s" s="0">
        <v>12736</v>
      </c>
      <c r="BJ544" t="s" s="0">
        <v>12737</v>
      </c>
      <c r="BK544" t="s" s="1082">
        <f>HYPERLINK("http://dx.doi.org/10.1016/j.radonc.2025.111362","http://dx.doi.org/10.1016/j.radonc.2025.111362")</f>
        <v>12738</v>
      </c>
      <c r="BL544" t="s" s="0">
        <v>82</v>
      </c>
      <c r="BM544" t="s" s="0">
        <v>2302</v>
      </c>
      <c r="BN544" t="s" s="0">
        <v>245</v>
      </c>
      <c r="BO544" t="s" s="0">
        <v>2164</v>
      </c>
      <c r="BP544" t="s" s="0">
        <v>2164</v>
      </c>
      <c r="BQ544" t="s" s="0">
        <v>12739</v>
      </c>
      <c r="BR544" t="s" s="0">
        <v>12740</v>
      </c>
      <c r="BS544" t="s" s="0">
        <v>12741</v>
      </c>
      <c r="BT544" t="s" s="1083">
        <f>HYPERLINK("https://www.webofscience.com/wos/woscc/full-record/WOS:001659795600001","View Record in Web of Science")</f>
        <v>120</v>
      </c>
      <c r="BU544" t="s" s="0">
        <v>82</v>
      </c>
      <c r="BV544" t="s" s="0">
        <v>82</v>
      </c>
      <c r="BW544" t="s" s="0">
        <v>82</v>
      </c>
      <c r="BX544" t="s" s="0">
        <v>122</v>
      </c>
    </row>
    <row r="545">
      <c r="A545" t="s" s="0">
        <v>78</v>
      </c>
      <c r="B545" t="s" s="0">
        <v>78</v>
      </c>
      <c r="C545" t="s" s="0">
        <v>447</v>
      </c>
      <c r="D545" t="s" s="0">
        <v>78</v>
      </c>
      <c r="E545" t="s" s="0">
        <v>12742</v>
      </c>
      <c r="F545" t="s" s="0">
        <v>12743</v>
      </c>
      <c r="G545" t="s" s="0">
        <v>12744</v>
      </c>
      <c r="H545" t="s" s="0">
        <v>82</v>
      </c>
      <c r="I545" t="s" s="0">
        <v>83</v>
      </c>
      <c r="J545" t="s" s="0">
        <v>12745</v>
      </c>
      <c r="K545" t="s" s="0">
        <v>12746</v>
      </c>
      <c r="L545" t="s" s="0">
        <v>82</v>
      </c>
      <c r="M545" t="s" s="0">
        <v>82</v>
      </c>
      <c r="N545" t="s" s="0">
        <v>82</v>
      </c>
      <c r="O545" t="s" s="0">
        <v>12747</v>
      </c>
      <c r="P545" t="s" s="0">
        <v>12748</v>
      </c>
      <c r="Q545" t="s" s="0">
        <v>91</v>
      </c>
      <c r="R545" t="s" s="0">
        <v>82</v>
      </c>
      <c r="S545" t="s" s="0">
        <v>82</v>
      </c>
      <c r="T545" t="s" s="0">
        <v>82</v>
      </c>
      <c r="U545" t="s" s="0">
        <v>82</v>
      </c>
      <c r="V545" t="s" s="0">
        <v>12749</v>
      </c>
      <c r="W545" t="s" s="0">
        <v>7015</v>
      </c>
      <c r="X545" t="s" s="0">
        <v>82</v>
      </c>
      <c r="Y545" t="s" s="0">
        <v>82</v>
      </c>
      <c r="Z545" t="s" s="0">
        <v>94</v>
      </c>
      <c r="AA545" t="s" s="0">
        <v>95</v>
      </c>
      <c r="AB545" t="s" s="0">
        <v>82</v>
      </c>
      <c r="AC545" t="s" s="0">
        <v>82</v>
      </c>
      <c r="AD545" t="s" s="0">
        <v>82</v>
      </c>
      <c r="AE545" t="s" s="0">
        <v>82</v>
      </c>
      <c r="AF545" t="s" s="0">
        <v>82</v>
      </c>
      <c r="AG545" t="s" s="0">
        <v>12750</v>
      </c>
      <c r="AH545" t="s" s="0">
        <v>12751</v>
      </c>
      <c r="AI545" t="s" s="0">
        <v>12752</v>
      </c>
      <c r="AJ545" t="s" s="0">
        <v>12753</v>
      </c>
      <c r="AK545" t="s" s="0">
        <v>82</v>
      </c>
      <c r="AL545" t="s" s="0">
        <v>745</v>
      </c>
      <c r="AM545" t="s" s="0">
        <v>319</v>
      </c>
      <c r="AN545" t="s" s="0">
        <v>319</v>
      </c>
      <c r="AO545" t="s" s="0">
        <v>78</v>
      </c>
      <c r="AP545" t="s" s="0">
        <v>77</v>
      </c>
      <c r="AQ545" t="s" s="0">
        <v>202</v>
      </c>
      <c r="AR545" t="s" s="0">
        <v>203</v>
      </c>
      <c r="AS545" t="s" s="0">
        <v>7020</v>
      </c>
      <c r="AT545" t="s" s="0">
        <v>7021</v>
      </c>
      <c r="AU545" t="s" s="0">
        <v>7022</v>
      </c>
      <c r="AV545" t="s" s="0">
        <v>82</v>
      </c>
      <c r="AW545" t="s" s="0">
        <v>7023</v>
      </c>
      <c r="AX545" t="s" s="0">
        <v>7024</v>
      </c>
      <c r="AY545" t="s" s="0">
        <v>949</v>
      </c>
      <c r="AZ545" t="s" s="0">
        <v>147</v>
      </c>
      <c r="BA545" t="s" s="0">
        <v>111</v>
      </c>
      <c r="BB545" t="s" s="0">
        <v>138</v>
      </c>
      <c r="BC545" t="s" s="0">
        <v>82</v>
      </c>
      <c r="BD545" t="s" s="0">
        <v>82</v>
      </c>
      <c r="BE545" t="s" s="0">
        <v>82</v>
      </c>
      <c r="BF545" t="s" s="0">
        <v>82</v>
      </c>
      <c r="BG545" t="s" s="0">
        <v>12754</v>
      </c>
      <c r="BH545" t="s" s="0">
        <v>12755</v>
      </c>
      <c r="BI545" t="s" s="0">
        <v>82</v>
      </c>
      <c r="BJ545" t="s" s="0">
        <v>12756</v>
      </c>
      <c r="BK545" t="s" s="1084">
        <f>HYPERLINK("http://dx.doi.org/10.1016/j.spinee.2025.03.018","http://dx.doi.org/10.1016/j.spinee.2025.03.018")</f>
        <v>12757</v>
      </c>
      <c r="BL545" t="s" s="0">
        <v>82</v>
      </c>
      <c r="BM545" t="s" s="0">
        <v>1394</v>
      </c>
      <c r="BN545" t="s" s="0">
        <v>323</v>
      </c>
      <c r="BO545" t="s" s="0">
        <v>2062</v>
      </c>
      <c r="BP545" t="s" s="0">
        <v>2063</v>
      </c>
      <c r="BQ545" t="s" s="0">
        <v>12758</v>
      </c>
      <c r="BR545" t="s" s="0">
        <v>12759</v>
      </c>
      <c r="BS545" t="s" s="0">
        <v>12760</v>
      </c>
      <c r="BT545" t="s" s="1085">
        <f>HYPERLINK("https://www.webofscience.com/wos/woscc/full-record/WOS:001516090500007","View Record in Web of Science")</f>
        <v>120</v>
      </c>
      <c r="BU545" t="s" s="0">
        <v>256</v>
      </c>
      <c r="BV545" t="s" s="0">
        <v>82</v>
      </c>
      <c r="BW545" t="s" s="0">
        <v>82</v>
      </c>
      <c r="BX545" t="s" s="0">
        <v>122</v>
      </c>
    </row>
    <row r="546">
      <c r="A546" t="s" s="0">
        <v>78</v>
      </c>
      <c r="B546" t="s" s="0">
        <v>78</v>
      </c>
      <c r="C546" t="s" s="0">
        <v>78</v>
      </c>
      <c r="D546" t="s" s="0">
        <v>78</v>
      </c>
      <c r="E546" t="s" s="0">
        <v>12761</v>
      </c>
      <c r="F546" t="s" s="0">
        <v>12762</v>
      </c>
      <c r="G546" t="s" s="0">
        <v>12763</v>
      </c>
      <c r="H546" t="s" s="0">
        <v>82</v>
      </c>
      <c r="I546" t="s" s="0">
        <v>589</v>
      </c>
      <c r="J546" t="s" s="0">
        <v>12764</v>
      </c>
      <c r="K546" t="s" s="0">
        <v>12765</v>
      </c>
      <c r="L546" t="s" s="0">
        <v>12766</v>
      </c>
      <c r="M546" t="s" s="0">
        <v>12767</v>
      </c>
      <c r="N546" t="s" s="0">
        <v>12768</v>
      </c>
      <c r="O546" t="s" s="0">
        <v>12769</v>
      </c>
      <c r="P546" t="s" s="0">
        <v>12770</v>
      </c>
      <c r="Q546" t="s" s="0">
        <v>91</v>
      </c>
      <c r="R546" t="s" s="0">
        <v>82</v>
      </c>
      <c r="S546" t="s" s="0">
        <v>82</v>
      </c>
      <c r="T546" t="s" s="0">
        <v>82</v>
      </c>
      <c r="U546" t="s" s="0">
        <v>82</v>
      </c>
      <c r="V546" t="s" s="0">
        <v>12771</v>
      </c>
      <c r="W546" t="s" s="0">
        <v>12772</v>
      </c>
      <c r="X546" t="s" s="0">
        <v>82</v>
      </c>
      <c r="Y546" t="s" s="0">
        <v>82</v>
      </c>
      <c r="Z546" t="s" s="0">
        <v>94</v>
      </c>
      <c r="AA546" t="s" s="0">
        <v>95</v>
      </c>
      <c r="AB546" t="s" s="0">
        <v>82</v>
      </c>
      <c r="AC546" t="s" s="0">
        <v>82</v>
      </c>
      <c r="AD546" t="s" s="0">
        <v>82</v>
      </c>
      <c r="AE546" t="s" s="0">
        <v>82</v>
      </c>
      <c r="AF546" t="s" s="0">
        <v>82</v>
      </c>
      <c r="AG546" t="s" s="0">
        <v>12773</v>
      </c>
      <c r="AH546" t="s" s="0">
        <v>12774</v>
      </c>
      <c r="AI546" t="s" s="0">
        <v>12775</v>
      </c>
      <c r="AJ546" t="s" s="0">
        <v>12776</v>
      </c>
      <c r="AK546" t="s" s="0">
        <v>82</v>
      </c>
      <c r="AL546" t="s" s="0">
        <v>2633</v>
      </c>
      <c r="AM546" t="s" s="0">
        <v>77</v>
      </c>
      <c r="AN546" t="s" s="0">
        <v>77</v>
      </c>
      <c r="AO546" t="s" s="0">
        <v>78</v>
      </c>
      <c r="AP546" t="s" s="0">
        <v>78</v>
      </c>
      <c r="AQ546" t="s" s="0">
        <v>312</v>
      </c>
      <c r="AR546" t="s" s="0">
        <v>313</v>
      </c>
      <c r="AS546" t="s" s="0">
        <v>314</v>
      </c>
      <c r="AT546" t="s" s="0">
        <v>82</v>
      </c>
      <c r="AU546" t="s" s="0">
        <v>12777</v>
      </c>
      <c r="AV546" t="s" s="0">
        <v>82</v>
      </c>
      <c r="AW546" t="s" s="0">
        <v>12778</v>
      </c>
      <c r="AX546" t="s" s="0">
        <v>12779</v>
      </c>
      <c r="AY546" t="s" s="0">
        <v>12780</v>
      </c>
      <c r="AZ546" t="s" s="0">
        <v>181</v>
      </c>
      <c r="BA546" t="s" s="0">
        <v>323</v>
      </c>
      <c r="BB546" t="s" s="0">
        <v>447</v>
      </c>
      <c r="BC546" t="s" s="0">
        <v>82</v>
      </c>
      <c r="BD546" t="s" s="0">
        <v>82</v>
      </c>
      <c r="BE546" t="s" s="0">
        <v>82</v>
      </c>
      <c r="BF546" t="s" s="0">
        <v>82</v>
      </c>
      <c r="BG546" t="s" s="0">
        <v>82</v>
      </c>
      <c r="BH546" t="s" s="0">
        <v>82</v>
      </c>
      <c r="BI546" t="s" s="0">
        <v>12781</v>
      </c>
      <c r="BJ546" t="s" s="0">
        <v>12782</v>
      </c>
      <c r="BK546" t="s" s="1086">
        <f>HYPERLINK("http://dx.doi.org/10.3390/healthcare14020247","http://dx.doi.org/10.3390/healthcare14020247")</f>
        <v>12783</v>
      </c>
      <c r="BL546" t="s" s="0">
        <v>82</v>
      </c>
      <c r="BM546" t="s" s="0">
        <v>82</v>
      </c>
      <c r="BN546" t="s" s="0">
        <v>344</v>
      </c>
      <c r="BO546" t="s" s="0">
        <v>12784</v>
      </c>
      <c r="BP546" t="s" s="0">
        <v>9850</v>
      </c>
      <c r="BQ546" t="s" s="0">
        <v>12785</v>
      </c>
      <c r="BR546" t="s" s="0">
        <v>12786</v>
      </c>
      <c r="BS546" t="s" s="0">
        <v>12787</v>
      </c>
      <c r="BT546" t="s" s="1087">
        <f>HYPERLINK("https://www.webofscience.com/wos/woscc/full-record/WOS:001670537300001","View Record in Web of Science")</f>
        <v>120</v>
      </c>
      <c r="BU546" t="s" s="0">
        <v>121</v>
      </c>
      <c r="BV546" t="s" s="0">
        <v>82</v>
      </c>
      <c r="BW546" t="s" s="0">
        <v>82</v>
      </c>
      <c r="BX546" t="s" s="0">
        <v>122</v>
      </c>
    </row>
    <row r="547">
      <c r="A547" t="s" s="0">
        <v>78</v>
      </c>
      <c r="B547" t="s" s="0">
        <v>78</v>
      </c>
      <c r="C547" t="s" s="0">
        <v>77</v>
      </c>
      <c r="D547" t="s" s="0">
        <v>78</v>
      </c>
      <c r="E547" t="s" s="0">
        <v>12788</v>
      </c>
      <c r="F547" t="s" s="0">
        <v>12789</v>
      </c>
      <c r="G547" t="s" s="0">
        <v>12790</v>
      </c>
      <c r="H547" t="s" s="0">
        <v>82</v>
      </c>
      <c r="I547" t="s" s="0">
        <v>83</v>
      </c>
      <c r="J547" t="s" s="0">
        <v>12791</v>
      </c>
      <c r="K547" t="s" s="0">
        <v>12792</v>
      </c>
      <c r="L547" t="s" s="0">
        <v>12793</v>
      </c>
      <c r="M547" t="s" s="0">
        <v>6610</v>
      </c>
      <c r="N547" t="s" s="0">
        <v>12794</v>
      </c>
      <c r="O547" t="s" s="0">
        <v>12795</v>
      </c>
      <c r="P547" t="s" s="0">
        <v>12796</v>
      </c>
      <c r="Q547" t="s" s="0">
        <v>91</v>
      </c>
      <c r="R547" t="s" s="0">
        <v>82</v>
      </c>
      <c r="S547" t="s" s="0">
        <v>82</v>
      </c>
      <c r="T547" t="s" s="0">
        <v>82</v>
      </c>
      <c r="U547" t="s" s="0">
        <v>82</v>
      </c>
      <c r="V547" t="s" s="0">
        <v>12797</v>
      </c>
      <c r="W547" t="s" s="0">
        <v>12798</v>
      </c>
      <c r="X547" t="s" s="0">
        <v>82</v>
      </c>
      <c r="Y547" t="s" s="0">
        <v>82</v>
      </c>
      <c r="Z547" t="s" s="0">
        <v>94</v>
      </c>
      <c r="AA547" t="s" s="0">
        <v>95</v>
      </c>
      <c r="AB547" t="s" s="0">
        <v>82</v>
      </c>
      <c r="AC547" t="s" s="0">
        <v>82</v>
      </c>
      <c r="AD547" t="s" s="0">
        <v>82</v>
      </c>
      <c r="AE547" t="s" s="0">
        <v>82</v>
      </c>
      <c r="AF547" t="s" s="0">
        <v>82</v>
      </c>
      <c r="AG547" t="s" s="0">
        <v>12799</v>
      </c>
      <c r="AH547" t="s" s="0">
        <v>12800</v>
      </c>
      <c r="AI547" t="s" s="0">
        <v>12801</v>
      </c>
      <c r="AJ547" t="s" s="0">
        <v>82</v>
      </c>
      <c r="AK547" t="s" s="0">
        <v>82</v>
      </c>
      <c r="AL547" t="s" s="0">
        <v>829</v>
      </c>
      <c r="AM547" t="s" s="0">
        <v>447</v>
      </c>
      <c r="AN547" t="s" s="0">
        <v>447</v>
      </c>
      <c r="AO547" t="s" s="0">
        <v>78</v>
      </c>
      <c r="AP547" t="s" s="0">
        <v>447</v>
      </c>
      <c r="AQ547" t="s" s="0">
        <v>277</v>
      </c>
      <c r="AR547" t="s" s="0">
        <v>278</v>
      </c>
      <c r="AS547" t="s" s="0">
        <v>279</v>
      </c>
      <c r="AT547" t="s" s="0">
        <v>12802</v>
      </c>
      <c r="AU547" t="s" s="0">
        <v>12803</v>
      </c>
      <c r="AV547" t="s" s="0">
        <v>82</v>
      </c>
      <c r="AW547" t="s" s="0">
        <v>12804</v>
      </c>
      <c r="AX547" t="s" s="0">
        <v>12805</v>
      </c>
      <c r="AY547" t="s" s="0">
        <v>12806</v>
      </c>
      <c r="AZ547" t="s" s="0">
        <v>181</v>
      </c>
      <c r="BA547" t="s" s="0">
        <v>11164</v>
      </c>
      <c r="BB547" t="s" s="0">
        <v>82</v>
      </c>
      <c r="BC547" t="s" s="0">
        <v>82</v>
      </c>
      <c r="BD547" t="s" s="0">
        <v>77</v>
      </c>
      <c r="BE547" t="s" s="0">
        <v>82</v>
      </c>
      <c r="BF547" t="s" s="0">
        <v>82</v>
      </c>
      <c r="BG547" t="s" s="0">
        <v>82</v>
      </c>
      <c r="BH547" t="s" s="0">
        <v>82</v>
      </c>
      <c r="BI547" t="s" s="0">
        <v>12807</v>
      </c>
      <c r="BJ547" t="s" s="0">
        <v>12808</v>
      </c>
      <c r="BK547" t="s" s="1088">
        <f>HYPERLINK("http://dx.doi.org/10.1016/j.intimp.2025.115831","http://dx.doi.org/10.1016/j.intimp.2025.115831")</f>
        <v>12809</v>
      </c>
      <c r="BL547" t="s" s="0">
        <v>82</v>
      </c>
      <c r="BM547" t="s" s="0">
        <v>1425</v>
      </c>
      <c r="BN547" t="s" s="0">
        <v>239</v>
      </c>
      <c r="BO547" t="s" s="0">
        <v>12810</v>
      </c>
      <c r="BP547" t="s" s="0">
        <v>12810</v>
      </c>
      <c r="BQ547" t="s" s="0">
        <v>12811</v>
      </c>
      <c r="BR547" t="s" s="0">
        <v>12812</v>
      </c>
      <c r="BS547" t="s" s="0">
        <v>12813</v>
      </c>
      <c r="BT547" t="s" s="1089">
        <f>HYPERLINK("https://www.webofscience.com/wos/woscc/full-record/WOS:001619143300001","View Record in Web of Science")</f>
        <v>120</v>
      </c>
      <c r="BU547" t="s" s="0">
        <v>159</v>
      </c>
      <c r="BV547" t="s" s="0">
        <v>82</v>
      </c>
      <c r="BW547" t="s" s="0">
        <v>82</v>
      </c>
      <c r="BX547" t="s" s="0">
        <v>122</v>
      </c>
    </row>
    <row r="548">
      <c r="A548" t="s" s="0">
        <v>78</v>
      </c>
      <c r="B548" t="s" s="0">
        <v>78</v>
      </c>
      <c r="C548" t="s" s="0">
        <v>78</v>
      </c>
      <c r="D548" t="s" s="0">
        <v>78</v>
      </c>
      <c r="E548" t="s" s="0">
        <v>12814</v>
      </c>
      <c r="F548" t="s" s="0">
        <v>12815</v>
      </c>
      <c r="G548" t="s" s="0">
        <v>12816</v>
      </c>
      <c r="H548" t="s" s="0">
        <v>82</v>
      </c>
      <c r="I548" t="s" s="0">
        <v>297</v>
      </c>
      <c r="J548" t="s" s="0">
        <v>12817</v>
      </c>
      <c r="K548" t="s" s="0">
        <v>12818</v>
      </c>
      <c r="L548" t="s" s="0">
        <v>12819</v>
      </c>
      <c r="M548" t="s" s="0">
        <v>12820</v>
      </c>
      <c r="N548" t="s" s="0">
        <v>12821</v>
      </c>
      <c r="O548" t="s" s="0">
        <v>12822</v>
      </c>
      <c r="P548" t="s" s="0">
        <v>12823</v>
      </c>
      <c r="Q548" t="s" s="0">
        <v>91</v>
      </c>
      <c r="R548" t="s" s="0">
        <v>82</v>
      </c>
      <c r="S548" t="s" s="0">
        <v>82</v>
      </c>
      <c r="T548" t="s" s="0">
        <v>82</v>
      </c>
      <c r="U548" t="s" s="0">
        <v>82</v>
      </c>
      <c r="V548" t="s" s="0">
        <v>12824</v>
      </c>
      <c r="W548" t="s" s="0">
        <v>12825</v>
      </c>
      <c r="X548" t="s" s="0">
        <v>82</v>
      </c>
      <c r="Y548" t="s" s="0">
        <v>82</v>
      </c>
      <c r="Z548" t="s" s="0">
        <v>94</v>
      </c>
      <c r="AA548" t="s" s="0">
        <v>95</v>
      </c>
      <c r="AB548" t="s" s="0">
        <v>82</v>
      </c>
      <c r="AC548" t="s" s="0">
        <v>82</v>
      </c>
      <c r="AD548" t="s" s="0">
        <v>82</v>
      </c>
      <c r="AE548" t="s" s="0">
        <v>82</v>
      </c>
      <c r="AF548" t="s" s="0">
        <v>82</v>
      </c>
      <c r="AG548" t="s" s="0">
        <v>82</v>
      </c>
      <c r="AH548" t="s" s="0">
        <v>12826</v>
      </c>
      <c r="AI548" t="s" s="0">
        <v>12827</v>
      </c>
      <c r="AJ548" t="s" s="0">
        <v>82</v>
      </c>
      <c r="AK548" t="s" s="0">
        <v>82</v>
      </c>
      <c r="AL548" t="s" s="0">
        <v>399</v>
      </c>
      <c r="AM548" t="s" s="0">
        <v>78</v>
      </c>
      <c r="AN548" t="s" s="0">
        <v>78</v>
      </c>
      <c r="AO548" t="s" s="0">
        <v>78</v>
      </c>
      <c r="AP548" t="s" s="0">
        <v>78</v>
      </c>
      <c r="AQ548" t="s" s="0">
        <v>12828</v>
      </c>
      <c r="AR548" t="s" s="0">
        <v>12829</v>
      </c>
      <c r="AS548" t="s" s="0">
        <v>12830</v>
      </c>
      <c r="AT548" t="s" s="0">
        <v>82</v>
      </c>
      <c r="AU548" t="s" s="0">
        <v>12831</v>
      </c>
      <c r="AV548" t="s" s="0">
        <v>82</v>
      </c>
      <c r="AW548" t="s" s="0">
        <v>12832</v>
      </c>
      <c r="AX548" t="s" s="0">
        <v>12833</v>
      </c>
      <c r="AY548" t="s" s="0">
        <v>1342</v>
      </c>
      <c r="AZ548" t="s" s="0">
        <v>181</v>
      </c>
      <c r="BA548" t="s" s="0">
        <v>137</v>
      </c>
      <c r="BB548" t="s" s="0">
        <v>136</v>
      </c>
      <c r="BC548" t="s" s="0">
        <v>82</v>
      </c>
      <c r="BD548" t="s" s="0">
        <v>82</v>
      </c>
      <c r="BE548" t="s" s="0">
        <v>82</v>
      </c>
      <c r="BF548" t="s" s="0">
        <v>82</v>
      </c>
      <c r="BG548" t="s" s="0">
        <v>82</v>
      </c>
      <c r="BH548" t="s" s="0">
        <v>82</v>
      </c>
      <c r="BI548" t="s" s="0">
        <v>12834</v>
      </c>
      <c r="BJ548" t="s" s="0">
        <v>12835</v>
      </c>
      <c r="BK548" t="s" s="1090">
        <f>HYPERLINK("http://dx.doi.org/10.1016/j.adro.2026.102036","http://dx.doi.org/10.1016/j.adro.2026.102036")</f>
        <v>12836</v>
      </c>
      <c r="BL548" t="s" s="0">
        <v>82</v>
      </c>
      <c r="BM548" t="s" s="0">
        <v>184</v>
      </c>
      <c r="BN548" t="s" s="0">
        <v>323</v>
      </c>
      <c r="BO548" t="s" s="0">
        <v>2164</v>
      </c>
      <c r="BP548" t="s" s="0">
        <v>2164</v>
      </c>
      <c r="BQ548" t="s" s="0">
        <v>12837</v>
      </c>
      <c r="BR548" t="s" s="0">
        <v>12838</v>
      </c>
      <c r="BS548" t="s" s="0">
        <v>12839</v>
      </c>
      <c r="BT548" t="s" s="1091">
        <f>HYPERLINK("https://www.webofscience.com/wos/woscc/full-record/WOS:001809238600001","View Record in Web of Science")</f>
        <v>120</v>
      </c>
      <c r="BU548" t="s" s="0">
        <v>121</v>
      </c>
      <c r="BV548" t="s" s="0">
        <v>82</v>
      </c>
      <c r="BW548" t="s" s="0">
        <v>82</v>
      </c>
      <c r="BX548" t="s" s="0">
        <v>122</v>
      </c>
    </row>
    <row r="549">
      <c r="A549" t="s" s="0">
        <v>78</v>
      </c>
      <c r="B549" t="s" s="0">
        <v>78</v>
      </c>
      <c r="C549" t="s" s="0">
        <v>101</v>
      </c>
      <c r="D549" t="s" s="0">
        <v>78</v>
      </c>
      <c r="E549" t="s" s="0">
        <v>12840</v>
      </c>
      <c r="F549" t="s" s="0">
        <v>12841</v>
      </c>
      <c r="G549" t="s" s="0">
        <v>12842</v>
      </c>
      <c r="H549" t="s" s="0">
        <v>82</v>
      </c>
      <c r="I549" t="s" s="0">
        <v>83</v>
      </c>
      <c r="J549" t="s" s="0">
        <v>12843</v>
      </c>
      <c r="K549" t="s" s="0">
        <v>12844</v>
      </c>
      <c r="L549" t="s" s="0">
        <v>82</v>
      </c>
      <c r="M549" t="s" s="0">
        <v>82</v>
      </c>
      <c r="N549" t="s" s="0">
        <v>82</v>
      </c>
      <c r="O549" t="s" s="0">
        <v>12845</v>
      </c>
      <c r="P549" t="s" s="0">
        <v>12846</v>
      </c>
      <c r="Q549" t="s" s="0">
        <v>91</v>
      </c>
      <c r="R549" t="s" s="0">
        <v>82</v>
      </c>
      <c r="S549" t="s" s="0">
        <v>82</v>
      </c>
      <c r="T549" t="s" s="0">
        <v>82</v>
      </c>
      <c r="U549" t="s" s="0">
        <v>82</v>
      </c>
      <c r="V549" t="s" s="0">
        <v>12847</v>
      </c>
      <c r="W549" t="s" s="0">
        <v>12848</v>
      </c>
      <c r="X549" t="s" s="0">
        <v>82</v>
      </c>
      <c r="Y549" t="s" s="0">
        <v>82</v>
      </c>
      <c r="Z549" t="s" s="0">
        <v>94</v>
      </c>
      <c r="AA549" t="s" s="0">
        <v>95</v>
      </c>
      <c r="AB549" t="s" s="0">
        <v>82</v>
      </c>
      <c r="AC549" t="s" s="0">
        <v>82</v>
      </c>
      <c r="AD549" t="s" s="0">
        <v>82</v>
      </c>
      <c r="AE549" t="s" s="0">
        <v>82</v>
      </c>
      <c r="AF549" t="s" s="0">
        <v>82</v>
      </c>
      <c r="AG549" t="s" s="0">
        <v>12849</v>
      </c>
      <c r="AH549" t="s" s="0">
        <v>12850</v>
      </c>
      <c r="AI549" t="s" s="0">
        <v>12851</v>
      </c>
      <c r="AJ549" t="s" s="0">
        <v>12852</v>
      </c>
      <c r="AK549" t="s" s="0">
        <v>82</v>
      </c>
      <c r="AL549" t="s" s="0">
        <v>273</v>
      </c>
      <c r="AM549" t="s" s="0">
        <v>138</v>
      </c>
      <c r="AN549" t="s" s="0">
        <v>138</v>
      </c>
      <c r="AO549" t="s" s="0">
        <v>447</v>
      </c>
      <c r="AP549" t="s" s="0">
        <v>221</v>
      </c>
      <c r="AQ549" t="s" s="0">
        <v>174</v>
      </c>
      <c r="AR549" t="s" s="0">
        <v>175</v>
      </c>
      <c r="AS549" t="s" s="0">
        <v>176</v>
      </c>
      <c r="AT549" t="s" s="0">
        <v>12853</v>
      </c>
      <c r="AU549" t="s" s="0">
        <v>12854</v>
      </c>
      <c r="AV549" t="s" s="0">
        <v>82</v>
      </c>
      <c r="AW549" t="s" s="0">
        <v>12855</v>
      </c>
      <c r="AX549" t="s" s="0">
        <v>12856</v>
      </c>
      <c r="AY549" t="s" s="0">
        <v>497</v>
      </c>
      <c r="AZ549" t="s" s="0">
        <v>147</v>
      </c>
      <c r="BA549" t="s" s="0">
        <v>5556</v>
      </c>
      <c r="BB549" t="s" s="0">
        <v>221</v>
      </c>
      <c r="BC549" t="s" s="0">
        <v>2057</v>
      </c>
      <c r="BD549" t="s" s="0">
        <v>82</v>
      </c>
      <c r="BE549" t="s" s="0">
        <v>82</v>
      </c>
      <c r="BF549" t="s" s="0">
        <v>82</v>
      </c>
      <c r="BG549" t="s" s="0">
        <v>12857</v>
      </c>
      <c r="BH549" t="s" s="0">
        <v>12858</v>
      </c>
      <c r="BI549" t="s" s="0">
        <v>82</v>
      </c>
      <c r="BJ549" t="s" s="0">
        <v>12859</v>
      </c>
      <c r="BK549" t="s" s="1092">
        <f>HYPERLINK("http://dx.doi.org/10.1002/cyto.b.22229","http://dx.doi.org/10.1002/cyto.b.22229")</f>
        <v>12860</v>
      </c>
      <c r="BL549" t="s" s="0">
        <v>82</v>
      </c>
      <c r="BM549" t="s" s="0">
        <v>3527</v>
      </c>
      <c r="BN549" t="s" s="0">
        <v>149</v>
      </c>
      <c r="BO549" t="s" s="0">
        <v>12861</v>
      </c>
      <c r="BP549" t="s" s="0">
        <v>12861</v>
      </c>
      <c r="BQ549" t="s" s="0">
        <v>12862</v>
      </c>
      <c r="BR549" t="s" s="0">
        <v>12863</v>
      </c>
      <c r="BS549" t="s" s="0">
        <v>12864</v>
      </c>
      <c r="BT549" t="s" s="1093">
        <f>HYPERLINK("https://www.webofscience.com/wos/woscc/full-record/WOS:001434384700001","View Record in Web of Science")</f>
        <v>120</v>
      </c>
      <c r="BU549" t="s" s="0">
        <v>159</v>
      </c>
      <c r="BV549" t="s" s="0">
        <v>82</v>
      </c>
      <c r="BW549" t="s" s="0">
        <v>82</v>
      </c>
      <c r="BX549" t="s" s="0">
        <v>122</v>
      </c>
    </row>
    <row r="550">
      <c r="A550" t="s" s="0">
        <v>78</v>
      </c>
      <c r="B550" t="s" s="0">
        <v>78</v>
      </c>
      <c r="C550" t="s" s="0">
        <v>78</v>
      </c>
      <c r="D550" t="s" s="0">
        <v>78</v>
      </c>
      <c r="E550" t="s" s="0">
        <v>12865</v>
      </c>
      <c r="F550" t="s" s="0">
        <v>12866</v>
      </c>
      <c r="G550" t="s" s="0">
        <v>12867</v>
      </c>
      <c r="H550" t="s" s="0">
        <v>82</v>
      </c>
      <c r="I550" t="s" s="0">
        <v>83</v>
      </c>
      <c r="J550" t="s" s="0">
        <v>12868</v>
      </c>
      <c r="K550" t="s" s="0">
        <v>12869</v>
      </c>
      <c r="L550" t="s" s="0">
        <v>12870</v>
      </c>
      <c r="M550" t="s" s="0">
        <v>12871</v>
      </c>
      <c r="N550" t="s" s="0">
        <v>12872</v>
      </c>
      <c r="O550" t="s" s="0">
        <v>12873</v>
      </c>
      <c r="P550" t="s" s="0">
        <v>12874</v>
      </c>
      <c r="Q550" t="s" s="0">
        <v>91</v>
      </c>
      <c r="R550" t="s" s="0">
        <v>82</v>
      </c>
      <c r="S550" t="s" s="0">
        <v>82</v>
      </c>
      <c r="T550" t="s" s="0">
        <v>82</v>
      </c>
      <c r="U550" t="s" s="0">
        <v>82</v>
      </c>
      <c r="V550" t="s" s="0">
        <v>12875</v>
      </c>
      <c r="W550" t="s" s="0">
        <v>10002</v>
      </c>
      <c r="X550" t="s" s="0">
        <v>82</v>
      </c>
      <c r="Y550" t="s" s="0">
        <v>82</v>
      </c>
      <c r="Z550" t="s" s="0">
        <v>94</v>
      </c>
      <c r="AA550" t="s" s="0">
        <v>95</v>
      </c>
      <c r="AB550" t="s" s="0">
        <v>82</v>
      </c>
      <c r="AC550" t="s" s="0">
        <v>82</v>
      </c>
      <c r="AD550" t="s" s="0">
        <v>82</v>
      </c>
      <c r="AE550" t="s" s="0">
        <v>82</v>
      </c>
      <c r="AF550" t="s" s="0">
        <v>82</v>
      </c>
      <c r="AG550" t="s" s="0">
        <v>12876</v>
      </c>
      <c r="AH550" t="s" s="0">
        <v>12877</v>
      </c>
      <c r="AI550" t="s" s="0">
        <v>12878</v>
      </c>
      <c r="AJ550" t="s" s="0">
        <v>82</v>
      </c>
      <c r="AK550" t="s" s="0">
        <v>82</v>
      </c>
      <c r="AL550" t="s" s="0">
        <v>1658</v>
      </c>
      <c r="AM550" t="s" s="0">
        <v>221</v>
      </c>
      <c r="AN550" t="s" s="0">
        <v>221</v>
      </c>
      <c r="AO550" t="s" s="0">
        <v>447</v>
      </c>
      <c r="AP550" t="s" s="0">
        <v>138</v>
      </c>
      <c r="AQ550" t="s" s="0">
        <v>103</v>
      </c>
      <c r="AR550" t="s" s="0">
        <v>104</v>
      </c>
      <c r="AS550" t="s" s="0">
        <v>105</v>
      </c>
      <c r="AT550" t="s" s="0">
        <v>82</v>
      </c>
      <c r="AU550" t="s" s="0">
        <v>10007</v>
      </c>
      <c r="AV550" t="s" s="0">
        <v>82</v>
      </c>
      <c r="AW550" t="s" s="0">
        <v>10008</v>
      </c>
      <c r="AX550" t="s" s="0">
        <v>10009</v>
      </c>
      <c r="AY550" t="s" s="0">
        <v>12879</v>
      </c>
      <c r="AZ550" t="s" s="0">
        <v>147</v>
      </c>
      <c r="BA550" t="s" s="0">
        <v>685</v>
      </c>
      <c r="BB550" t="s" s="0">
        <v>77</v>
      </c>
      <c r="BC550" t="s" s="0">
        <v>82</v>
      </c>
      <c r="BD550" t="s" s="0">
        <v>82</v>
      </c>
      <c r="BE550" t="s" s="0">
        <v>82</v>
      </c>
      <c r="BF550" t="s" s="0">
        <v>82</v>
      </c>
      <c r="BG550" t="s" s="0">
        <v>82</v>
      </c>
      <c r="BH550" t="s" s="0">
        <v>82</v>
      </c>
      <c r="BI550" t="s" s="0">
        <v>12880</v>
      </c>
      <c r="BJ550" t="s" s="0">
        <v>12881</v>
      </c>
      <c r="BK550" t="s" s="1094">
        <f>HYPERLINK("http://dx.doi.org/10.1186/s12967-025-06995-1","http://dx.doi.org/10.1186/s12967-025-06995-1")</f>
        <v>12882</v>
      </c>
      <c r="BL550" t="s" s="0">
        <v>82</v>
      </c>
      <c r="BM550" t="s" s="0">
        <v>82</v>
      </c>
      <c r="BN550" t="s" s="0">
        <v>239</v>
      </c>
      <c r="BO550" t="s" s="0">
        <v>2464</v>
      </c>
      <c r="BP550" t="s" s="0">
        <v>2465</v>
      </c>
      <c r="BQ550" t="s" s="0">
        <v>12883</v>
      </c>
      <c r="BR550" t="s" s="0">
        <v>12884</v>
      </c>
      <c r="BS550" t="s" s="0">
        <v>12885</v>
      </c>
      <c r="BT550" t="s" s="1095">
        <f>HYPERLINK("https://www.webofscience.com/wos/woscc/full-record/WOS:001562479200013","View Record in Web of Science")</f>
        <v>120</v>
      </c>
      <c r="BU550" t="s" s="0">
        <v>121</v>
      </c>
      <c r="BV550" t="s" s="0">
        <v>82</v>
      </c>
      <c r="BW550" t="s" s="0">
        <v>82</v>
      </c>
      <c r="BX550" t="s" s="0">
        <v>122</v>
      </c>
    </row>
    <row r="551">
      <c r="A551" t="s" s="0">
        <v>78</v>
      </c>
      <c r="B551" t="s" s="0">
        <v>78</v>
      </c>
      <c r="C551" t="s" s="0">
        <v>78</v>
      </c>
      <c r="D551" t="s" s="0">
        <v>78</v>
      </c>
      <c r="E551" t="s" s="0">
        <v>12886</v>
      </c>
      <c r="F551" t="s" s="0">
        <v>12887</v>
      </c>
      <c r="G551" t="s" s="0">
        <v>12888</v>
      </c>
      <c r="H551" t="s" s="0">
        <v>82</v>
      </c>
      <c r="I551" t="s" s="0">
        <v>83</v>
      </c>
      <c r="J551" t="s" s="0">
        <v>12889</v>
      </c>
      <c r="K551" t="s" s="0">
        <v>12890</v>
      </c>
      <c r="L551" t="s" s="0">
        <v>82</v>
      </c>
      <c r="M551" t="s" s="0">
        <v>82</v>
      </c>
      <c r="N551" t="s" s="0">
        <v>82</v>
      </c>
      <c r="O551" t="s" s="0">
        <v>12891</v>
      </c>
      <c r="P551" t="s" s="0">
        <v>12892</v>
      </c>
      <c r="Q551" t="s" s="0">
        <v>91</v>
      </c>
      <c r="R551" t="s" s="0">
        <v>82</v>
      </c>
      <c r="S551" t="s" s="0">
        <v>82</v>
      </c>
      <c r="T551" t="s" s="0">
        <v>82</v>
      </c>
      <c r="U551" t="s" s="0">
        <v>82</v>
      </c>
      <c r="V551" t="s" s="0">
        <v>12893</v>
      </c>
      <c r="W551" t="s" s="0">
        <v>6291</v>
      </c>
      <c r="X551" t="s" s="0">
        <v>82</v>
      </c>
      <c r="Y551" t="s" s="0">
        <v>82</v>
      </c>
      <c r="Z551" t="s" s="0">
        <v>94</v>
      </c>
      <c r="AA551" t="s" s="0">
        <v>95</v>
      </c>
      <c r="AB551" t="s" s="0">
        <v>82</v>
      </c>
      <c r="AC551" t="s" s="0">
        <v>82</v>
      </c>
      <c r="AD551" t="s" s="0">
        <v>82</v>
      </c>
      <c r="AE551" t="s" s="0">
        <v>82</v>
      </c>
      <c r="AF551" t="s" s="0">
        <v>82</v>
      </c>
      <c r="AG551" t="s" s="0">
        <v>12894</v>
      </c>
      <c r="AH551" t="s" s="0">
        <v>12895</v>
      </c>
      <c r="AI551" t="s" s="0">
        <v>12896</v>
      </c>
      <c r="AJ551" t="s" s="0">
        <v>82</v>
      </c>
      <c r="AK551" t="s" s="0">
        <v>82</v>
      </c>
      <c r="AL551" t="s" s="0">
        <v>374</v>
      </c>
      <c r="AM551" t="s" s="0">
        <v>78</v>
      </c>
      <c r="AN551" t="s" s="0">
        <v>78</v>
      </c>
      <c r="AO551" t="s" s="0">
        <v>78</v>
      </c>
      <c r="AP551" t="s" s="0">
        <v>78</v>
      </c>
      <c r="AQ551" t="s" s="0">
        <v>832</v>
      </c>
      <c r="AR551" t="s" s="0">
        <v>833</v>
      </c>
      <c r="AS551" t="s" s="0">
        <v>834</v>
      </c>
      <c r="AT551" t="s" s="0">
        <v>6294</v>
      </c>
      <c r="AU551" t="s" s="0">
        <v>6295</v>
      </c>
      <c r="AV551" t="s" s="0">
        <v>82</v>
      </c>
      <c r="AW551" t="s" s="0">
        <v>6291</v>
      </c>
      <c r="AX551" t="s" s="0">
        <v>6296</v>
      </c>
      <c r="AY551" t="s" s="0">
        <v>4738</v>
      </c>
      <c r="AZ551" t="s" s="0">
        <v>181</v>
      </c>
      <c r="BA551" t="s" s="0">
        <v>2371</v>
      </c>
      <c r="BB551" t="s" s="0">
        <v>1320</v>
      </c>
      <c r="BC551" t="s" s="0">
        <v>82</v>
      </c>
      <c r="BD551" t="s" s="0">
        <v>82</v>
      </c>
      <c r="BE551" t="s" s="0">
        <v>82</v>
      </c>
      <c r="BF551" t="s" s="0">
        <v>82</v>
      </c>
      <c r="BG551" t="s" s="0">
        <v>82</v>
      </c>
      <c r="BH551" t="s" s="0">
        <v>82</v>
      </c>
      <c r="BI551" t="s" s="0">
        <v>12897</v>
      </c>
      <c r="BJ551" t="s" s="0">
        <v>12898</v>
      </c>
      <c r="BK551" t="s" s="1096">
        <f>HYPERLINK("http://dx.doi.org/10.1097/MD.0000000000048408","http://dx.doi.org/10.1097/MD.0000000000048408")</f>
        <v>12899</v>
      </c>
      <c r="BL551" t="s" s="0">
        <v>82</v>
      </c>
      <c r="BM551" t="s" s="0">
        <v>82</v>
      </c>
      <c r="BN551" t="s" s="0">
        <v>137</v>
      </c>
      <c r="BO551" t="s" s="0">
        <v>354</v>
      </c>
      <c r="BP551" t="s" s="0">
        <v>355</v>
      </c>
      <c r="BQ551" t="s" s="0">
        <v>12900</v>
      </c>
      <c r="BR551" t="s" s="0">
        <v>12901</v>
      </c>
      <c r="BS551" t="s" s="0">
        <v>12902</v>
      </c>
      <c r="BT551" t="s" s="1097">
        <f>HYPERLINK("https://www.webofscience.com/wos/woscc/full-record/WOS:001760826500036","View Record in Web of Science")</f>
        <v>120</v>
      </c>
      <c r="BU551" t="s" s="0">
        <v>121</v>
      </c>
      <c r="BV551" t="s" s="0">
        <v>82</v>
      </c>
      <c r="BW551" t="s" s="0">
        <v>82</v>
      </c>
      <c r="BX551" t="s" s="0">
        <v>122</v>
      </c>
    </row>
    <row r="552">
      <c r="A552" t="s" s="0">
        <v>78</v>
      </c>
      <c r="B552" t="s" s="0">
        <v>78</v>
      </c>
      <c r="C552" t="s" s="0">
        <v>78</v>
      </c>
      <c r="D552" t="s" s="0">
        <v>78</v>
      </c>
      <c r="E552" t="s" s="0">
        <v>12903</v>
      </c>
      <c r="F552" t="s" s="0">
        <v>12904</v>
      </c>
      <c r="G552" t="s" s="0">
        <v>12905</v>
      </c>
      <c r="H552" t="s" s="0">
        <v>82</v>
      </c>
      <c r="I552" t="s" s="0">
        <v>83</v>
      </c>
      <c r="J552" t="s" s="0">
        <v>12906</v>
      </c>
      <c r="K552" t="s" s="0">
        <v>12907</v>
      </c>
      <c r="L552" t="s" s="0">
        <v>12908</v>
      </c>
      <c r="M552" t="s" s="0">
        <v>12908</v>
      </c>
      <c r="N552" t="s" s="0">
        <v>12909</v>
      </c>
      <c r="O552" t="s" s="0">
        <v>12910</v>
      </c>
      <c r="P552" t="s" s="0">
        <v>12911</v>
      </c>
      <c r="Q552" t="s" s="0">
        <v>91</v>
      </c>
      <c r="R552" t="s" s="0">
        <v>82</v>
      </c>
      <c r="S552" t="s" s="0">
        <v>82</v>
      </c>
      <c r="T552" t="s" s="0">
        <v>82</v>
      </c>
      <c r="U552" t="s" s="0">
        <v>82</v>
      </c>
      <c r="V552" t="s" s="0">
        <v>12912</v>
      </c>
      <c r="W552" t="s" s="0">
        <v>7376</v>
      </c>
      <c r="X552" t="s" s="0">
        <v>82</v>
      </c>
      <c r="Y552" t="s" s="0">
        <v>82</v>
      </c>
      <c r="Z552" t="s" s="0">
        <v>94</v>
      </c>
      <c r="AA552" t="s" s="0">
        <v>95</v>
      </c>
      <c r="AB552" t="s" s="0">
        <v>82</v>
      </c>
      <c r="AC552" t="s" s="0">
        <v>82</v>
      </c>
      <c r="AD552" t="s" s="0">
        <v>82</v>
      </c>
      <c r="AE552" t="s" s="0">
        <v>82</v>
      </c>
      <c r="AF552" t="s" s="0">
        <v>82</v>
      </c>
      <c r="AG552" t="s" s="0">
        <v>12913</v>
      </c>
      <c r="AH552" t="s" s="0">
        <v>12914</v>
      </c>
      <c r="AI552" t="s" s="0">
        <v>12915</v>
      </c>
      <c r="AJ552" t="s" s="0">
        <v>12916</v>
      </c>
      <c r="AK552" t="s" s="0">
        <v>82</v>
      </c>
      <c r="AL552" t="s" s="0">
        <v>890</v>
      </c>
      <c r="AM552" t="s" s="0">
        <v>78</v>
      </c>
      <c r="AN552" t="s" s="0">
        <v>78</v>
      </c>
      <c r="AO552" t="s" s="0">
        <v>78</v>
      </c>
      <c r="AP552" t="s" s="0">
        <v>78</v>
      </c>
      <c r="AQ552" t="s" s="0">
        <v>103</v>
      </c>
      <c r="AR552" t="s" s="0">
        <v>104</v>
      </c>
      <c r="AS552" t="s" s="0">
        <v>105</v>
      </c>
      <c r="AT552" t="s" s="0">
        <v>82</v>
      </c>
      <c r="AU552" t="s" s="0">
        <v>7380</v>
      </c>
      <c r="AV552" t="s" s="0">
        <v>82</v>
      </c>
      <c r="AW552" t="s" s="0">
        <v>7376</v>
      </c>
      <c r="AX552" t="s" s="0">
        <v>7381</v>
      </c>
      <c r="AY552" t="s" s="0">
        <v>12917</v>
      </c>
      <c r="AZ552" t="s" s="0">
        <v>147</v>
      </c>
      <c r="BA552" t="s" s="0">
        <v>111</v>
      </c>
      <c r="BB552" t="s" s="0">
        <v>77</v>
      </c>
      <c r="BC552" t="s" s="0">
        <v>82</v>
      </c>
      <c r="BD552" t="s" s="0">
        <v>82</v>
      </c>
      <c r="BE552" t="s" s="0">
        <v>82</v>
      </c>
      <c r="BF552" t="s" s="0">
        <v>82</v>
      </c>
      <c r="BG552" t="s" s="0">
        <v>82</v>
      </c>
      <c r="BH552" t="s" s="0">
        <v>82</v>
      </c>
      <c r="BI552" t="s" s="0">
        <v>11713</v>
      </c>
      <c r="BJ552" t="s" s="0">
        <v>12918</v>
      </c>
      <c r="BK552" t="s" s="1098">
        <f>HYPERLINK("http://dx.doi.org/10.1186/s12885-025-15137-1","http://dx.doi.org/10.1186/s12885-025-15137-1")</f>
        <v>12919</v>
      </c>
      <c r="BL552" t="s" s="0">
        <v>82</v>
      </c>
      <c r="BM552" t="s" s="0">
        <v>82</v>
      </c>
      <c r="BN552" t="s" s="0">
        <v>136</v>
      </c>
      <c r="BO552" t="s" s="0">
        <v>4833</v>
      </c>
      <c r="BP552" t="s" s="0">
        <v>4833</v>
      </c>
      <c r="BQ552" t="s" s="0">
        <v>12920</v>
      </c>
      <c r="BR552" t="s" s="0">
        <v>12921</v>
      </c>
      <c r="BS552" t="s" s="0">
        <v>12922</v>
      </c>
      <c r="BT552" t="s" s="1099">
        <f>HYPERLINK("https://www.webofscience.com/wos/woscc/full-record/WOS:001606913300004","View Record in Web of Science")</f>
        <v>120</v>
      </c>
      <c r="BU552" t="s" s="0">
        <v>121</v>
      </c>
      <c r="BV552" t="s" s="0">
        <v>82</v>
      </c>
      <c r="BW552" t="s" s="0">
        <v>82</v>
      </c>
      <c r="BX552" t="s" s="0">
        <v>122</v>
      </c>
    </row>
    <row r="553">
      <c r="A553" t="s" s="0">
        <v>78</v>
      </c>
      <c r="B553" t="s" s="0">
        <v>78</v>
      </c>
      <c r="C553" t="s" s="0">
        <v>78</v>
      </c>
      <c r="D553" t="s" s="0">
        <v>78</v>
      </c>
      <c r="E553" t="s" s="0">
        <v>12923</v>
      </c>
      <c r="F553" t="s" s="0">
        <v>12924</v>
      </c>
      <c r="G553" t="s" s="0">
        <v>12925</v>
      </c>
      <c r="H553" t="s" s="0">
        <v>82</v>
      </c>
      <c r="I553" t="s" s="0">
        <v>83</v>
      </c>
      <c r="J553" t="s" s="0">
        <v>12926</v>
      </c>
      <c r="K553" t="s" s="0">
        <v>12927</v>
      </c>
      <c r="L553" t="s" s="0">
        <v>82</v>
      </c>
      <c r="M553" t="s" s="0">
        <v>82</v>
      </c>
      <c r="N553" t="s" s="0">
        <v>82</v>
      </c>
      <c r="O553" t="s" s="0">
        <v>12928</v>
      </c>
      <c r="P553" t="s" s="0">
        <v>12929</v>
      </c>
      <c r="Q553" t="s" s="0">
        <v>91</v>
      </c>
      <c r="R553" t="s" s="0">
        <v>82</v>
      </c>
      <c r="S553" t="s" s="0">
        <v>82</v>
      </c>
      <c r="T553" t="s" s="0">
        <v>82</v>
      </c>
      <c r="U553" t="s" s="0">
        <v>82</v>
      </c>
      <c r="V553" t="s" s="0">
        <v>12930</v>
      </c>
      <c r="W553" t="s" s="0">
        <v>12931</v>
      </c>
      <c r="X553" t="s" s="0">
        <v>82</v>
      </c>
      <c r="Y553" t="s" s="0">
        <v>82</v>
      </c>
      <c r="Z553" t="s" s="0">
        <v>94</v>
      </c>
      <c r="AA553" t="s" s="0">
        <v>95</v>
      </c>
      <c r="AB553" t="s" s="0">
        <v>82</v>
      </c>
      <c r="AC553" t="s" s="0">
        <v>82</v>
      </c>
      <c r="AD553" t="s" s="0">
        <v>82</v>
      </c>
      <c r="AE553" t="s" s="0">
        <v>82</v>
      </c>
      <c r="AF553" t="s" s="0">
        <v>82</v>
      </c>
      <c r="AG553" t="s" s="0">
        <v>12932</v>
      </c>
      <c r="AH553" t="s" s="0">
        <v>12933</v>
      </c>
      <c r="AI553" t="s" s="0">
        <v>12934</v>
      </c>
      <c r="AJ553" t="s" s="0">
        <v>12935</v>
      </c>
      <c r="AK553" t="s" s="0">
        <v>82</v>
      </c>
      <c r="AL553" t="s" s="0">
        <v>154</v>
      </c>
      <c r="AM553" t="s" s="0">
        <v>102</v>
      </c>
      <c r="AN553" t="s" s="0">
        <v>102</v>
      </c>
      <c r="AO553" t="s" s="0">
        <v>78</v>
      </c>
      <c r="AP553" t="s" s="0">
        <v>102</v>
      </c>
      <c r="AQ553" t="s" s="0">
        <v>4242</v>
      </c>
      <c r="AR553" t="s" s="0">
        <v>4243</v>
      </c>
      <c r="AS553" t="s" s="0">
        <v>4244</v>
      </c>
      <c r="AT553" t="s" s="0">
        <v>82</v>
      </c>
      <c r="AU553" t="s" s="0">
        <v>12936</v>
      </c>
      <c r="AV553" t="s" s="0">
        <v>82</v>
      </c>
      <c r="AW553" t="s" s="0">
        <v>12937</v>
      </c>
      <c r="AX553" t="s" s="0">
        <v>12938</v>
      </c>
      <c r="AY553" t="s" s="0">
        <v>1556</v>
      </c>
      <c r="AZ553" t="s" s="0">
        <v>147</v>
      </c>
      <c r="BA553" t="s" s="0">
        <v>115</v>
      </c>
      <c r="BB553" t="s" s="0">
        <v>221</v>
      </c>
      <c r="BC553" t="s" s="0">
        <v>82</v>
      </c>
      <c r="BD553" t="s" s="0">
        <v>82</v>
      </c>
      <c r="BE553" t="s" s="0">
        <v>82</v>
      </c>
      <c r="BF553" t="s" s="0">
        <v>82</v>
      </c>
      <c r="BG553" t="s" s="0">
        <v>82</v>
      </c>
      <c r="BH553" t="s" s="0">
        <v>82</v>
      </c>
      <c r="BI553" t="s" s="0">
        <v>12939</v>
      </c>
      <c r="BJ553" t="s" s="0">
        <v>12940</v>
      </c>
      <c r="BK553" t="s" s="1100">
        <f>HYPERLINK("http://dx.doi.org/10.1177/23259671251333607","http://dx.doi.org/10.1177/23259671251333607")</f>
        <v>12941</v>
      </c>
      <c r="BL553" t="s" s="0">
        <v>82</v>
      </c>
      <c r="BM553" t="s" s="0">
        <v>82</v>
      </c>
      <c r="BN553" t="s" s="0">
        <v>138</v>
      </c>
      <c r="BO553" t="s" s="0">
        <v>6159</v>
      </c>
      <c r="BP553" t="s" s="0">
        <v>6159</v>
      </c>
      <c r="BQ553" t="s" s="0">
        <v>12942</v>
      </c>
      <c r="BR553" t="s" s="0">
        <v>12943</v>
      </c>
      <c r="BS553" t="s" s="0">
        <v>12944</v>
      </c>
      <c r="BT553" t="s" s="1101">
        <f>HYPERLINK("https://www.webofscience.com/wos/woscc/full-record/WOS:001481366600001","View Record in Web of Science")</f>
        <v>120</v>
      </c>
      <c r="BU553" t="s" s="0">
        <v>121</v>
      </c>
      <c r="BV553" t="s" s="0">
        <v>82</v>
      </c>
      <c r="BW553" t="s" s="0">
        <v>82</v>
      </c>
      <c r="BX553" t="s" s="0">
        <v>122</v>
      </c>
    </row>
    <row r="554">
      <c r="A554" t="s" s="0">
        <v>78</v>
      </c>
      <c r="B554" t="s" s="0">
        <v>78</v>
      </c>
      <c r="C554" t="s" s="0">
        <v>77</v>
      </c>
      <c r="D554" t="s" s="0">
        <v>78</v>
      </c>
      <c r="E554" t="s" s="0">
        <v>12945</v>
      </c>
      <c r="F554" t="s" s="0">
        <v>12946</v>
      </c>
      <c r="G554" t="s" s="0">
        <v>12947</v>
      </c>
      <c r="H554" t="s" s="0">
        <v>82</v>
      </c>
      <c r="I554" t="s" s="0">
        <v>297</v>
      </c>
      <c r="J554" t="s" s="0">
        <v>12948</v>
      </c>
      <c r="K554" t="s" s="0">
        <v>12949</v>
      </c>
      <c r="L554" t="s" s="0">
        <v>12950</v>
      </c>
      <c r="M554" t="s" s="0">
        <v>12951</v>
      </c>
      <c r="N554" t="s" s="0">
        <v>12952</v>
      </c>
      <c r="O554" t="s" s="0">
        <v>12953</v>
      </c>
      <c r="P554" t="s" s="0">
        <v>12954</v>
      </c>
      <c r="Q554" t="s" s="0">
        <v>91</v>
      </c>
      <c r="R554" t="s" s="0">
        <v>82</v>
      </c>
      <c r="S554" t="s" s="0">
        <v>82</v>
      </c>
      <c r="T554" t="s" s="0">
        <v>82</v>
      </c>
      <c r="U554" t="s" s="0">
        <v>82</v>
      </c>
      <c r="V554" t="s" s="0">
        <v>12955</v>
      </c>
      <c r="W554" t="s" s="0">
        <v>2153</v>
      </c>
      <c r="X554" t="s" s="0">
        <v>82</v>
      </c>
      <c r="Y554" t="s" s="0">
        <v>82</v>
      </c>
      <c r="Z554" t="s" s="0">
        <v>94</v>
      </c>
      <c r="AA554" t="s" s="0">
        <v>95</v>
      </c>
      <c r="AB554" t="s" s="0">
        <v>82</v>
      </c>
      <c r="AC554" t="s" s="0">
        <v>82</v>
      </c>
      <c r="AD554" t="s" s="0">
        <v>82</v>
      </c>
      <c r="AE554" t="s" s="0">
        <v>82</v>
      </c>
      <c r="AF554" t="s" s="0">
        <v>82</v>
      </c>
      <c r="AG554" t="s" s="0">
        <v>12956</v>
      </c>
      <c r="AH554" t="s" s="0">
        <v>12957</v>
      </c>
      <c r="AI554" t="s" s="0">
        <v>12958</v>
      </c>
      <c r="AJ554" t="s" s="0">
        <v>12959</v>
      </c>
      <c r="AK554" t="s" s="0">
        <v>82</v>
      </c>
      <c r="AL554" t="s" s="0">
        <v>548</v>
      </c>
      <c r="AM554" t="s" s="0">
        <v>101</v>
      </c>
      <c r="AN554" t="s" s="0">
        <v>102</v>
      </c>
      <c r="AO554" t="s" s="0">
        <v>78</v>
      </c>
      <c r="AP554" t="s" s="0">
        <v>447</v>
      </c>
      <c r="AQ554" t="s" s="0">
        <v>277</v>
      </c>
      <c r="AR554" t="s" s="0">
        <v>278</v>
      </c>
      <c r="AS554" t="s" s="0">
        <v>279</v>
      </c>
      <c r="AT554" t="s" s="0">
        <v>82</v>
      </c>
      <c r="AU554" t="s" s="0">
        <v>2158</v>
      </c>
      <c r="AV554" t="s" s="0">
        <v>82</v>
      </c>
      <c r="AW554" t="s" s="0">
        <v>2159</v>
      </c>
      <c r="AX554" t="s" s="0">
        <v>2160</v>
      </c>
      <c r="AY554" t="s" s="0">
        <v>243</v>
      </c>
      <c r="AZ554" t="s" s="0">
        <v>110</v>
      </c>
      <c r="BA554" t="s" s="0">
        <v>273</v>
      </c>
      <c r="BB554" t="s" s="0">
        <v>82</v>
      </c>
      <c r="BC554" t="s" s="0">
        <v>82</v>
      </c>
      <c r="BD554" t="s" s="0">
        <v>82</v>
      </c>
      <c r="BE554" t="s" s="0">
        <v>82</v>
      </c>
      <c r="BF554" t="s" s="0">
        <v>82</v>
      </c>
      <c r="BG554" t="s" s="0">
        <v>82</v>
      </c>
      <c r="BH554" t="s" s="0">
        <v>82</v>
      </c>
      <c r="BI554" t="s" s="0">
        <v>12960</v>
      </c>
      <c r="BJ554" t="s" s="0">
        <v>12961</v>
      </c>
      <c r="BK554" t="s" s="1102">
        <f>HYPERLINK("http://dx.doi.org/10.1016/j.phro.2024.100668","http://dx.doi.org/10.1016/j.phro.2024.100668")</f>
        <v>12962</v>
      </c>
      <c r="BL554" t="s" s="0">
        <v>82</v>
      </c>
      <c r="BM554" t="s" s="0">
        <v>1457</v>
      </c>
      <c r="BN554" t="s" s="0">
        <v>138</v>
      </c>
      <c r="BO554" t="s" s="0">
        <v>2164</v>
      </c>
      <c r="BP554" t="s" s="0">
        <v>2164</v>
      </c>
      <c r="BQ554" t="s" s="0">
        <v>12963</v>
      </c>
      <c r="BR554" t="s" s="0">
        <v>12964</v>
      </c>
      <c r="BS554" t="s" s="0">
        <v>12965</v>
      </c>
      <c r="BT554" t="s" s="1103">
        <f>HYPERLINK("https://www.webofscience.com/wos/woscc/full-record/WOS:001354823200001","View Record in Web of Science")</f>
        <v>120</v>
      </c>
      <c r="BU554" t="s" s="0">
        <v>121</v>
      </c>
      <c r="BV554" t="s" s="0">
        <v>82</v>
      </c>
      <c r="BW554" t="s" s="0">
        <v>82</v>
      </c>
      <c r="BX554" t="s" s="0">
        <v>122</v>
      </c>
    </row>
    <row r="555">
      <c r="A555" t="s" s="0">
        <v>78</v>
      </c>
      <c r="B555" t="s" s="0">
        <v>78</v>
      </c>
      <c r="C555" t="s" s="0">
        <v>138</v>
      </c>
      <c r="D555" t="s" s="0">
        <v>78</v>
      </c>
      <c r="E555" t="s" s="0">
        <v>12966</v>
      </c>
      <c r="F555" t="s" s="0">
        <v>12967</v>
      </c>
      <c r="G555" t="s" s="0">
        <v>12968</v>
      </c>
      <c r="H555" t="s" s="0">
        <v>82</v>
      </c>
      <c r="I555" t="s" s="0">
        <v>83</v>
      </c>
      <c r="J555" t="s" s="0">
        <v>12969</v>
      </c>
      <c r="K555" t="s" s="0">
        <v>12970</v>
      </c>
      <c r="L555" t="s" s="0">
        <v>12971</v>
      </c>
      <c r="M555" t="s" s="0">
        <v>12972</v>
      </c>
      <c r="N555" t="s" s="0">
        <v>12973</v>
      </c>
      <c r="O555" t="s" s="0">
        <v>12974</v>
      </c>
      <c r="P555" t="s" s="0">
        <v>12975</v>
      </c>
      <c r="Q555" t="s" s="0">
        <v>91</v>
      </c>
      <c r="R555" t="s" s="0">
        <v>82</v>
      </c>
      <c r="S555" t="s" s="0">
        <v>82</v>
      </c>
      <c r="T555" t="s" s="0">
        <v>82</v>
      </c>
      <c r="U555" t="s" s="0">
        <v>82</v>
      </c>
      <c r="V555" t="s" s="0">
        <v>12976</v>
      </c>
      <c r="W555" t="s" s="0">
        <v>9109</v>
      </c>
      <c r="X555" t="s" s="0">
        <v>82</v>
      </c>
      <c r="Y555" t="s" s="0">
        <v>82</v>
      </c>
      <c r="Z555" t="s" s="0">
        <v>94</v>
      </c>
      <c r="AA555" t="s" s="0">
        <v>95</v>
      </c>
      <c r="AB555" t="s" s="0">
        <v>82</v>
      </c>
      <c r="AC555" t="s" s="0">
        <v>82</v>
      </c>
      <c r="AD555" t="s" s="0">
        <v>82</v>
      </c>
      <c r="AE555" t="s" s="0">
        <v>82</v>
      </c>
      <c r="AF555" t="s" s="0">
        <v>82</v>
      </c>
      <c r="AG555" t="s" s="0">
        <v>12977</v>
      </c>
      <c r="AH555" t="s" s="0">
        <v>12978</v>
      </c>
      <c r="AI555" t="s" s="0">
        <v>12979</v>
      </c>
      <c r="AJ555" t="s" s="0">
        <v>12980</v>
      </c>
      <c r="AK555" t="s" s="0">
        <v>82</v>
      </c>
      <c r="AL555" t="s" s="0">
        <v>1502</v>
      </c>
      <c r="AM555" t="s" s="0">
        <v>239</v>
      </c>
      <c r="AN555" t="s" s="0">
        <v>154</v>
      </c>
      <c r="AO555" t="s" s="0">
        <v>78</v>
      </c>
      <c r="AP555" t="s" s="0">
        <v>375</v>
      </c>
      <c r="AQ555" t="s" s="0">
        <v>832</v>
      </c>
      <c r="AR555" t="s" s="0">
        <v>833</v>
      </c>
      <c r="AS555" t="s" s="0">
        <v>834</v>
      </c>
      <c r="AT555" t="s" s="0">
        <v>9112</v>
      </c>
      <c r="AU555" t="s" s="0">
        <v>9113</v>
      </c>
      <c r="AV555" t="s" s="0">
        <v>82</v>
      </c>
      <c r="AW555" t="s" s="0">
        <v>9109</v>
      </c>
      <c r="AX555" t="s" s="0">
        <v>9109</v>
      </c>
      <c r="AY555" t="s" s="0">
        <v>12981</v>
      </c>
      <c r="AZ555" t="s" s="0">
        <v>210</v>
      </c>
      <c r="BA555" t="s" s="0">
        <v>3171</v>
      </c>
      <c r="BB555" t="s" s="0">
        <v>138</v>
      </c>
      <c r="BC555" t="s" s="0">
        <v>82</v>
      </c>
      <c r="BD555" t="s" s="0">
        <v>82</v>
      </c>
      <c r="BE555" t="s" s="0">
        <v>82</v>
      </c>
      <c r="BF555" t="s" s="0">
        <v>82</v>
      </c>
      <c r="BG555" t="s" s="0">
        <v>12982</v>
      </c>
      <c r="BH555" t="s" s="0">
        <v>12983</v>
      </c>
      <c r="BI555" t="s" s="0">
        <v>82</v>
      </c>
      <c r="BJ555" t="s" s="0">
        <v>12984</v>
      </c>
      <c r="BK555" t="s" s="1104">
        <f>HYPERLINK("http://dx.doi.org/10.1097/BRS.0000000000004572","http://dx.doi.org/10.1097/BRS.0000000000004572")</f>
        <v>12985</v>
      </c>
      <c r="BL555" t="s" s="0">
        <v>82</v>
      </c>
      <c r="BM555" t="s" s="0">
        <v>82</v>
      </c>
      <c r="BN555" t="s" s="0">
        <v>136</v>
      </c>
      <c r="BO555" t="s" s="0">
        <v>2062</v>
      </c>
      <c r="BP555" t="s" s="0">
        <v>2063</v>
      </c>
      <c r="BQ555" t="s" s="0">
        <v>12986</v>
      </c>
      <c r="BR555" t="s" s="0">
        <v>12987</v>
      </c>
      <c r="BS555" t="s" s="0">
        <v>12988</v>
      </c>
      <c r="BT555" t="s" s="1105">
        <f>HYPERLINK("https://www.webofscience.com/wos/woscc/full-record/WOS:000948748300008","View Record in Web of Science")</f>
        <v>120</v>
      </c>
      <c r="BU555" t="s" s="0">
        <v>2198</v>
      </c>
      <c r="BV555" t="s" s="0">
        <v>82</v>
      </c>
      <c r="BW555" t="s" s="0">
        <v>82</v>
      </c>
      <c r="BX555" t="s" s="0">
        <v>122</v>
      </c>
    </row>
    <row r="556">
      <c r="A556" t="s" s="0">
        <v>78</v>
      </c>
      <c r="B556" t="s" s="0">
        <v>78</v>
      </c>
      <c r="C556" t="s" s="0">
        <v>77</v>
      </c>
      <c r="D556" t="s" s="0">
        <v>78</v>
      </c>
      <c r="E556" t="s" s="0">
        <v>12989</v>
      </c>
      <c r="F556" t="s" s="0">
        <v>12990</v>
      </c>
      <c r="G556" t="s" s="0">
        <v>12991</v>
      </c>
      <c r="H556" t="s" s="0">
        <v>82</v>
      </c>
      <c r="I556" t="s" s="0">
        <v>297</v>
      </c>
      <c r="J556" t="s" s="0">
        <v>12992</v>
      </c>
      <c r="K556" t="s" s="0">
        <v>12993</v>
      </c>
      <c r="L556" t="s" s="0">
        <v>12994</v>
      </c>
      <c r="M556" t="s" s="0">
        <v>12994</v>
      </c>
      <c r="N556" t="s" s="0">
        <v>12995</v>
      </c>
      <c r="O556" t="s" s="0">
        <v>12996</v>
      </c>
      <c r="P556" t="s" s="0">
        <v>12997</v>
      </c>
      <c r="Q556" t="s" s="0">
        <v>91</v>
      </c>
      <c r="R556" t="s" s="0">
        <v>82</v>
      </c>
      <c r="S556" t="s" s="0">
        <v>82</v>
      </c>
      <c r="T556" t="s" s="0">
        <v>82</v>
      </c>
      <c r="U556" t="s" s="0">
        <v>82</v>
      </c>
      <c r="V556" t="s" s="0">
        <v>12998</v>
      </c>
      <c r="W556" t="s" s="0">
        <v>12999</v>
      </c>
      <c r="X556" t="s" s="0">
        <v>82</v>
      </c>
      <c r="Y556" t="s" s="0">
        <v>82</v>
      </c>
      <c r="Z556" t="s" s="0">
        <v>94</v>
      </c>
      <c r="AA556" t="s" s="0">
        <v>169</v>
      </c>
      <c r="AB556" t="s" s="0">
        <v>82</v>
      </c>
      <c r="AC556" t="s" s="0">
        <v>82</v>
      </c>
      <c r="AD556" t="s" s="0">
        <v>82</v>
      </c>
      <c r="AE556" t="s" s="0">
        <v>82</v>
      </c>
      <c r="AF556" t="s" s="0">
        <v>82</v>
      </c>
      <c r="AG556" t="s" s="0">
        <v>13000</v>
      </c>
      <c r="AH556" t="s" s="0">
        <v>13001</v>
      </c>
      <c r="AI556" t="s" s="0">
        <v>82</v>
      </c>
      <c r="AJ556" t="s" s="0">
        <v>13002</v>
      </c>
      <c r="AK556" t="s" s="0">
        <v>82</v>
      </c>
      <c r="AL556" t="s" s="0">
        <v>111</v>
      </c>
      <c r="AM556" t="s" s="0">
        <v>77</v>
      </c>
      <c r="AN556" t="s" s="0">
        <v>77</v>
      </c>
      <c r="AO556" t="s" s="0">
        <v>77</v>
      </c>
      <c r="AP556" t="s" s="0">
        <v>221</v>
      </c>
      <c r="AQ556" t="s" s="0">
        <v>2269</v>
      </c>
      <c r="AR556" t="s" s="0">
        <v>104</v>
      </c>
      <c r="AS556" t="s" s="0">
        <v>9306</v>
      </c>
      <c r="AT556" t="s" s="0">
        <v>13003</v>
      </c>
      <c r="AU556" t="s" s="0">
        <v>13004</v>
      </c>
      <c r="AV556" t="s" s="0">
        <v>82</v>
      </c>
      <c r="AW556" t="s" s="0">
        <v>13005</v>
      </c>
      <c r="AX556" t="s" s="0">
        <v>13006</v>
      </c>
      <c r="AY556" t="s" s="0">
        <v>82</v>
      </c>
      <c r="AZ556" t="s" s="0">
        <v>147</v>
      </c>
      <c r="BA556" t="s" s="0">
        <v>82</v>
      </c>
      <c r="BB556" t="s" s="0">
        <v>82</v>
      </c>
      <c r="BC556" t="s" s="0">
        <v>82</v>
      </c>
      <c r="BD556" t="s" s="0">
        <v>82</v>
      </c>
      <c r="BE556" t="s" s="0">
        <v>82</v>
      </c>
      <c r="BF556" t="s" s="0">
        <v>82</v>
      </c>
      <c r="BG556" t="s" s="0">
        <v>82</v>
      </c>
      <c r="BH556" t="s" s="0">
        <v>82</v>
      </c>
      <c r="BI556" t="s" s="0">
        <v>82</v>
      </c>
      <c r="BJ556" t="s" s="0">
        <v>13007</v>
      </c>
      <c r="BK556" t="s" s="1106">
        <f>HYPERLINK("http://dx.doi.org/10.1007/s41666-025-00188-7","http://dx.doi.org/10.1007/s41666-025-00188-7")</f>
        <v>13008</v>
      </c>
      <c r="BL556" t="s" s="0">
        <v>82</v>
      </c>
      <c r="BM556" t="s" s="0">
        <v>3527</v>
      </c>
      <c r="BN556" t="s" s="0">
        <v>374</v>
      </c>
      <c r="BO556" t="s" s="0">
        <v>4716</v>
      </c>
      <c r="BP556" t="s" s="0">
        <v>4717</v>
      </c>
      <c r="BQ556" t="s" s="0">
        <v>13009</v>
      </c>
      <c r="BR556" t="s" s="0">
        <v>82</v>
      </c>
      <c r="BS556" t="s" s="0">
        <v>13010</v>
      </c>
      <c r="BT556" t="s" s="1107">
        <f>HYPERLINK("https://www.webofscience.com/wos/woscc/full-record/WOS:001410563100001","View Record in Web of Science")</f>
        <v>120</v>
      </c>
      <c r="BU556" t="s" s="0">
        <v>82</v>
      </c>
      <c r="BV556" t="s" s="0">
        <v>82</v>
      </c>
      <c r="BW556" t="s" s="0">
        <v>82</v>
      </c>
      <c r="BX556" t="s" s="0">
        <v>122</v>
      </c>
    </row>
    <row r="557">
      <c r="A557" t="s" s="0">
        <v>77</v>
      </c>
      <c r="B557" t="s" s="0">
        <v>78</v>
      </c>
      <c r="C557" t="s" s="0">
        <v>102</v>
      </c>
      <c r="D557" t="s" s="0">
        <v>78</v>
      </c>
      <c r="E557" t="s" s="0">
        <v>13011</v>
      </c>
      <c r="F557" t="s" s="0">
        <v>13012</v>
      </c>
      <c r="G557" t="s" s="0">
        <v>13013</v>
      </c>
      <c r="H557" t="s" s="0">
        <v>82</v>
      </c>
      <c r="I557" t="s" s="0">
        <v>83</v>
      </c>
      <c r="J557" t="s" s="0">
        <v>13014</v>
      </c>
      <c r="K557" t="s" s="0">
        <v>13015</v>
      </c>
      <c r="L557" t="s" s="0">
        <v>13016</v>
      </c>
      <c r="M557" t="s" s="0">
        <v>13017</v>
      </c>
      <c r="N557" t="s" s="0">
        <v>13018</v>
      </c>
      <c r="O557" t="s" s="0">
        <v>13019</v>
      </c>
      <c r="P557" t="s" s="0">
        <v>13020</v>
      </c>
      <c r="Q557" t="s" s="0">
        <v>91</v>
      </c>
      <c r="R557" t="s" s="0">
        <v>82</v>
      </c>
      <c r="S557" t="s" s="0">
        <v>82</v>
      </c>
      <c r="T557" t="s" s="0">
        <v>82</v>
      </c>
      <c r="U557" t="s" s="0">
        <v>82</v>
      </c>
      <c r="V557" t="s" s="0">
        <v>13021</v>
      </c>
      <c r="W557" t="s" s="0">
        <v>13022</v>
      </c>
      <c r="X557" t="s" s="0">
        <v>82</v>
      </c>
      <c r="Y557" t="s" s="0">
        <v>82</v>
      </c>
      <c r="Z557" t="s" s="0">
        <v>94</v>
      </c>
      <c r="AA557" t="s" s="0">
        <v>95</v>
      </c>
      <c r="AB557" t="s" s="0">
        <v>82</v>
      </c>
      <c r="AC557" t="s" s="0">
        <v>82</v>
      </c>
      <c r="AD557" t="s" s="0">
        <v>82</v>
      </c>
      <c r="AE557" t="s" s="0">
        <v>82</v>
      </c>
      <c r="AF557" t="s" s="0">
        <v>82</v>
      </c>
      <c r="AG557" t="s" s="0">
        <v>13023</v>
      </c>
      <c r="AH557" t="s" s="0">
        <v>13024</v>
      </c>
      <c r="AI557" t="s" s="0">
        <v>13025</v>
      </c>
      <c r="AJ557" t="s" s="0">
        <v>13026</v>
      </c>
      <c r="AK557" t="s" s="0">
        <v>82</v>
      </c>
      <c r="AL557" t="s" s="0">
        <v>100</v>
      </c>
      <c r="AM557" t="s" s="0">
        <v>353</v>
      </c>
      <c r="AN557" t="s" s="0">
        <v>399</v>
      </c>
      <c r="AO557" t="s" s="0">
        <v>447</v>
      </c>
      <c r="AP557" t="s" s="0">
        <v>399</v>
      </c>
      <c r="AQ557" t="s" s="0">
        <v>13027</v>
      </c>
      <c r="AR557" t="s" s="0">
        <v>12829</v>
      </c>
      <c r="AS557" t="s" s="0">
        <v>13028</v>
      </c>
      <c r="AT557" t="s" s="0">
        <v>13029</v>
      </c>
      <c r="AU557" t="s" s="0">
        <v>13030</v>
      </c>
      <c r="AV557" t="s" s="0">
        <v>82</v>
      </c>
      <c r="AW557" t="s" s="0">
        <v>13022</v>
      </c>
      <c r="AX557" t="s" s="0">
        <v>13031</v>
      </c>
      <c r="AY557" t="s" s="0">
        <v>13032</v>
      </c>
      <c r="AZ557" t="s" s="0">
        <v>210</v>
      </c>
      <c r="BA557" t="s" s="0">
        <v>13033</v>
      </c>
      <c r="BB557" t="s" s="0">
        <v>82</v>
      </c>
      <c r="BC557" t="s" s="0">
        <v>82</v>
      </c>
      <c r="BD557" t="s" s="0">
        <v>82</v>
      </c>
      <c r="BE557" t="s" s="0">
        <v>82</v>
      </c>
      <c r="BF557" t="s" s="0">
        <v>82</v>
      </c>
      <c r="BG557" t="s" s="0">
        <v>82</v>
      </c>
      <c r="BH557" t="s" s="0">
        <v>82</v>
      </c>
      <c r="BI557" t="s" s="0">
        <v>13034</v>
      </c>
      <c r="BJ557" t="s" s="0">
        <v>13035</v>
      </c>
      <c r="BK557" t="s" s="1108">
        <f>HYPERLINK("http://dx.doi.org/10.1016/j.neuroimage.2023.120321","http://dx.doi.org/10.1016/j.neuroimage.2023.120321")</f>
        <v>13036</v>
      </c>
      <c r="BL557" t="s" s="0">
        <v>82</v>
      </c>
      <c r="BM557" t="s" s="0">
        <v>2939</v>
      </c>
      <c r="BN557" t="s" s="0">
        <v>115</v>
      </c>
      <c r="BO557" t="s" s="0">
        <v>8811</v>
      </c>
      <c r="BP557" t="s" s="0">
        <v>1693</v>
      </c>
      <c r="BQ557" t="s" s="0">
        <v>13037</v>
      </c>
      <c r="BR557" t="s" s="0">
        <v>13038</v>
      </c>
      <c r="BS557" t="s" s="0">
        <v>13039</v>
      </c>
      <c r="BT557" t="s" s="1109">
        <f>HYPERLINK("https://www.webofscience.com/wos/woscc/full-record/WOS:001065220200001","View Record in Web of Science")</f>
        <v>120</v>
      </c>
      <c r="BU557" t="s" s="0">
        <v>121</v>
      </c>
      <c r="BV557" t="s" s="0">
        <v>82</v>
      </c>
      <c r="BW557" t="s" s="0">
        <v>82</v>
      </c>
      <c r="BX557" t="s" s="0">
        <v>122</v>
      </c>
    </row>
    <row r="558">
      <c r="A558" t="s" s="0">
        <v>78</v>
      </c>
      <c r="B558" t="s" s="0">
        <v>78</v>
      </c>
      <c r="C558" t="s" s="0">
        <v>101</v>
      </c>
      <c r="D558" t="s" s="0">
        <v>78</v>
      </c>
      <c r="E558" t="s" s="0">
        <v>13040</v>
      </c>
      <c r="F558" t="s" s="0">
        <v>13041</v>
      </c>
      <c r="G558" t="s" s="0">
        <v>13042</v>
      </c>
      <c r="H558" t="s" s="0">
        <v>82</v>
      </c>
      <c r="I558" t="s" s="0">
        <v>83</v>
      </c>
      <c r="J558" t="s" s="0">
        <v>13043</v>
      </c>
      <c r="K558" t="s" s="0">
        <v>13044</v>
      </c>
      <c r="L558" t="s" s="0">
        <v>82</v>
      </c>
      <c r="M558" t="s" s="0">
        <v>82</v>
      </c>
      <c r="N558" t="s" s="0">
        <v>82</v>
      </c>
      <c r="O558" t="s" s="0">
        <v>13045</v>
      </c>
      <c r="P558" t="s" s="0">
        <v>13046</v>
      </c>
      <c r="Q558" t="s" s="0">
        <v>91</v>
      </c>
      <c r="R558" t="s" s="0">
        <v>82</v>
      </c>
      <c r="S558" t="s" s="0">
        <v>82</v>
      </c>
      <c r="T558" t="s" s="0">
        <v>82</v>
      </c>
      <c r="U558" t="s" s="0">
        <v>82</v>
      </c>
      <c r="V558" t="s" s="0">
        <v>13047</v>
      </c>
      <c r="W558" t="s" s="0">
        <v>13048</v>
      </c>
      <c r="X558" t="s" s="0">
        <v>82</v>
      </c>
      <c r="Y558" t="s" s="0">
        <v>82</v>
      </c>
      <c r="Z558" t="s" s="0">
        <v>94</v>
      </c>
      <c r="AA558" t="s" s="0">
        <v>95</v>
      </c>
      <c r="AB558" t="s" s="0">
        <v>82</v>
      </c>
      <c r="AC558" t="s" s="0">
        <v>82</v>
      </c>
      <c r="AD558" t="s" s="0">
        <v>82</v>
      </c>
      <c r="AE558" t="s" s="0">
        <v>82</v>
      </c>
      <c r="AF558" t="s" s="0">
        <v>82</v>
      </c>
      <c r="AG558" t="s" s="0">
        <v>13049</v>
      </c>
      <c r="AH558" t="s" s="0">
        <v>13050</v>
      </c>
      <c r="AI558" t="s" s="0">
        <v>13051</v>
      </c>
      <c r="AJ558" t="s" s="0">
        <v>13052</v>
      </c>
      <c r="AK558" t="s" s="0">
        <v>82</v>
      </c>
      <c r="AL558" t="s" s="0">
        <v>548</v>
      </c>
      <c r="AM558" t="s" s="0">
        <v>245</v>
      </c>
      <c r="AN558" t="s" s="0">
        <v>245</v>
      </c>
      <c r="AO558" t="s" s="0">
        <v>77</v>
      </c>
      <c r="AP558" t="s" s="0">
        <v>344</v>
      </c>
      <c r="AQ558" t="s" s="0">
        <v>2051</v>
      </c>
      <c r="AR558" t="s" s="0">
        <v>203</v>
      </c>
      <c r="AS558" t="s" s="0">
        <v>2052</v>
      </c>
      <c r="AT558" t="s" s="0">
        <v>13053</v>
      </c>
      <c r="AU558" t="s" s="0">
        <v>13054</v>
      </c>
      <c r="AV558" t="s" s="0">
        <v>82</v>
      </c>
      <c r="AW558" t="s" s="0">
        <v>13055</v>
      </c>
      <c r="AX558" t="s" s="0">
        <v>13056</v>
      </c>
      <c r="AY558" t="s" s="0">
        <v>4076</v>
      </c>
      <c r="AZ558" t="s" s="0">
        <v>210</v>
      </c>
      <c r="BA558" t="s" s="0">
        <v>7293</v>
      </c>
      <c r="BB558" t="s" s="0">
        <v>115</v>
      </c>
      <c r="BC558" t="s" s="0">
        <v>82</v>
      </c>
      <c r="BD558" t="s" s="0">
        <v>82</v>
      </c>
      <c r="BE558" t="s" s="0">
        <v>82</v>
      </c>
      <c r="BF558" t="s" s="0">
        <v>82</v>
      </c>
      <c r="BG558" t="s" s="0">
        <v>13057</v>
      </c>
      <c r="BH558" t="s" s="0">
        <v>13058</v>
      </c>
      <c r="BI558" t="s" s="0">
        <v>82</v>
      </c>
      <c r="BJ558" t="s" s="0">
        <v>13059</v>
      </c>
      <c r="BK558" t="s" s="1110">
        <f>HYPERLINK("http://dx.doi.org/10.1007/s00432-023-05123-0","http://dx.doi.org/10.1007/s00432-023-05123-0")</f>
        <v>13060</v>
      </c>
      <c r="BL558" t="s" s="0">
        <v>82</v>
      </c>
      <c r="BM558" t="s" s="0">
        <v>810</v>
      </c>
      <c r="BN558" t="s" s="0">
        <v>115</v>
      </c>
      <c r="BO558" t="s" s="0">
        <v>4833</v>
      </c>
      <c r="BP558" t="s" s="0">
        <v>4833</v>
      </c>
      <c r="BQ558" t="s" s="0">
        <v>13061</v>
      </c>
      <c r="BR558" t="s" s="0">
        <v>13062</v>
      </c>
      <c r="BS558" t="s" s="0">
        <v>13063</v>
      </c>
      <c r="BT558" t="s" s="1111">
        <f>HYPERLINK("https://www.webofscience.com/wos/woscc/full-record/WOS:001026615600005","View Record in Web of Science")</f>
        <v>120</v>
      </c>
      <c r="BU558" t="s" s="0">
        <v>5027</v>
      </c>
      <c r="BV558" t="s" s="0">
        <v>82</v>
      </c>
      <c r="BW558" t="s" s="0">
        <v>82</v>
      </c>
      <c r="BX558" t="s" s="0">
        <v>122</v>
      </c>
    </row>
    <row r="559">
      <c r="A559" t="s" s="0">
        <v>78</v>
      </c>
      <c r="B559" t="s" s="0">
        <v>78</v>
      </c>
      <c r="C559" t="s" s="0">
        <v>78</v>
      </c>
      <c r="D559" t="s" s="0">
        <v>78</v>
      </c>
      <c r="E559" t="s" s="0">
        <v>13064</v>
      </c>
      <c r="F559" t="s" s="0">
        <v>13065</v>
      </c>
      <c r="G559" t="s" s="0">
        <v>13066</v>
      </c>
      <c r="H559" t="s" s="0">
        <v>82</v>
      </c>
      <c r="I559" t="s" s="0">
        <v>297</v>
      </c>
      <c r="J559" t="s" s="0">
        <v>13067</v>
      </c>
      <c r="K559" t="s" s="0">
        <v>13068</v>
      </c>
      <c r="L559" t="s" s="0">
        <v>13069</v>
      </c>
      <c r="M559" t="s" s="0">
        <v>13070</v>
      </c>
      <c r="N559" t="s" s="0">
        <v>13071</v>
      </c>
      <c r="O559" t="s" s="0">
        <v>13072</v>
      </c>
      <c r="P559" t="s" s="0">
        <v>13073</v>
      </c>
      <c r="Q559" t="s" s="0">
        <v>91</v>
      </c>
      <c r="R559" t="s" s="0">
        <v>82</v>
      </c>
      <c r="S559" t="s" s="0">
        <v>82</v>
      </c>
      <c r="T559" t="s" s="0">
        <v>82</v>
      </c>
      <c r="U559" t="s" s="0">
        <v>82</v>
      </c>
      <c r="V559" t="s" s="0">
        <v>13074</v>
      </c>
      <c r="W559" t="s" s="0">
        <v>13075</v>
      </c>
      <c r="X559" t="s" s="0">
        <v>82</v>
      </c>
      <c r="Y559" t="s" s="0">
        <v>82</v>
      </c>
      <c r="Z559" t="s" s="0">
        <v>94</v>
      </c>
      <c r="AA559" t="s" s="0">
        <v>95</v>
      </c>
      <c r="AB559" t="s" s="0">
        <v>82</v>
      </c>
      <c r="AC559" t="s" s="0">
        <v>82</v>
      </c>
      <c r="AD559" t="s" s="0">
        <v>82</v>
      </c>
      <c r="AE559" t="s" s="0">
        <v>82</v>
      </c>
      <c r="AF559" t="s" s="0">
        <v>82</v>
      </c>
      <c r="AG559" t="s" s="0">
        <v>13076</v>
      </c>
      <c r="AH559" t="s" s="0">
        <v>13077</v>
      </c>
      <c r="AI559" t="s" s="0">
        <v>82</v>
      </c>
      <c r="AJ559" t="s" s="0">
        <v>82</v>
      </c>
      <c r="AK559" t="s" s="0">
        <v>82</v>
      </c>
      <c r="AL559" t="s" s="0">
        <v>1161</v>
      </c>
      <c r="AM559" t="s" s="0">
        <v>78</v>
      </c>
      <c r="AN559" t="s" s="0">
        <v>78</v>
      </c>
      <c r="AO559" t="s" s="0">
        <v>78</v>
      </c>
      <c r="AP559" t="s" s="0">
        <v>78</v>
      </c>
      <c r="AQ559" t="s" s="0">
        <v>2484</v>
      </c>
      <c r="AR559" t="s" s="0">
        <v>2485</v>
      </c>
      <c r="AS559" t="s" s="0">
        <v>2486</v>
      </c>
      <c r="AT559" t="s" s="0">
        <v>82</v>
      </c>
      <c r="AU559" t="s" s="0">
        <v>13078</v>
      </c>
      <c r="AV559" t="s" s="0">
        <v>82</v>
      </c>
      <c r="AW559" t="s" s="0">
        <v>13079</v>
      </c>
      <c r="AX559" t="s" s="0">
        <v>13080</v>
      </c>
      <c r="AY559" t="s" s="0">
        <v>13081</v>
      </c>
      <c r="AZ559" t="s" s="0">
        <v>181</v>
      </c>
      <c r="BA559" t="s" s="0">
        <v>375</v>
      </c>
      <c r="BB559" t="s" s="0">
        <v>82</v>
      </c>
      <c r="BC559" t="s" s="0">
        <v>82</v>
      </c>
      <c r="BD559" t="s" s="0">
        <v>82</v>
      </c>
      <c r="BE559" t="s" s="0">
        <v>82</v>
      </c>
      <c r="BF559" t="s" s="0">
        <v>82</v>
      </c>
      <c r="BG559" t="s" s="0">
        <v>82</v>
      </c>
      <c r="BH559" t="s" s="0">
        <v>82</v>
      </c>
      <c r="BI559" t="s" s="0">
        <v>13082</v>
      </c>
      <c r="BJ559" t="s" s="0">
        <v>13083</v>
      </c>
      <c r="BK559" t="s" s="1112">
        <f>HYPERLINK("http://dx.doi.org/10.3389/fradi.2026.1867740","http://dx.doi.org/10.3389/fradi.2026.1867740")</f>
        <v>13084</v>
      </c>
      <c r="BL559" t="s" s="0">
        <v>82</v>
      </c>
      <c r="BM559" t="s" s="0">
        <v>82</v>
      </c>
      <c r="BN559" t="s" s="0">
        <v>115</v>
      </c>
      <c r="BO559" t="s" s="0">
        <v>414</v>
      </c>
      <c r="BP559" t="s" s="0">
        <v>414</v>
      </c>
      <c r="BQ559" t="s" s="0">
        <v>13085</v>
      </c>
      <c r="BR559" t="s" s="0">
        <v>82</v>
      </c>
      <c r="BS559" t="s" s="0">
        <v>13086</v>
      </c>
      <c r="BT559" t="s" s="1113">
        <f>HYPERLINK("https://www.webofscience.com/wos/woscc/full-record/WOS:001847525100001","View Record in Web of Science")</f>
        <v>120</v>
      </c>
      <c r="BU559" t="s" s="0">
        <v>121</v>
      </c>
      <c r="BV559" t="s" s="0">
        <v>82</v>
      </c>
      <c r="BW559" t="s" s="0">
        <v>82</v>
      </c>
      <c r="BX559" t="s" s="0">
        <v>122</v>
      </c>
    </row>
    <row r="560">
      <c r="A560" t="s" s="0">
        <v>78</v>
      </c>
      <c r="B560" t="s" s="0">
        <v>78</v>
      </c>
      <c r="C560" t="s" s="0">
        <v>78</v>
      </c>
      <c r="D560" t="s" s="0">
        <v>78</v>
      </c>
      <c r="E560" t="s" s="0">
        <v>13087</v>
      </c>
      <c r="F560" t="s" s="0">
        <v>13088</v>
      </c>
      <c r="G560" t="s" s="0">
        <v>13089</v>
      </c>
      <c r="H560" t="s" s="0">
        <v>82</v>
      </c>
      <c r="I560" t="s" s="0">
        <v>297</v>
      </c>
      <c r="J560" t="s" s="0">
        <v>13090</v>
      </c>
      <c r="K560" t="s" s="0">
        <v>13091</v>
      </c>
      <c r="L560" t="s" s="0">
        <v>13092</v>
      </c>
      <c r="M560" t="s" s="0">
        <v>13093</v>
      </c>
      <c r="N560" t="s" s="0">
        <v>13094</v>
      </c>
      <c r="O560" t="s" s="0">
        <v>13095</v>
      </c>
      <c r="P560" t="s" s="0">
        <v>13096</v>
      </c>
      <c r="Q560" t="s" s="0">
        <v>91</v>
      </c>
      <c r="R560" t="s" s="0">
        <v>82</v>
      </c>
      <c r="S560" t="s" s="0">
        <v>82</v>
      </c>
      <c r="T560" t="s" s="0">
        <v>82</v>
      </c>
      <c r="U560" t="s" s="0">
        <v>82</v>
      </c>
      <c r="V560" t="s" s="0">
        <v>13097</v>
      </c>
      <c r="W560" t="s" s="0">
        <v>2153</v>
      </c>
      <c r="X560" t="s" s="0">
        <v>82</v>
      </c>
      <c r="Y560" t="s" s="0">
        <v>82</v>
      </c>
      <c r="Z560" t="s" s="0">
        <v>94</v>
      </c>
      <c r="AA560" t="s" s="0">
        <v>95</v>
      </c>
      <c r="AB560" t="s" s="0">
        <v>82</v>
      </c>
      <c r="AC560" t="s" s="0">
        <v>82</v>
      </c>
      <c r="AD560" t="s" s="0">
        <v>82</v>
      </c>
      <c r="AE560" t="s" s="0">
        <v>82</v>
      </c>
      <c r="AF560" t="s" s="0">
        <v>82</v>
      </c>
      <c r="AG560" t="s" s="0">
        <v>13098</v>
      </c>
      <c r="AH560" t="s" s="0">
        <v>13099</v>
      </c>
      <c r="AI560" t="s" s="0">
        <v>13100</v>
      </c>
      <c r="AJ560" t="s" s="0">
        <v>82</v>
      </c>
      <c r="AK560" t="s" s="0">
        <v>82</v>
      </c>
      <c r="AL560" t="s" s="0">
        <v>3171</v>
      </c>
      <c r="AM560" t="s" s="0">
        <v>78</v>
      </c>
      <c r="AN560" t="s" s="0">
        <v>78</v>
      </c>
      <c r="AO560" t="s" s="0">
        <v>77</v>
      </c>
      <c r="AP560" t="s" s="0">
        <v>77</v>
      </c>
      <c r="AQ560" t="s" s="0">
        <v>277</v>
      </c>
      <c r="AR560" t="s" s="0">
        <v>278</v>
      </c>
      <c r="AS560" t="s" s="0">
        <v>279</v>
      </c>
      <c r="AT560" t="s" s="0">
        <v>82</v>
      </c>
      <c r="AU560" t="s" s="0">
        <v>2158</v>
      </c>
      <c r="AV560" t="s" s="0">
        <v>82</v>
      </c>
      <c r="AW560" t="s" s="0">
        <v>2159</v>
      </c>
      <c r="AX560" t="s" s="0">
        <v>2160</v>
      </c>
      <c r="AY560" t="s" s="0">
        <v>1003</v>
      </c>
      <c r="AZ560" t="s" s="0">
        <v>181</v>
      </c>
      <c r="BA560" t="s" s="0">
        <v>344</v>
      </c>
      <c r="BB560" t="s" s="0">
        <v>82</v>
      </c>
      <c r="BC560" t="s" s="0">
        <v>82</v>
      </c>
      <c r="BD560" t="s" s="0">
        <v>82</v>
      </c>
      <c r="BE560" t="s" s="0">
        <v>82</v>
      </c>
      <c r="BF560" t="s" s="0">
        <v>82</v>
      </c>
      <c r="BG560" t="s" s="0">
        <v>82</v>
      </c>
      <c r="BH560" t="s" s="0">
        <v>82</v>
      </c>
      <c r="BI560" t="s" s="0">
        <v>13101</v>
      </c>
      <c r="BJ560" t="s" s="0">
        <v>13102</v>
      </c>
      <c r="BK560" t="s" s="1114">
        <f>HYPERLINK("http://dx.doi.org/10.1016/j.phro.2026.100998","http://dx.doi.org/10.1016/j.phro.2026.100998")</f>
        <v>13103</v>
      </c>
      <c r="BL560" t="s" s="0">
        <v>82</v>
      </c>
      <c r="BM560" t="s" s="0">
        <v>1003</v>
      </c>
      <c r="BN560" t="s" s="0">
        <v>245</v>
      </c>
      <c r="BO560" t="s" s="0">
        <v>2164</v>
      </c>
      <c r="BP560" t="s" s="0">
        <v>2164</v>
      </c>
      <c r="BQ560" t="s" s="0">
        <v>13104</v>
      </c>
      <c r="BR560" t="s" s="0">
        <v>13105</v>
      </c>
      <c r="BS560" t="s" s="0">
        <v>13106</v>
      </c>
      <c r="BT560" t="s" s="1115">
        <f>HYPERLINK("https://www.webofscience.com/wos/woscc/full-record/WOS:001779584400001","View Record in Web of Science")</f>
        <v>120</v>
      </c>
      <c r="BU560" t="s" s="0">
        <v>121</v>
      </c>
      <c r="BV560" t="s" s="0">
        <v>82</v>
      </c>
      <c r="BW560" t="s" s="0">
        <v>82</v>
      </c>
      <c r="BX560" t="s" s="0">
        <v>122</v>
      </c>
    </row>
    <row r="561">
      <c r="A561" t="s" s="0">
        <v>77</v>
      </c>
      <c r="B561" t="s" s="0">
        <v>78</v>
      </c>
      <c r="C561" t="s" s="0">
        <v>78</v>
      </c>
      <c r="D561" t="s" s="0">
        <v>78</v>
      </c>
      <c r="E561" t="s" s="0">
        <v>13107</v>
      </c>
      <c r="F561" t="s" s="0">
        <v>13108</v>
      </c>
      <c r="G561" t="s" s="0">
        <v>13109</v>
      </c>
      <c r="H561" t="s" s="0">
        <v>82</v>
      </c>
      <c r="I561" t="s" s="0">
        <v>83</v>
      </c>
      <c r="J561" t="s" s="0">
        <v>13110</v>
      </c>
      <c r="K561" t="s" s="0">
        <v>13111</v>
      </c>
      <c r="L561" t="s" s="0">
        <v>13112</v>
      </c>
      <c r="M561" t="s" s="0">
        <v>13113</v>
      </c>
      <c r="N561" t="s" s="0">
        <v>13114</v>
      </c>
      <c r="O561" t="s" s="0">
        <v>13115</v>
      </c>
      <c r="P561" t="s" s="0">
        <v>13116</v>
      </c>
      <c r="Q561" t="s" s="0">
        <v>91</v>
      </c>
      <c r="R561" t="s" s="0">
        <v>82</v>
      </c>
      <c r="S561" t="s" s="0">
        <v>82</v>
      </c>
      <c r="T561" t="s" s="0">
        <v>82</v>
      </c>
      <c r="U561" t="s" s="0">
        <v>82</v>
      </c>
      <c r="V561" t="s" s="0">
        <v>13117</v>
      </c>
      <c r="W561" t="s" s="0">
        <v>13118</v>
      </c>
      <c r="X561" t="s" s="0">
        <v>82</v>
      </c>
      <c r="Y561" t="s" s="0">
        <v>82</v>
      </c>
      <c r="Z561" t="s" s="0">
        <v>94</v>
      </c>
      <c r="AA561" t="s" s="0">
        <v>95</v>
      </c>
      <c r="AB561" t="s" s="0">
        <v>82</v>
      </c>
      <c r="AC561" t="s" s="0">
        <v>82</v>
      </c>
      <c r="AD561" t="s" s="0">
        <v>82</v>
      </c>
      <c r="AE561" t="s" s="0">
        <v>82</v>
      </c>
      <c r="AF561" t="s" s="0">
        <v>82</v>
      </c>
      <c r="AG561" t="s" s="0">
        <v>13119</v>
      </c>
      <c r="AH561" t="s" s="0">
        <v>13120</v>
      </c>
      <c r="AI561" t="s" s="0">
        <v>13121</v>
      </c>
      <c r="AJ561" t="s" s="0">
        <v>82</v>
      </c>
      <c r="AK561" t="s" s="0">
        <v>82</v>
      </c>
      <c r="AL561" t="s" s="0">
        <v>344</v>
      </c>
      <c r="AM561" t="s" s="0">
        <v>138</v>
      </c>
      <c r="AN561" t="s" s="0">
        <v>136</v>
      </c>
      <c r="AO561" t="s" s="0">
        <v>447</v>
      </c>
      <c r="AP561" t="s" s="0">
        <v>173</v>
      </c>
      <c r="AQ561" t="s" s="0">
        <v>174</v>
      </c>
      <c r="AR561" t="s" s="0">
        <v>175</v>
      </c>
      <c r="AS561" t="s" s="0">
        <v>176</v>
      </c>
      <c r="AT561" t="s" s="0">
        <v>13122</v>
      </c>
      <c r="AU561" t="s" s="0">
        <v>13123</v>
      </c>
      <c r="AV561" t="s" s="0">
        <v>82</v>
      </c>
      <c r="AW561" t="s" s="0">
        <v>13124</v>
      </c>
      <c r="AX561" t="s" s="0">
        <v>13125</v>
      </c>
      <c r="AY561" t="s" s="0">
        <v>13126</v>
      </c>
      <c r="AZ561" t="s" s="0">
        <v>110</v>
      </c>
      <c r="BA561" t="s" s="0">
        <v>173</v>
      </c>
      <c r="BB561" t="s" s="0">
        <v>102</v>
      </c>
      <c r="BC561" t="s" s="0">
        <v>82</v>
      </c>
      <c r="BD561" t="s" s="0">
        <v>82</v>
      </c>
      <c r="BE561" t="s" s="0">
        <v>82</v>
      </c>
      <c r="BF561" t="s" s="0">
        <v>82</v>
      </c>
      <c r="BG561" t="s" s="0">
        <v>82</v>
      </c>
      <c r="BH561" t="s" s="0">
        <v>82</v>
      </c>
      <c r="BI561" t="s" s="0">
        <v>13127</v>
      </c>
      <c r="BJ561" t="s" s="0">
        <v>13128</v>
      </c>
      <c r="BK561" t="s" s="1116">
        <f>HYPERLINK("http://dx.doi.org/10.1002/rcs.2664","http://dx.doi.org/10.1002/rcs.2664")</f>
        <v>13129</v>
      </c>
      <c r="BL561" t="s" s="0">
        <v>82</v>
      </c>
      <c r="BM561" t="s" s="0">
        <v>82</v>
      </c>
      <c r="BN561" t="s" s="0">
        <v>323</v>
      </c>
      <c r="BO561" t="s" s="0">
        <v>950</v>
      </c>
      <c r="BP561" t="s" s="0">
        <v>950</v>
      </c>
      <c r="BQ561" t="s" s="0">
        <v>13130</v>
      </c>
      <c r="BR561" t="s" s="0">
        <v>13131</v>
      </c>
      <c r="BS561" t="s" s="0">
        <v>13132</v>
      </c>
      <c r="BT561" t="s" s="1117">
        <f>HYPERLINK("https://www.webofscience.com/wos/woscc/full-record/WOS:001270464000001","View Record in Web of Science")</f>
        <v>120</v>
      </c>
      <c r="BU561" t="s" s="0">
        <v>82</v>
      </c>
      <c r="BV561" t="s" s="0">
        <v>82</v>
      </c>
      <c r="BW561" t="s" s="0">
        <v>82</v>
      </c>
      <c r="BX561" t="s" s="0">
        <v>122</v>
      </c>
    </row>
    <row r="562">
      <c r="A562" t="s" s="0">
        <v>78</v>
      </c>
      <c r="B562" t="s" s="0">
        <v>78</v>
      </c>
      <c r="C562" t="s" s="0">
        <v>78</v>
      </c>
      <c r="D562" t="s" s="0">
        <v>78</v>
      </c>
      <c r="E562" t="s" s="0">
        <v>13133</v>
      </c>
      <c r="F562" t="s" s="0">
        <v>13134</v>
      </c>
      <c r="G562" t="s" s="0">
        <v>13135</v>
      </c>
      <c r="H562" t="s" s="0">
        <v>82</v>
      </c>
      <c r="I562" t="s" s="0">
        <v>83</v>
      </c>
      <c r="J562" t="s" s="0">
        <v>13136</v>
      </c>
      <c r="K562" t="s" s="0">
        <v>13137</v>
      </c>
      <c r="L562" t="s" s="0">
        <v>13138</v>
      </c>
      <c r="M562" t="s" s="0">
        <v>13139</v>
      </c>
      <c r="N562" t="s" s="0">
        <v>13140</v>
      </c>
      <c r="O562" t="s" s="0">
        <v>13141</v>
      </c>
      <c r="P562" t="s" s="0">
        <v>11753</v>
      </c>
      <c r="Q562" t="s" s="0">
        <v>91</v>
      </c>
      <c r="R562" t="s" s="0">
        <v>82</v>
      </c>
      <c r="S562" t="s" s="0">
        <v>82</v>
      </c>
      <c r="T562" t="s" s="0">
        <v>82</v>
      </c>
      <c r="U562" t="s" s="0">
        <v>82</v>
      </c>
      <c r="V562" t="s" s="0">
        <v>13142</v>
      </c>
      <c r="W562" t="s" s="0">
        <v>10437</v>
      </c>
      <c r="X562" t="s" s="0">
        <v>82</v>
      </c>
      <c r="Y562" t="s" s="0">
        <v>82</v>
      </c>
      <c r="Z562" t="s" s="0">
        <v>94</v>
      </c>
      <c r="AA562" t="s" s="0">
        <v>95</v>
      </c>
      <c r="AB562" t="s" s="0">
        <v>82</v>
      </c>
      <c r="AC562" t="s" s="0">
        <v>82</v>
      </c>
      <c r="AD562" t="s" s="0">
        <v>82</v>
      </c>
      <c r="AE562" t="s" s="0">
        <v>82</v>
      </c>
      <c r="AF562" t="s" s="0">
        <v>82</v>
      </c>
      <c r="AG562" t="s" s="0">
        <v>13143</v>
      </c>
      <c r="AH562" t="s" s="0">
        <v>2048</v>
      </c>
      <c r="AI562" t="s" s="0">
        <v>13144</v>
      </c>
      <c r="AJ562" t="s" s="0">
        <v>82</v>
      </c>
      <c r="AK562" t="s" s="0">
        <v>82</v>
      </c>
      <c r="AL562" t="s" s="0">
        <v>311</v>
      </c>
      <c r="AM562" t="s" s="0">
        <v>319</v>
      </c>
      <c r="AN562" t="s" s="0">
        <v>319</v>
      </c>
      <c r="AO562" t="s" s="0">
        <v>102</v>
      </c>
      <c r="AP562" t="s" s="0">
        <v>640</v>
      </c>
      <c r="AQ562" t="s" s="0">
        <v>2484</v>
      </c>
      <c r="AR562" t="s" s="0">
        <v>2485</v>
      </c>
      <c r="AS562" t="s" s="0">
        <v>2486</v>
      </c>
      <c r="AT562" t="s" s="0">
        <v>10440</v>
      </c>
      <c r="AU562" t="s" s="0">
        <v>82</v>
      </c>
      <c r="AV562" t="s" s="0">
        <v>82</v>
      </c>
      <c r="AW562" t="s" s="0">
        <v>10441</v>
      </c>
      <c r="AX562" t="s" s="0">
        <v>10442</v>
      </c>
      <c r="AY562" t="s" s="0">
        <v>13145</v>
      </c>
      <c r="AZ562" t="s" s="0">
        <v>147</v>
      </c>
      <c r="BA562" t="s" s="0">
        <v>349</v>
      </c>
      <c r="BB562" t="s" s="0">
        <v>82</v>
      </c>
      <c r="BC562" t="s" s="0">
        <v>82</v>
      </c>
      <c r="BD562" t="s" s="0">
        <v>82</v>
      </c>
      <c r="BE562" t="s" s="0">
        <v>82</v>
      </c>
      <c r="BF562" t="s" s="0">
        <v>82</v>
      </c>
      <c r="BG562" t="s" s="0">
        <v>82</v>
      </c>
      <c r="BH562" t="s" s="0">
        <v>82</v>
      </c>
      <c r="BI562" t="s" s="0">
        <v>13146</v>
      </c>
      <c r="BJ562" t="s" s="0">
        <v>13147</v>
      </c>
      <c r="BK562" t="s" s="1118">
        <f>HYPERLINK("http://dx.doi.org/10.3389/fneur.2024.1480792","http://dx.doi.org/10.3389/fneur.2024.1480792")</f>
        <v>13148</v>
      </c>
      <c r="BL562" t="s" s="0">
        <v>82</v>
      </c>
      <c r="BM562" t="s" s="0">
        <v>82</v>
      </c>
      <c r="BN562" t="s" s="0">
        <v>245</v>
      </c>
      <c r="BO562" t="s" s="0">
        <v>613</v>
      </c>
      <c r="BP562" t="s" s="0">
        <v>252</v>
      </c>
      <c r="BQ562" t="s" s="0">
        <v>13149</v>
      </c>
      <c r="BR562" t="s" s="0">
        <v>13150</v>
      </c>
      <c r="BS562" t="s" s="0">
        <v>13151</v>
      </c>
      <c r="BT562" t="s" s="1119">
        <f>HYPERLINK("https://www.webofscience.com/wos/woscc/full-record/WOS:001407341800001","View Record in Web of Science")</f>
        <v>120</v>
      </c>
      <c r="BU562" t="s" s="0">
        <v>121</v>
      </c>
      <c r="BV562" t="s" s="0">
        <v>82</v>
      </c>
      <c r="BW562" t="s" s="0">
        <v>82</v>
      </c>
      <c r="BX562" t="s" s="0">
        <v>122</v>
      </c>
    </row>
    <row r="563">
      <c r="A563" t="s" s="0">
        <v>447</v>
      </c>
      <c r="B563" t="s" s="0">
        <v>78</v>
      </c>
      <c r="C563" t="s" s="0">
        <v>136</v>
      </c>
      <c r="D563" t="s" s="0">
        <v>78</v>
      </c>
      <c r="E563" t="s" s="0">
        <v>13152</v>
      </c>
      <c r="F563" t="s" s="0">
        <v>13153</v>
      </c>
      <c r="G563" t="s" s="0">
        <v>13154</v>
      </c>
      <c r="H563" t="s" s="0">
        <v>82</v>
      </c>
      <c r="I563" t="s" s="0">
        <v>83</v>
      </c>
      <c r="J563" t="s" s="0">
        <v>13155</v>
      </c>
      <c r="K563" t="s" s="0">
        <v>13156</v>
      </c>
      <c r="L563" t="s" s="0">
        <v>13157</v>
      </c>
      <c r="M563" t="s" s="0">
        <v>13158</v>
      </c>
      <c r="N563" t="s" s="0">
        <v>13159</v>
      </c>
      <c r="O563" t="s" s="0">
        <v>13160</v>
      </c>
      <c r="P563" t="s" s="0">
        <v>13161</v>
      </c>
      <c r="Q563" t="s" s="0">
        <v>91</v>
      </c>
      <c r="R563" t="s" s="0">
        <v>82</v>
      </c>
      <c r="S563" t="s" s="0">
        <v>82</v>
      </c>
      <c r="T563" t="s" s="0">
        <v>82</v>
      </c>
      <c r="U563" t="s" s="0">
        <v>82</v>
      </c>
      <c r="V563" t="s" s="0">
        <v>13162</v>
      </c>
      <c r="W563" t="s" s="0">
        <v>13163</v>
      </c>
      <c r="X563" t="s" s="0">
        <v>82</v>
      </c>
      <c r="Y563" t="s" s="0">
        <v>82</v>
      </c>
      <c r="Z563" t="s" s="0">
        <v>94</v>
      </c>
      <c r="AA563" t="s" s="0">
        <v>95</v>
      </c>
      <c r="AB563" t="s" s="0">
        <v>82</v>
      </c>
      <c r="AC563" t="s" s="0">
        <v>82</v>
      </c>
      <c r="AD563" t="s" s="0">
        <v>82</v>
      </c>
      <c r="AE563" t="s" s="0">
        <v>82</v>
      </c>
      <c r="AF563" t="s" s="0">
        <v>82</v>
      </c>
      <c r="AG563" t="s" s="0">
        <v>13164</v>
      </c>
      <c r="AH563" t="s" s="0">
        <v>13165</v>
      </c>
      <c r="AI563" t="s" s="0">
        <v>13166</v>
      </c>
      <c r="AJ563" t="s" s="0">
        <v>13167</v>
      </c>
      <c r="AK563" t="s" s="0">
        <v>82</v>
      </c>
      <c r="AL563" t="s" s="0">
        <v>685</v>
      </c>
      <c r="AM563" t="s" s="0">
        <v>311</v>
      </c>
      <c r="AN563" t="s" s="0">
        <v>273</v>
      </c>
      <c r="AO563" t="s" s="0">
        <v>78</v>
      </c>
      <c r="AP563" t="s" s="0">
        <v>102</v>
      </c>
      <c r="AQ563" t="s" s="0">
        <v>832</v>
      </c>
      <c r="AR563" t="s" s="0">
        <v>833</v>
      </c>
      <c r="AS563" t="s" s="0">
        <v>834</v>
      </c>
      <c r="AT563" t="s" s="0">
        <v>13168</v>
      </c>
      <c r="AU563" t="s" s="0">
        <v>13169</v>
      </c>
      <c r="AV563" t="s" s="0">
        <v>82</v>
      </c>
      <c r="AW563" t="s" s="0">
        <v>13170</v>
      </c>
      <c r="AX563" t="s" s="0">
        <v>13171</v>
      </c>
      <c r="AY563" t="s" s="0">
        <v>1071</v>
      </c>
      <c r="AZ563" t="s" s="0">
        <v>525</v>
      </c>
      <c r="BA563" t="s" s="0">
        <v>807</v>
      </c>
      <c r="BB563" t="s" s="0">
        <v>101</v>
      </c>
      <c r="BC563" t="s" s="0">
        <v>82</v>
      </c>
      <c r="BD563" t="s" s="0">
        <v>82</v>
      </c>
      <c r="BE563" t="s" s="0">
        <v>82</v>
      </c>
      <c r="BF563" t="s" s="0">
        <v>82</v>
      </c>
      <c r="BG563" t="s" s="0">
        <v>13172</v>
      </c>
      <c r="BH563" t="s" s="0">
        <v>13173</v>
      </c>
      <c r="BI563" t="s" s="0">
        <v>82</v>
      </c>
      <c r="BJ563" t="s" s="0">
        <v>82</v>
      </c>
      <c r="BK563" t="s" s="0">
        <v>82</v>
      </c>
      <c r="BL563" t="s" s="0">
        <v>82</v>
      </c>
      <c r="BM563" t="s" s="0">
        <v>82</v>
      </c>
      <c r="BN563" t="s" s="0">
        <v>138</v>
      </c>
      <c r="BO563" t="s" s="0">
        <v>1197</v>
      </c>
      <c r="BP563" t="s" s="0">
        <v>1197</v>
      </c>
      <c r="BQ563" t="s" s="0">
        <v>13174</v>
      </c>
      <c r="BR563" t="s" s="0">
        <v>13175</v>
      </c>
      <c r="BS563" t="s" s="0">
        <v>13176</v>
      </c>
      <c r="BT563" t="s" s="1120">
        <f>HYPERLINK("https://www.webofscience.com/wos/woscc/full-record/WOS:000617319700008","View Record in Web of Science")</f>
        <v>120</v>
      </c>
      <c r="BU563" t="s" s="0">
        <v>82</v>
      </c>
      <c r="BV563" t="s" s="0">
        <v>82</v>
      </c>
      <c r="BW563" t="s" s="0">
        <v>82</v>
      </c>
      <c r="BX563" t="s" s="0">
        <v>122</v>
      </c>
    </row>
    <row r="564">
      <c r="A564" t="s" s="0">
        <v>78</v>
      </c>
      <c r="B564" t="s" s="0">
        <v>78</v>
      </c>
      <c r="C564" t="s" s="0">
        <v>447</v>
      </c>
      <c r="D564" t="s" s="0">
        <v>78</v>
      </c>
      <c r="E564" t="s" s="0">
        <v>13177</v>
      </c>
      <c r="F564" t="s" s="0">
        <v>13178</v>
      </c>
      <c r="G564" t="s" s="0">
        <v>13179</v>
      </c>
      <c r="H564" t="s" s="0">
        <v>82</v>
      </c>
      <c r="I564" t="s" s="0">
        <v>83</v>
      </c>
      <c r="J564" t="s" s="0">
        <v>13180</v>
      </c>
      <c r="K564" t="s" s="0">
        <v>13181</v>
      </c>
      <c r="L564" t="s" s="0">
        <v>82</v>
      </c>
      <c r="M564" t="s" s="0">
        <v>82</v>
      </c>
      <c r="N564" t="s" s="0">
        <v>82</v>
      </c>
      <c r="O564" t="s" s="0">
        <v>13182</v>
      </c>
      <c r="P564" t="s" s="0">
        <v>13183</v>
      </c>
      <c r="Q564" t="s" s="0">
        <v>91</v>
      </c>
      <c r="R564" t="s" s="0">
        <v>82</v>
      </c>
      <c r="S564" t="s" s="0">
        <v>82</v>
      </c>
      <c r="T564" t="s" s="0">
        <v>82</v>
      </c>
      <c r="U564" t="s" s="0">
        <v>82</v>
      </c>
      <c r="V564" t="s" s="0">
        <v>13184</v>
      </c>
      <c r="W564" t="s" s="0">
        <v>6387</v>
      </c>
      <c r="X564" t="s" s="0">
        <v>82</v>
      </c>
      <c r="Y564" t="s" s="0">
        <v>82</v>
      </c>
      <c r="Z564" t="s" s="0">
        <v>94</v>
      </c>
      <c r="AA564" t="s" s="0">
        <v>95</v>
      </c>
      <c r="AB564" t="s" s="0">
        <v>82</v>
      </c>
      <c r="AC564" t="s" s="0">
        <v>82</v>
      </c>
      <c r="AD564" t="s" s="0">
        <v>82</v>
      </c>
      <c r="AE564" t="s" s="0">
        <v>82</v>
      </c>
      <c r="AF564" t="s" s="0">
        <v>82</v>
      </c>
      <c r="AG564" t="s" s="0">
        <v>13185</v>
      </c>
      <c r="AH564" t="s" s="0">
        <v>13186</v>
      </c>
      <c r="AI564" t="s" s="0">
        <v>82</v>
      </c>
      <c r="AJ564" t="s" s="0">
        <v>13187</v>
      </c>
      <c r="AK564" t="s" s="0">
        <v>82</v>
      </c>
      <c r="AL564" t="s" s="0">
        <v>1658</v>
      </c>
      <c r="AM564" t="s" s="0">
        <v>101</v>
      </c>
      <c r="AN564" t="s" s="0">
        <v>101</v>
      </c>
      <c r="AO564" t="s" s="0">
        <v>77</v>
      </c>
      <c r="AP564" t="s" s="0">
        <v>101</v>
      </c>
      <c r="AQ564" t="s" s="0">
        <v>2484</v>
      </c>
      <c r="AR564" t="s" s="0">
        <v>2485</v>
      </c>
      <c r="AS564" t="s" s="0">
        <v>2486</v>
      </c>
      <c r="AT564" t="s" s="0">
        <v>6391</v>
      </c>
      <c r="AU564" t="s" s="0">
        <v>82</v>
      </c>
      <c r="AV564" t="s" s="0">
        <v>82</v>
      </c>
      <c r="AW564" t="s" s="0">
        <v>6392</v>
      </c>
      <c r="AX564" t="s" s="0">
        <v>6393</v>
      </c>
      <c r="AY564" t="s" s="0">
        <v>13188</v>
      </c>
      <c r="AZ564" t="s" s="0">
        <v>147</v>
      </c>
      <c r="BA564" t="s" s="0">
        <v>349</v>
      </c>
      <c r="BB564" t="s" s="0">
        <v>82</v>
      </c>
      <c r="BC564" t="s" s="0">
        <v>82</v>
      </c>
      <c r="BD564" t="s" s="0">
        <v>82</v>
      </c>
      <c r="BE564" t="s" s="0">
        <v>82</v>
      </c>
      <c r="BF564" t="s" s="0">
        <v>82</v>
      </c>
      <c r="BG564" t="s" s="0">
        <v>82</v>
      </c>
      <c r="BH564" t="s" s="0">
        <v>82</v>
      </c>
      <c r="BI564" t="s" s="0">
        <v>13189</v>
      </c>
      <c r="BJ564" t="s" s="0">
        <v>13190</v>
      </c>
      <c r="BK564" t="s" s="1121">
        <f>HYPERLINK("http://dx.doi.org/10.3389/fonc.2025.1661212","http://dx.doi.org/10.3389/fonc.2025.1661212")</f>
        <v>13191</v>
      </c>
      <c r="BL564" t="s" s="0">
        <v>82</v>
      </c>
      <c r="BM564" t="s" s="0">
        <v>82</v>
      </c>
      <c r="BN564" t="s" s="0">
        <v>154</v>
      </c>
      <c r="BO564" t="s" s="0">
        <v>4833</v>
      </c>
      <c r="BP564" t="s" s="0">
        <v>4833</v>
      </c>
      <c r="BQ564" t="s" s="0">
        <v>13192</v>
      </c>
      <c r="BR564" t="s" s="0">
        <v>13193</v>
      </c>
      <c r="BS564" t="s" s="0">
        <v>13194</v>
      </c>
      <c r="BT564" t="s" s="1122">
        <f>HYPERLINK("https://www.webofscience.com/wos/woscc/full-record/WOS:001593503300001","View Record in Web of Science")</f>
        <v>120</v>
      </c>
      <c r="BU564" t="s" s="0">
        <v>121</v>
      </c>
      <c r="BV564" t="s" s="0">
        <v>82</v>
      </c>
      <c r="BW564" t="s" s="0">
        <v>82</v>
      </c>
      <c r="BX564" t="s" s="0">
        <v>122</v>
      </c>
    </row>
    <row r="565">
      <c r="A565" t="s" s="0">
        <v>78</v>
      </c>
      <c r="B565" t="s" s="0">
        <v>78</v>
      </c>
      <c r="C565" t="s" s="0">
        <v>78</v>
      </c>
      <c r="D565" t="s" s="0">
        <v>78</v>
      </c>
      <c r="E565" t="s" s="0">
        <v>13195</v>
      </c>
      <c r="F565" t="s" s="0">
        <v>13196</v>
      </c>
      <c r="G565" t="s" s="0">
        <v>13197</v>
      </c>
      <c r="H565" t="s" s="0">
        <v>82</v>
      </c>
      <c r="I565" t="s" s="0">
        <v>83</v>
      </c>
      <c r="J565" t="s" s="0">
        <v>13198</v>
      </c>
      <c r="K565" t="s" s="0">
        <v>13199</v>
      </c>
      <c r="L565" t="s" s="0">
        <v>82</v>
      </c>
      <c r="M565" t="s" s="0">
        <v>82</v>
      </c>
      <c r="N565" t="s" s="0">
        <v>82</v>
      </c>
      <c r="O565" t="s" s="0">
        <v>13200</v>
      </c>
      <c r="P565" t="s" s="0">
        <v>13201</v>
      </c>
      <c r="Q565" t="s" s="0">
        <v>91</v>
      </c>
      <c r="R565" t="s" s="0">
        <v>82</v>
      </c>
      <c r="S565" t="s" s="0">
        <v>82</v>
      </c>
      <c r="T565" t="s" s="0">
        <v>82</v>
      </c>
      <c r="U565" t="s" s="0">
        <v>82</v>
      </c>
      <c r="V565" t="s" s="0">
        <v>13202</v>
      </c>
      <c r="W565" t="s" s="0">
        <v>4111</v>
      </c>
      <c r="X565" t="s" s="0">
        <v>82</v>
      </c>
      <c r="Y565" t="s" s="0">
        <v>82</v>
      </c>
      <c r="Z565" t="s" s="0">
        <v>94</v>
      </c>
      <c r="AA565" t="s" s="0">
        <v>95</v>
      </c>
      <c r="AB565" t="s" s="0">
        <v>82</v>
      </c>
      <c r="AC565" t="s" s="0">
        <v>82</v>
      </c>
      <c r="AD565" t="s" s="0">
        <v>82</v>
      </c>
      <c r="AE565" t="s" s="0">
        <v>82</v>
      </c>
      <c r="AF565" t="s" s="0">
        <v>82</v>
      </c>
      <c r="AG565" t="s" s="0">
        <v>13203</v>
      </c>
      <c r="AH565" t="s" s="0">
        <v>82</v>
      </c>
      <c r="AI565" t="s" s="0">
        <v>13204</v>
      </c>
      <c r="AJ565" t="s" s="0">
        <v>13205</v>
      </c>
      <c r="AK565" t="s" s="0">
        <v>82</v>
      </c>
      <c r="AL565" t="s" s="0">
        <v>685</v>
      </c>
      <c r="AM565" t="s" s="0">
        <v>447</v>
      </c>
      <c r="AN565" t="s" s="0">
        <v>447</v>
      </c>
      <c r="AO565" t="s" s="0">
        <v>101</v>
      </c>
      <c r="AP565" t="s" s="0">
        <v>221</v>
      </c>
      <c r="AQ565" t="s" s="0">
        <v>2051</v>
      </c>
      <c r="AR565" t="s" s="0">
        <v>203</v>
      </c>
      <c r="AS565" t="s" s="0">
        <v>2052</v>
      </c>
      <c r="AT565" t="s" s="0">
        <v>4116</v>
      </c>
      <c r="AU565" t="s" s="0">
        <v>4117</v>
      </c>
      <c r="AV565" t="s" s="0">
        <v>82</v>
      </c>
      <c r="AW565" t="s" s="0">
        <v>4118</v>
      </c>
      <c r="AX565" t="s" s="0">
        <v>4119</v>
      </c>
      <c r="AY565" t="s" s="0">
        <v>1425</v>
      </c>
      <c r="AZ565" t="s" s="0">
        <v>147</v>
      </c>
      <c r="BA565" t="s" s="0">
        <v>2191</v>
      </c>
      <c r="BB565" t="s" s="0">
        <v>137</v>
      </c>
      <c r="BC565" t="s" s="0">
        <v>82</v>
      </c>
      <c r="BD565" t="s" s="0">
        <v>82</v>
      </c>
      <c r="BE565" t="s" s="0">
        <v>82</v>
      </c>
      <c r="BF565" t="s" s="0">
        <v>82</v>
      </c>
      <c r="BG565" t="s" s="0">
        <v>13206</v>
      </c>
      <c r="BH565" t="s" s="0">
        <v>13207</v>
      </c>
      <c r="BI565" t="s" s="0">
        <v>82</v>
      </c>
      <c r="BJ565" t="s" s="0">
        <v>13208</v>
      </c>
      <c r="BK565" t="s" s="1123">
        <f>HYPERLINK("http://dx.doi.org/10.1007/s00261-025-04910-2","http://dx.doi.org/10.1007/s00261-025-04910-2")</f>
        <v>13209</v>
      </c>
      <c r="BL565" t="s" s="0">
        <v>82</v>
      </c>
      <c r="BM565" t="s" s="0">
        <v>1556</v>
      </c>
      <c r="BN565" t="s" s="0">
        <v>245</v>
      </c>
      <c r="BO565" t="s" s="0">
        <v>414</v>
      </c>
      <c r="BP565" t="s" s="0">
        <v>414</v>
      </c>
      <c r="BQ565" t="s" s="0">
        <v>13210</v>
      </c>
      <c r="BR565" t="s" s="0">
        <v>13211</v>
      </c>
      <c r="BS565" t="s" s="0">
        <v>13212</v>
      </c>
      <c r="BT565" t="s" s="1124">
        <f>HYPERLINK("https://www.webofscience.com/wos/woscc/full-record/WOS:001479644300001","View Record in Web of Science")</f>
        <v>120</v>
      </c>
      <c r="BU565" t="s" s="0">
        <v>82</v>
      </c>
      <c r="BV565" t="s" s="0">
        <v>82</v>
      </c>
      <c r="BW565" t="s" s="0">
        <v>82</v>
      </c>
      <c r="BX565" t="s" s="0">
        <v>122</v>
      </c>
    </row>
    <row r="566">
      <c r="A566" t="s" s="0">
        <v>78</v>
      </c>
      <c r="B566" t="s" s="0">
        <v>78</v>
      </c>
      <c r="C566" t="s" s="0">
        <v>78</v>
      </c>
      <c r="D566" t="s" s="0">
        <v>78</v>
      </c>
      <c r="E566" t="s" s="0">
        <v>13213</v>
      </c>
      <c r="F566" t="s" s="0">
        <v>13214</v>
      </c>
      <c r="G566" t="s" s="0">
        <v>13215</v>
      </c>
      <c r="H566" t="s" s="0">
        <v>82</v>
      </c>
      <c r="I566" t="s" s="0">
        <v>83</v>
      </c>
      <c r="J566" t="s" s="0">
        <v>13216</v>
      </c>
      <c r="K566" t="s" s="0">
        <v>13217</v>
      </c>
      <c r="L566" t="s" s="0">
        <v>13218</v>
      </c>
      <c r="M566" t="s" s="0">
        <v>13219</v>
      </c>
      <c r="N566" t="s" s="0">
        <v>13220</v>
      </c>
      <c r="O566" t="s" s="0">
        <v>13221</v>
      </c>
      <c r="P566" t="s" s="0">
        <v>13222</v>
      </c>
      <c r="Q566" t="s" s="0">
        <v>91</v>
      </c>
      <c r="R566" t="s" s="0">
        <v>82</v>
      </c>
      <c r="S566" t="s" s="0">
        <v>82</v>
      </c>
      <c r="T566" t="s" s="0">
        <v>82</v>
      </c>
      <c r="U566" t="s" s="0">
        <v>82</v>
      </c>
      <c r="V566" t="s" s="0">
        <v>13223</v>
      </c>
      <c r="W566" t="s" s="0">
        <v>13224</v>
      </c>
      <c r="X566" t="s" s="0">
        <v>82</v>
      </c>
      <c r="Y566" t="s" s="0">
        <v>82</v>
      </c>
      <c r="Z566" t="s" s="0">
        <v>94</v>
      </c>
      <c r="AA566" t="s" s="0">
        <v>95</v>
      </c>
      <c r="AB566" t="s" s="0">
        <v>82</v>
      </c>
      <c r="AC566" t="s" s="0">
        <v>82</v>
      </c>
      <c r="AD566" t="s" s="0">
        <v>82</v>
      </c>
      <c r="AE566" t="s" s="0">
        <v>82</v>
      </c>
      <c r="AF566" t="s" s="0">
        <v>82</v>
      </c>
      <c r="AG566" t="s" s="0">
        <v>13225</v>
      </c>
      <c r="AH566" t="s" s="0">
        <v>13226</v>
      </c>
      <c r="AI566" t="s" s="0">
        <v>82</v>
      </c>
      <c r="AJ566" t="s" s="0">
        <v>82</v>
      </c>
      <c r="AK566" t="s" s="0">
        <v>82</v>
      </c>
      <c r="AL566" t="s" s="0">
        <v>464</v>
      </c>
      <c r="AM566" t="s" s="0">
        <v>78</v>
      </c>
      <c r="AN566" t="s" s="0">
        <v>78</v>
      </c>
      <c r="AO566" t="s" s="0">
        <v>78</v>
      </c>
      <c r="AP566" t="s" s="0">
        <v>78</v>
      </c>
      <c r="AQ566" t="s" s="0">
        <v>1578</v>
      </c>
      <c r="AR566" t="s" s="0">
        <v>1579</v>
      </c>
      <c r="AS566" t="s" s="0">
        <v>1580</v>
      </c>
      <c r="AT566" t="s" s="0">
        <v>13227</v>
      </c>
      <c r="AU566" t="s" s="0">
        <v>82</v>
      </c>
      <c r="AV566" t="s" s="0">
        <v>82</v>
      </c>
      <c r="AW566" t="s" s="0">
        <v>13228</v>
      </c>
      <c r="AX566" t="s" s="0">
        <v>13229</v>
      </c>
      <c r="AY566" t="s" s="0">
        <v>181</v>
      </c>
      <c r="AZ566" t="s" s="0">
        <v>181</v>
      </c>
      <c r="BA566" t="s" s="0">
        <v>154</v>
      </c>
      <c r="BB566" t="s" s="0">
        <v>82</v>
      </c>
      <c r="BC566" t="s" s="0">
        <v>82</v>
      </c>
      <c r="BD566" t="s" s="0">
        <v>82</v>
      </c>
      <c r="BE566" t="s" s="0">
        <v>82</v>
      </c>
      <c r="BF566" t="s" s="0">
        <v>82</v>
      </c>
      <c r="BG566" t="s" s="0">
        <v>82</v>
      </c>
      <c r="BH566" t="s" s="0">
        <v>82</v>
      </c>
      <c r="BI566" t="s" s="0">
        <v>13230</v>
      </c>
      <c r="BJ566" t="s" s="0">
        <v>13231</v>
      </c>
      <c r="BK566" t="s" s="1125">
        <f>HYPERLINK("http://dx.doi.org/10.2147/CLEP.S588848","http://dx.doi.org/10.2147/CLEP.S588848")</f>
        <v>13232</v>
      </c>
      <c r="BL566" t="s" s="0">
        <v>82</v>
      </c>
      <c r="BM566" t="s" s="0">
        <v>82</v>
      </c>
      <c r="BN566" t="s" s="0">
        <v>323</v>
      </c>
      <c r="BO566" t="s" s="0">
        <v>7435</v>
      </c>
      <c r="BP566" t="s" s="0">
        <v>7435</v>
      </c>
      <c r="BQ566" t="s" s="0">
        <v>13233</v>
      </c>
      <c r="BR566" t="s" s="0">
        <v>13234</v>
      </c>
      <c r="BS566" t="s" s="0">
        <v>13235</v>
      </c>
      <c r="BT566" t="s" s="1126">
        <f>HYPERLINK("https://www.webofscience.com/wos/woscc/full-record/WOS:001727186700001","View Record in Web of Science")</f>
        <v>120</v>
      </c>
      <c r="BU566" t="s" s="0">
        <v>121</v>
      </c>
      <c r="BV566" t="s" s="0">
        <v>82</v>
      </c>
      <c r="BW566" t="s" s="0">
        <v>82</v>
      </c>
      <c r="BX566" t="s" s="0">
        <v>122</v>
      </c>
    </row>
    <row r="567">
      <c r="A567" t="s" s="0">
        <v>78</v>
      </c>
      <c r="B567" t="s" s="0">
        <v>78</v>
      </c>
      <c r="C567" t="s" s="0">
        <v>78</v>
      </c>
      <c r="D567" t="s" s="0">
        <v>78</v>
      </c>
      <c r="E567" t="s" s="0">
        <v>13236</v>
      </c>
      <c r="F567" t="s" s="0">
        <v>13237</v>
      </c>
      <c r="G567" t="s" s="0">
        <v>13238</v>
      </c>
      <c r="H567" t="s" s="0">
        <v>82</v>
      </c>
      <c r="I567" t="s" s="0">
        <v>83</v>
      </c>
      <c r="J567" t="s" s="0">
        <v>13239</v>
      </c>
      <c r="K567" t="s" s="0">
        <v>13240</v>
      </c>
      <c r="L567" t="s" s="0">
        <v>13241</v>
      </c>
      <c r="M567" t="s" s="0">
        <v>13242</v>
      </c>
      <c r="N567" t="s" s="0">
        <v>13243</v>
      </c>
      <c r="O567" t="s" s="0">
        <v>13244</v>
      </c>
      <c r="P567" t="s" s="0">
        <v>13245</v>
      </c>
      <c r="Q567" t="s" s="0">
        <v>91</v>
      </c>
      <c r="R567" t="s" s="0">
        <v>82</v>
      </c>
      <c r="S567" t="s" s="0">
        <v>82</v>
      </c>
      <c r="T567" t="s" s="0">
        <v>82</v>
      </c>
      <c r="U567" t="s" s="0">
        <v>82</v>
      </c>
      <c r="V567" t="s" s="0">
        <v>13246</v>
      </c>
      <c r="W567" t="s" s="0">
        <v>2480</v>
      </c>
      <c r="X567" t="s" s="0">
        <v>82</v>
      </c>
      <c r="Y567" t="s" s="0">
        <v>82</v>
      </c>
      <c r="Z567" t="s" s="0">
        <v>94</v>
      </c>
      <c r="AA567" t="s" s="0">
        <v>95</v>
      </c>
      <c r="AB567" t="s" s="0">
        <v>82</v>
      </c>
      <c r="AC567" t="s" s="0">
        <v>82</v>
      </c>
      <c r="AD567" t="s" s="0">
        <v>82</v>
      </c>
      <c r="AE567" t="s" s="0">
        <v>82</v>
      </c>
      <c r="AF567" t="s" s="0">
        <v>82</v>
      </c>
      <c r="AG567" t="s" s="0">
        <v>13247</v>
      </c>
      <c r="AH567" t="s" s="0">
        <v>82</v>
      </c>
      <c r="AI567" t="s" s="0">
        <v>13248</v>
      </c>
      <c r="AJ567" t="s" s="0">
        <v>82</v>
      </c>
      <c r="AK567" t="s" s="0">
        <v>82</v>
      </c>
      <c r="AL567" t="s" s="0">
        <v>344</v>
      </c>
      <c r="AM567" t="s" s="0">
        <v>78</v>
      </c>
      <c r="AN567" t="s" s="0">
        <v>78</v>
      </c>
      <c r="AO567" t="s" s="0">
        <v>447</v>
      </c>
      <c r="AP567" t="s" s="0">
        <v>102</v>
      </c>
      <c r="AQ567" t="s" s="0">
        <v>2484</v>
      </c>
      <c r="AR567" t="s" s="0">
        <v>2485</v>
      </c>
      <c r="AS567" t="s" s="0">
        <v>2486</v>
      </c>
      <c r="AT567" t="s" s="0">
        <v>2487</v>
      </c>
      <c r="AU567" t="s" s="0">
        <v>82</v>
      </c>
      <c r="AV567" t="s" s="0">
        <v>82</v>
      </c>
      <c r="AW567" t="s" s="0">
        <v>2488</v>
      </c>
      <c r="AX567" t="s" s="0">
        <v>2489</v>
      </c>
      <c r="AY567" t="s" s="0">
        <v>3619</v>
      </c>
      <c r="AZ567" t="s" s="0">
        <v>147</v>
      </c>
      <c r="BA567" t="s" s="0">
        <v>640</v>
      </c>
      <c r="BB567" t="s" s="0">
        <v>82</v>
      </c>
      <c r="BC567" t="s" s="0">
        <v>82</v>
      </c>
      <c r="BD567" t="s" s="0">
        <v>82</v>
      </c>
      <c r="BE567" t="s" s="0">
        <v>82</v>
      </c>
      <c r="BF567" t="s" s="0">
        <v>82</v>
      </c>
      <c r="BG567" t="s" s="0">
        <v>82</v>
      </c>
      <c r="BH567" t="s" s="0">
        <v>82</v>
      </c>
      <c r="BI567" t="s" s="0">
        <v>13249</v>
      </c>
      <c r="BJ567" t="s" s="0">
        <v>13250</v>
      </c>
      <c r="BK567" t="s" s="1127">
        <f>HYPERLINK("http://dx.doi.org/10.3389/fendo.2025.1665935","http://dx.doi.org/10.3389/fendo.2025.1665935")</f>
        <v>13251</v>
      </c>
      <c r="BL567" t="s" s="0">
        <v>82</v>
      </c>
      <c r="BM567" t="s" s="0">
        <v>82</v>
      </c>
      <c r="BN567" t="s" s="0">
        <v>115</v>
      </c>
      <c r="BO567" t="s" s="0">
        <v>697</v>
      </c>
      <c r="BP567" t="s" s="0">
        <v>697</v>
      </c>
      <c r="BQ567" t="s" s="0">
        <v>13252</v>
      </c>
      <c r="BR567" t="s" s="0">
        <v>13253</v>
      </c>
      <c r="BS567" t="s" s="0">
        <v>13254</v>
      </c>
      <c r="BT567" t="s" s="1128">
        <f>HYPERLINK("https://www.webofscience.com/wos/woscc/full-record/WOS:001627964200001","View Record in Web of Science")</f>
        <v>120</v>
      </c>
      <c r="BU567" t="s" s="0">
        <v>121</v>
      </c>
      <c r="BV567" t="s" s="0">
        <v>82</v>
      </c>
      <c r="BW567" t="s" s="0">
        <v>82</v>
      </c>
      <c r="BX567" t="s" s="0">
        <v>122</v>
      </c>
    </row>
    <row r="568">
      <c r="A568" t="s" s="0">
        <v>78</v>
      </c>
      <c r="B568" t="s" s="0">
        <v>78</v>
      </c>
      <c r="C568" t="s" s="0">
        <v>447</v>
      </c>
      <c r="D568" t="s" s="0">
        <v>77</v>
      </c>
      <c r="E568" t="s" s="0">
        <v>13255</v>
      </c>
      <c r="F568" t="s" s="0">
        <v>13256</v>
      </c>
      <c r="G568" t="s" s="0">
        <v>13257</v>
      </c>
      <c r="H568" t="s" s="0">
        <v>82</v>
      </c>
      <c r="I568" t="s" s="0">
        <v>297</v>
      </c>
      <c r="J568" t="s" s="0">
        <v>13258</v>
      </c>
      <c r="K568" t="s" s="0">
        <v>13259</v>
      </c>
      <c r="L568" t="s" s="0">
        <v>13260</v>
      </c>
      <c r="M568" t="s" s="0">
        <v>13260</v>
      </c>
      <c r="N568" t="s" s="0">
        <v>366</v>
      </c>
      <c r="O568" t="s" s="0">
        <v>13261</v>
      </c>
      <c r="P568" t="s" s="0">
        <v>13262</v>
      </c>
      <c r="Q568" t="s" s="0">
        <v>91</v>
      </c>
      <c r="R568" t="s" s="0">
        <v>82</v>
      </c>
      <c r="S568" t="s" s="0">
        <v>82</v>
      </c>
      <c r="T568" t="s" s="0">
        <v>82</v>
      </c>
      <c r="U568" t="s" s="0">
        <v>82</v>
      </c>
      <c r="V568" t="s" s="0">
        <v>13263</v>
      </c>
      <c r="W568" t="s" s="0">
        <v>486</v>
      </c>
      <c r="X568" t="s" s="0">
        <v>82</v>
      </c>
      <c r="Y568" t="s" s="0">
        <v>82</v>
      </c>
      <c r="Z568" t="s" s="0">
        <v>94</v>
      </c>
      <c r="AA568" t="s" s="0">
        <v>95</v>
      </c>
      <c r="AB568" t="s" s="0">
        <v>82</v>
      </c>
      <c r="AC568" t="s" s="0">
        <v>82</v>
      </c>
      <c r="AD568" t="s" s="0">
        <v>82</v>
      </c>
      <c r="AE568" t="s" s="0">
        <v>82</v>
      </c>
      <c r="AF568" t="s" s="0">
        <v>82</v>
      </c>
      <c r="AG568" t="s" s="0">
        <v>13264</v>
      </c>
      <c r="AH568" t="s" s="0">
        <v>13265</v>
      </c>
      <c r="AI568" t="s" s="0">
        <v>13266</v>
      </c>
      <c r="AJ568" t="s" s="0">
        <v>13267</v>
      </c>
      <c r="AK568" t="s" s="0">
        <v>82</v>
      </c>
      <c r="AL568" t="s" s="0">
        <v>1186</v>
      </c>
      <c r="AM568" t="s" s="0">
        <v>1186</v>
      </c>
      <c r="AN568" t="s" s="0">
        <v>890</v>
      </c>
      <c r="AO568" t="s" s="0">
        <v>78</v>
      </c>
      <c r="AP568" t="s" s="0">
        <v>78</v>
      </c>
      <c r="AQ568" t="s" s="0">
        <v>491</v>
      </c>
      <c r="AR568" t="s" s="0">
        <v>492</v>
      </c>
      <c r="AS568" t="s" s="0">
        <v>493</v>
      </c>
      <c r="AT568" t="s" s="0">
        <v>82</v>
      </c>
      <c r="AU568" t="s" s="0">
        <v>494</v>
      </c>
      <c r="AV568" t="s" s="0">
        <v>82</v>
      </c>
      <c r="AW568" t="s" s="0">
        <v>495</v>
      </c>
      <c r="AX568" t="s" s="0">
        <v>496</v>
      </c>
      <c r="AY568" t="s" s="0">
        <v>13268</v>
      </c>
      <c r="AZ568" t="s" s="0">
        <v>408</v>
      </c>
      <c r="BA568" t="s" s="0">
        <v>101</v>
      </c>
      <c r="BB568" t="s" s="0">
        <v>77</v>
      </c>
      <c r="BC568" t="s" s="0">
        <v>82</v>
      </c>
      <c r="BD568" t="s" s="0">
        <v>82</v>
      </c>
      <c r="BE568" t="s" s="0">
        <v>82</v>
      </c>
      <c r="BF568" t="s" s="0">
        <v>82</v>
      </c>
      <c r="BG568" t="s" s="0">
        <v>311</v>
      </c>
      <c r="BH568" t="s" s="0">
        <v>828</v>
      </c>
      <c r="BI568" t="s" s="0">
        <v>82</v>
      </c>
      <c r="BJ568" t="s" s="0">
        <v>13269</v>
      </c>
      <c r="BK568" t="s" s="1129">
        <f>HYPERLINK("http://dx.doi.org/10.1093/ehjdh/ztac001","http://dx.doi.org/10.1093/ehjdh/ztac001")</f>
        <v>13270</v>
      </c>
      <c r="BL568" t="s" s="0">
        <v>82</v>
      </c>
      <c r="BM568" t="s" s="0">
        <v>607</v>
      </c>
      <c r="BN568" t="s" s="0">
        <v>319</v>
      </c>
      <c r="BO568" t="s" s="0">
        <v>503</v>
      </c>
      <c r="BP568" t="s" s="0">
        <v>504</v>
      </c>
      <c r="BQ568" t="s" s="0">
        <v>13271</v>
      </c>
      <c r="BR568" t="s" s="0">
        <v>13272</v>
      </c>
      <c r="BS568" t="s" s="0">
        <v>13273</v>
      </c>
      <c r="BT568" t="s" s="1130">
        <f>HYPERLINK("https://www.webofscience.com/wos/woscc/full-record/WOS:001142566900002","View Record in Web of Science")</f>
        <v>120</v>
      </c>
      <c r="BU568" t="s" s="0">
        <v>121</v>
      </c>
      <c r="BV568" t="s" s="0">
        <v>82</v>
      </c>
      <c r="BW568" t="s" s="0">
        <v>82</v>
      </c>
      <c r="BX568" t="s" s="0">
        <v>122</v>
      </c>
    </row>
    <row r="569">
      <c r="A569" t="s" s="0">
        <v>78</v>
      </c>
      <c r="B569" t="s" s="0">
        <v>78</v>
      </c>
      <c r="C569" t="s" s="0">
        <v>78</v>
      </c>
      <c r="D569" t="s" s="0">
        <v>78</v>
      </c>
      <c r="E569" t="s" s="0">
        <v>13274</v>
      </c>
      <c r="F569" t="s" s="0">
        <v>13275</v>
      </c>
      <c r="G569" t="s" s="0">
        <v>13276</v>
      </c>
      <c r="H569" t="s" s="0">
        <v>82</v>
      </c>
      <c r="I569" t="s" s="0">
        <v>83</v>
      </c>
      <c r="J569" t="s" s="0">
        <v>13277</v>
      </c>
      <c r="K569" t="s" s="0">
        <v>13278</v>
      </c>
      <c r="L569" t="s" s="0">
        <v>13279</v>
      </c>
      <c r="M569" t="s" s="0">
        <v>13280</v>
      </c>
      <c r="N569" t="s" s="0">
        <v>13281</v>
      </c>
      <c r="O569" t="s" s="0">
        <v>13282</v>
      </c>
      <c r="P569" t="s" s="0">
        <v>13283</v>
      </c>
      <c r="Q569" t="s" s="0">
        <v>91</v>
      </c>
      <c r="R569" t="s" s="0">
        <v>82</v>
      </c>
      <c r="S569" t="s" s="0">
        <v>82</v>
      </c>
      <c r="T569" t="s" s="0">
        <v>82</v>
      </c>
      <c r="U569" t="s" s="0">
        <v>82</v>
      </c>
      <c r="V569" t="s" s="0">
        <v>13284</v>
      </c>
      <c r="W569" t="s" s="0">
        <v>13285</v>
      </c>
      <c r="X569" t="s" s="0">
        <v>82</v>
      </c>
      <c r="Y569" t="s" s="0">
        <v>82</v>
      </c>
      <c r="Z569" t="s" s="0">
        <v>94</v>
      </c>
      <c r="AA569" t="s" s="0">
        <v>95</v>
      </c>
      <c r="AB569" t="s" s="0">
        <v>82</v>
      </c>
      <c r="AC569" t="s" s="0">
        <v>82</v>
      </c>
      <c r="AD569" t="s" s="0">
        <v>82</v>
      </c>
      <c r="AE569" t="s" s="0">
        <v>82</v>
      </c>
      <c r="AF569" t="s" s="0">
        <v>82</v>
      </c>
      <c r="AG569" t="s" s="0">
        <v>13286</v>
      </c>
      <c r="AH569" t="s" s="0">
        <v>13287</v>
      </c>
      <c r="AI569" t="s" s="0">
        <v>13288</v>
      </c>
      <c r="AJ569" t="s" s="0">
        <v>13289</v>
      </c>
      <c r="AK569" t="s" s="0">
        <v>82</v>
      </c>
      <c r="AL569" t="s" s="0">
        <v>201</v>
      </c>
      <c r="AM569" t="s" s="0">
        <v>447</v>
      </c>
      <c r="AN569" t="s" s="0">
        <v>447</v>
      </c>
      <c r="AO569" t="s" s="0">
        <v>78</v>
      </c>
      <c r="AP569" t="s" s="0">
        <v>78</v>
      </c>
      <c r="AQ569" t="s" s="0">
        <v>8277</v>
      </c>
      <c r="AR569" t="s" s="0">
        <v>833</v>
      </c>
      <c r="AS569" t="s" s="0">
        <v>8278</v>
      </c>
      <c r="AT569" t="s" s="0">
        <v>13290</v>
      </c>
      <c r="AU569" t="s" s="0">
        <v>13291</v>
      </c>
      <c r="AV569" t="s" s="0">
        <v>82</v>
      </c>
      <c r="AW569" t="s" s="0">
        <v>13292</v>
      </c>
      <c r="AX569" t="s" s="0">
        <v>13293</v>
      </c>
      <c r="AY569" t="s" s="0">
        <v>2217</v>
      </c>
      <c r="AZ569" t="s" s="0">
        <v>110</v>
      </c>
      <c r="BA569" t="s" s="0">
        <v>1162</v>
      </c>
      <c r="BB569" t="s" s="0">
        <v>149</v>
      </c>
      <c r="BC569" t="s" s="0">
        <v>82</v>
      </c>
      <c r="BD569" t="s" s="0">
        <v>82</v>
      </c>
      <c r="BE569" t="s" s="0">
        <v>82</v>
      </c>
      <c r="BF569" t="s" s="0">
        <v>82</v>
      </c>
      <c r="BG569" t="s" s="0">
        <v>82</v>
      </c>
      <c r="BH569" t="s" s="0">
        <v>82</v>
      </c>
      <c r="BI569" t="s" s="0">
        <v>13294</v>
      </c>
      <c r="BJ569" t="s" s="0">
        <v>13295</v>
      </c>
      <c r="BK569" t="s" s="1131">
        <f>HYPERLINK("http://dx.doi.org/10.1016/j.jpedsurg.2024.161883","http://dx.doi.org/10.1016/j.jpedsurg.2024.161883")</f>
        <v>13296</v>
      </c>
      <c r="BL569" t="s" s="0">
        <v>82</v>
      </c>
      <c r="BM569" t="s" s="0">
        <v>1457</v>
      </c>
      <c r="BN569" t="s" s="0">
        <v>319</v>
      </c>
      <c r="BO569" t="s" s="0">
        <v>13297</v>
      </c>
      <c r="BP569" t="s" s="0">
        <v>13297</v>
      </c>
      <c r="BQ569" t="s" s="0">
        <v>13298</v>
      </c>
      <c r="BR569" t="s" s="0">
        <v>13299</v>
      </c>
      <c r="BS569" t="s" s="0">
        <v>13300</v>
      </c>
      <c r="BT569" t="s" s="1132">
        <f>HYPERLINK("https://www.webofscience.com/wos/woscc/full-record/WOS:001359910400001","View Record in Web of Science")</f>
        <v>120</v>
      </c>
      <c r="BU569" t="s" s="0">
        <v>846</v>
      </c>
      <c r="BV569" t="s" s="0">
        <v>82</v>
      </c>
      <c r="BW569" t="s" s="0">
        <v>82</v>
      </c>
      <c r="BX569" t="s" s="0">
        <v>122</v>
      </c>
    </row>
    <row r="570">
      <c r="A570" t="s" s="0">
        <v>101</v>
      </c>
      <c r="B570" t="s" s="0">
        <v>78</v>
      </c>
      <c r="C570" t="s" s="0">
        <v>102</v>
      </c>
      <c r="D570" t="s" s="0">
        <v>78</v>
      </c>
      <c r="E570" t="s" s="0">
        <v>13301</v>
      </c>
      <c r="F570" t="s" s="0">
        <v>13302</v>
      </c>
      <c r="G570" t="s" s="0">
        <v>13303</v>
      </c>
      <c r="H570" t="s" s="0">
        <v>82</v>
      </c>
      <c r="I570" t="s" s="0">
        <v>83</v>
      </c>
      <c r="J570" t="s" s="0">
        <v>13304</v>
      </c>
      <c r="K570" t="s" s="0">
        <v>13305</v>
      </c>
      <c r="L570" t="s" s="0">
        <v>13306</v>
      </c>
      <c r="M570" t="s" s="0">
        <v>13307</v>
      </c>
      <c r="N570" t="s" s="0">
        <v>13308</v>
      </c>
      <c r="O570" t="s" s="0">
        <v>13309</v>
      </c>
      <c r="P570" t="s" s="0">
        <v>13310</v>
      </c>
      <c r="Q570" t="s" s="0">
        <v>91</v>
      </c>
      <c r="R570" t="s" s="0">
        <v>82</v>
      </c>
      <c r="S570" t="s" s="0">
        <v>82</v>
      </c>
      <c r="T570" t="s" s="0">
        <v>82</v>
      </c>
      <c r="U570" t="s" s="0">
        <v>82</v>
      </c>
      <c r="V570" t="s" s="0">
        <v>13311</v>
      </c>
      <c r="W570" t="s" s="0">
        <v>2825</v>
      </c>
      <c r="X570" t="s" s="0">
        <v>82</v>
      </c>
      <c r="Y570" t="s" s="0">
        <v>82</v>
      </c>
      <c r="Z570" t="s" s="0">
        <v>94</v>
      </c>
      <c r="AA570" t="s" s="0">
        <v>95</v>
      </c>
      <c r="AB570" t="s" s="0">
        <v>82</v>
      </c>
      <c r="AC570" t="s" s="0">
        <v>82</v>
      </c>
      <c r="AD570" t="s" s="0">
        <v>82</v>
      </c>
      <c r="AE570" t="s" s="0">
        <v>82</v>
      </c>
      <c r="AF570" t="s" s="0">
        <v>82</v>
      </c>
      <c r="AG570" t="s" s="0">
        <v>13312</v>
      </c>
      <c r="AH570" t="s" s="0">
        <v>13313</v>
      </c>
      <c r="AI570" t="s" s="0">
        <v>13314</v>
      </c>
      <c r="AJ570" t="s" s="0">
        <v>13315</v>
      </c>
      <c r="AK570" t="s" s="0">
        <v>82</v>
      </c>
      <c r="AL570" t="s" s="0">
        <v>775</v>
      </c>
      <c r="AM570" t="s" s="0">
        <v>148</v>
      </c>
      <c r="AN570" t="s" s="0">
        <v>548</v>
      </c>
      <c r="AO570" t="s" s="0">
        <v>78</v>
      </c>
      <c r="AP570" t="s" s="0">
        <v>154</v>
      </c>
      <c r="AQ570" t="s" s="0">
        <v>400</v>
      </c>
      <c r="AR570" t="s" s="0">
        <v>401</v>
      </c>
      <c r="AS570" t="s" s="0">
        <v>402</v>
      </c>
      <c r="AT570" t="s" s="0">
        <v>2829</v>
      </c>
      <c r="AU570" t="s" s="0">
        <v>2830</v>
      </c>
      <c r="AV570" t="s" s="0">
        <v>82</v>
      </c>
      <c r="AW570" t="s" s="0">
        <v>2831</v>
      </c>
      <c r="AX570" t="s" s="0">
        <v>2832</v>
      </c>
      <c r="AY570" t="s" s="0">
        <v>4076</v>
      </c>
      <c r="AZ570" t="s" s="0">
        <v>210</v>
      </c>
      <c r="BA570" t="s" s="0">
        <v>2991</v>
      </c>
      <c r="BB570" t="s" s="0">
        <v>82</v>
      </c>
      <c r="BC570" t="s" s="0">
        <v>82</v>
      </c>
      <c r="BD570" t="s" s="0">
        <v>82</v>
      </c>
      <c r="BE570" t="s" s="0">
        <v>82</v>
      </c>
      <c r="BF570" t="s" s="0">
        <v>82</v>
      </c>
      <c r="BG570" t="s" s="0">
        <v>82</v>
      </c>
      <c r="BH570" t="s" s="0">
        <v>82</v>
      </c>
      <c r="BI570" t="s" s="0">
        <v>13316</v>
      </c>
      <c r="BJ570" t="s" s="0">
        <v>13317</v>
      </c>
      <c r="BK570" t="s" s="1133">
        <f>HYPERLINK("http://dx.doi.org/10.1016/j.cmpb.2023.107708","http://dx.doi.org/10.1016/j.cmpb.2023.107708")</f>
        <v>13318</v>
      </c>
      <c r="BL570" t="s" s="0">
        <v>82</v>
      </c>
      <c r="BM570" t="s" s="0">
        <v>810</v>
      </c>
      <c r="BN570" t="s" s="0">
        <v>149</v>
      </c>
      <c r="BO570" t="s" s="0">
        <v>2838</v>
      </c>
      <c r="BP570" t="s" s="0">
        <v>2839</v>
      </c>
      <c r="BQ570" t="s" s="0">
        <v>13319</v>
      </c>
      <c r="BR570" t="s" s="0">
        <v>13320</v>
      </c>
      <c r="BS570" t="s" s="0">
        <v>13321</v>
      </c>
      <c r="BT570" t="s" s="1134">
        <f>HYPERLINK("https://www.webofscience.com/wos/woscc/full-record/WOS:001044455700001","View Record in Web of Science")</f>
        <v>120</v>
      </c>
      <c r="BU570" t="s" s="0">
        <v>159</v>
      </c>
      <c r="BV570" t="s" s="0">
        <v>82</v>
      </c>
      <c r="BW570" t="s" s="0">
        <v>82</v>
      </c>
      <c r="BX570" t="s" s="0">
        <v>122</v>
      </c>
    </row>
    <row r="571">
      <c r="A571" t="s" s="0">
        <v>78</v>
      </c>
      <c r="B571" t="s" s="0">
        <v>78</v>
      </c>
      <c r="C571" t="s" s="0">
        <v>78</v>
      </c>
      <c r="D571" t="s" s="0">
        <v>78</v>
      </c>
      <c r="E571" t="s" s="0">
        <v>13322</v>
      </c>
      <c r="F571" t="s" s="0">
        <v>13323</v>
      </c>
      <c r="G571" t="s" s="0">
        <v>13324</v>
      </c>
      <c r="H571" t="s" s="0">
        <v>82</v>
      </c>
      <c r="I571" t="s" s="0">
        <v>83</v>
      </c>
      <c r="J571" t="s" s="0">
        <v>13325</v>
      </c>
      <c r="K571" t="s" s="0">
        <v>13326</v>
      </c>
      <c r="L571" t="s" s="0">
        <v>13327</v>
      </c>
      <c r="M571" t="s" s="0">
        <v>13328</v>
      </c>
      <c r="N571" t="s" s="0">
        <v>13329</v>
      </c>
      <c r="O571" t="s" s="0">
        <v>13330</v>
      </c>
      <c r="P571" t="s" s="0">
        <v>13331</v>
      </c>
      <c r="Q571" t="s" s="0">
        <v>91</v>
      </c>
      <c r="R571" t="s" s="0">
        <v>82</v>
      </c>
      <c r="S571" t="s" s="0">
        <v>82</v>
      </c>
      <c r="T571" t="s" s="0">
        <v>82</v>
      </c>
      <c r="U571" t="s" s="0">
        <v>82</v>
      </c>
      <c r="V571" t="s" s="0">
        <v>13332</v>
      </c>
      <c r="W571" t="s" s="0">
        <v>13333</v>
      </c>
      <c r="X571" t="s" s="0">
        <v>82</v>
      </c>
      <c r="Y571" t="s" s="0">
        <v>82</v>
      </c>
      <c r="Z571" t="s" s="0">
        <v>94</v>
      </c>
      <c r="AA571" t="s" s="0">
        <v>95</v>
      </c>
      <c r="AB571" t="s" s="0">
        <v>82</v>
      </c>
      <c r="AC571" t="s" s="0">
        <v>82</v>
      </c>
      <c r="AD571" t="s" s="0">
        <v>82</v>
      </c>
      <c r="AE571" t="s" s="0">
        <v>82</v>
      </c>
      <c r="AF571" t="s" s="0">
        <v>82</v>
      </c>
      <c r="AG571" t="s" s="0">
        <v>13334</v>
      </c>
      <c r="AH571" t="s" s="0">
        <v>13335</v>
      </c>
      <c r="AI571" t="s" s="0">
        <v>82</v>
      </c>
      <c r="AJ571" t="s" s="0">
        <v>82</v>
      </c>
      <c r="AK571" t="s" s="0">
        <v>82</v>
      </c>
      <c r="AL571" t="s" s="0">
        <v>864</v>
      </c>
      <c r="AM571" t="s" s="0">
        <v>77</v>
      </c>
      <c r="AN571" t="s" s="0">
        <v>77</v>
      </c>
      <c r="AO571" t="s" s="0">
        <v>77</v>
      </c>
      <c r="AP571" t="s" s="0">
        <v>102</v>
      </c>
      <c r="AQ571" t="s" s="0">
        <v>103</v>
      </c>
      <c r="AR571" t="s" s="0">
        <v>104</v>
      </c>
      <c r="AS571" t="s" s="0">
        <v>105</v>
      </c>
      <c r="AT571" t="s" s="0">
        <v>82</v>
      </c>
      <c r="AU571" t="s" s="0">
        <v>13336</v>
      </c>
      <c r="AV571" t="s" s="0">
        <v>82</v>
      </c>
      <c r="AW571" t="s" s="0">
        <v>13337</v>
      </c>
      <c r="AX571" t="s" s="0">
        <v>13338</v>
      </c>
      <c r="AY571" t="s" s="0">
        <v>11241</v>
      </c>
      <c r="AZ571" t="s" s="0">
        <v>147</v>
      </c>
      <c r="BA571" t="s" s="0">
        <v>111</v>
      </c>
      <c r="BB571" t="s" s="0">
        <v>77</v>
      </c>
      <c r="BC571" t="s" s="0">
        <v>82</v>
      </c>
      <c r="BD571" t="s" s="0">
        <v>82</v>
      </c>
      <c r="BE571" t="s" s="0">
        <v>82</v>
      </c>
      <c r="BF571" t="s" s="0">
        <v>82</v>
      </c>
      <c r="BG571" t="s" s="0">
        <v>82</v>
      </c>
      <c r="BH571" t="s" s="0">
        <v>82</v>
      </c>
      <c r="BI571" t="s" s="0">
        <v>3906</v>
      </c>
      <c r="BJ571" t="s" s="0">
        <v>13339</v>
      </c>
      <c r="BK571" t="s" s="1135">
        <f>HYPERLINK("http://dx.doi.org/10.1186/s12884-025-08500-4","http://dx.doi.org/10.1186/s12884-025-08500-4")</f>
        <v>13340</v>
      </c>
      <c r="BL571" t="s" s="0">
        <v>82</v>
      </c>
      <c r="BM571" t="s" s="0">
        <v>82</v>
      </c>
      <c r="BN571" t="s" s="0">
        <v>349</v>
      </c>
      <c r="BO571" t="s" s="0">
        <v>1343</v>
      </c>
      <c r="BP571" t="s" s="0">
        <v>1343</v>
      </c>
      <c r="BQ571" t="s" s="0">
        <v>13341</v>
      </c>
      <c r="BR571" t="s" s="0">
        <v>13342</v>
      </c>
      <c r="BS571" t="s" s="0">
        <v>13343</v>
      </c>
      <c r="BT571" t="s" s="1136">
        <f>HYPERLINK("https://www.webofscience.com/wos/woscc/full-record/WOS:001651125400011","View Record in Web of Science")</f>
        <v>120</v>
      </c>
      <c r="BU571" t="s" s="0">
        <v>121</v>
      </c>
      <c r="BV571" t="s" s="0">
        <v>82</v>
      </c>
      <c r="BW571" t="s" s="0">
        <v>82</v>
      </c>
      <c r="BX571" t="s" s="0">
        <v>122</v>
      </c>
    </row>
    <row r="572">
      <c r="A572" t="s" s="0">
        <v>78</v>
      </c>
      <c r="B572" t="s" s="0">
        <v>78</v>
      </c>
      <c r="C572" t="s" s="0">
        <v>77</v>
      </c>
      <c r="D572" t="s" s="0">
        <v>78</v>
      </c>
      <c r="E572" t="s" s="0">
        <v>13344</v>
      </c>
      <c r="F572" t="s" s="0">
        <v>13345</v>
      </c>
      <c r="G572" t="s" s="0">
        <v>13346</v>
      </c>
      <c r="H572" t="s" s="0">
        <v>82</v>
      </c>
      <c r="I572" t="s" s="0">
        <v>83</v>
      </c>
      <c r="J572" t="s" s="0">
        <v>13347</v>
      </c>
      <c r="K572" t="s" s="0">
        <v>13348</v>
      </c>
      <c r="L572" t="s" s="0">
        <v>13349</v>
      </c>
      <c r="M572" t="s" s="0">
        <v>13350</v>
      </c>
      <c r="N572" t="s" s="0">
        <v>13351</v>
      </c>
      <c r="O572" t="s" s="0">
        <v>13352</v>
      </c>
      <c r="P572" t="s" s="0">
        <v>13353</v>
      </c>
      <c r="Q572" t="s" s="0">
        <v>91</v>
      </c>
      <c r="R572" t="s" s="0">
        <v>82</v>
      </c>
      <c r="S572" t="s" s="0">
        <v>82</v>
      </c>
      <c r="T572" t="s" s="0">
        <v>82</v>
      </c>
      <c r="U572" t="s" s="0">
        <v>82</v>
      </c>
      <c r="V572" t="s" s="0">
        <v>13354</v>
      </c>
      <c r="W572" t="s" s="0">
        <v>13355</v>
      </c>
      <c r="X572" t="s" s="0">
        <v>82</v>
      </c>
      <c r="Y572" t="s" s="0">
        <v>82</v>
      </c>
      <c r="Z572" t="s" s="0">
        <v>94</v>
      </c>
      <c r="AA572" t="s" s="0">
        <v>95</v>
      </c>
      <c r="AB572" t="s" s="0">
        <v>82</v>
      </c>
      <c r="AC572" t="s" s="0">
        <v>82</v>
      </c>
      <c r="AD572" t="s" s="0">
        <v>82</v>
      </c>
      <c r="AE572" t="s" s="0">
        <v>82</v>
      </c>
      <c r="AF572" t="s" s="0">
        <v>82</v>
      </c>
      <c r="AG572" t="s" s="0">
        <v>82</v>
      </c>
      <c r="AH572" t="s" s="0">
        <v>13356</v>
      </c>
      <c r="AI572" t="s" s="0">
        <v>13357</v>
      </c>
      <c r="AJ572" t="s" s="0">
        <v>13358</v>
      </c>
      <c r="AK572" t="s" s="0">
        <v>82</v>
      </c>
      <c r="AL572" t="s" s="0">
        <v>1502</v>
      </c>
      <c r="AM572" t="s" s="0">
        <v>136</v>
      </c>
      <c r="AN572" t="s" s="0">
        <v>319</v>
      </c>
      <c r="AO572" t="s" s="0">
        <v>101</v>
      </c>
      <c r="AP572" t="s" s="0">
        <v>375</v>
      </c>
      <c r="AQ572" t="s" s="0">
        <v>832</v>
      </c>
      <c r="AR572" t="s" s="0">
        <v>833</v>
      </c>
      <c r="AS572" t="s" s="0">
        <v>834</v>
      </c>
      <c r="AT572" t="s" s="0">
        <v>13359</v>
      </c>
      <c r="AU572" t="s" s="0">
        <v>13360</v>
      </c>
      <c r="AV572" t="s" s="0">
        <v>82</v>
      </c>
      <c r="AW572" t="s" s="0">
        <v>13361</v>
      </c>
      <c r="AX572" t="s" s="0">
        <v>13362</v>
      </c>
      <c r="AY572" t="s" s="0">
        <v>13363</v>
      </c>
      <c r="AZ572" t="s" s="0">
        <v>147</v>
      </c>
      <c r="BA572" t="s" s="0">
        <v>1526</v>
      </c>
      <c r="BB572" t="s" s="0">
        <v>149</v>
      </c>
      <c r="BC572" t="s" s="0">
        <v>82</v>
      </c>
      <c r="BD572" t="s" s="0">
        <v>82</v>
      </c>
      <c r="BE572" t="s" s="0">
        <v>82</v>
      </c>
      <c r="BF572" t="s" s="0">
        <v>82</v>
      </c>
      <c r="BG572" t="s" s="0">
        <v>82</v>
      </c>
      <c r="BH572" t="s" s="0">
        <v>82</v>
      </c>
      <c r="BI572" t="s" s="0">
        <v>82</v>
      </c>
      <c r="BJ572" t="s" s="0">
        <v>13364</v>
      </c>
      <c r="BK572" t="s" s="1137">
        <f>HYPERLINK("http://dx.doi.org/10.1200/JCO.24.00117","http://dx.doi.org/10.1200/JCO.24.00117")</f>
        <v>13365</v>
      </c>
      <c r="BL572" t="s" s="0">
        <v>82</v>
      </c>
      <c r="BM572" t="s" s="0">
        <v>82</v>
      </c>
      <c r="BN572" t="s" s="0">
        <v>115</v>
      </c>
      <c r="BO572" t="s" s="0">
        <v>4833</v>
      </c>
      <c r="BP572" t="s" s="0">
        <v>4833</v>
      </c>
      <c r="BQ572" t="s" s="0">
        <v>13366</v>
      </c>
      <c r="BR572" t="s" s="0">
        <v>13367</v>
      </c>
      <c r="BS572" t="s" s="0">
        <v>13368</v>
      </c>
      <c r="BT572" t="s" s="1138">
        <f>HYPERLINK("https://www.webofscience.com/wos/woscc/full-record/WOS:001468556400005","View Record in Web of Science")</f>
        <v>120</v>
      </c>
      <c r="BU572" t="s" s="0">
        <v>82</v>
      </c>
      <c r="BV572" t="s" s="0">
        <v>82</v>
      </c>
      <c r="BW572" t="s" s="0">
        <v>82</v>
      </c>
      <c r="BX572" t="s" s="0">
        <v>122</v>
      </c>
    </row>
    <row r="573">
      <c r="A573" t="s" s="0">
        <v>78</v>
      </c>
      <c r="B573" t="s" s="0">
        <v>78</v>
      </c>
      <c r="C573" t="s" s="0">
        <v>78</v>
      </c>
      <c r="D573" t="s" s="0">
        <v>78</v>
      </c>
      <c r="E573" t="s" s="0">
        <v>13369</v>
      </c>
      <c r="F573" t="s" s="0">
        <v>13370</v>
      </c>
      <c r="G573" t="s" s="0">
        <v>13371</v>
      </c>
      <c r="H573" t="s" s="0">
        <v>82</v>
      </c>
      <c r="I573" t="s" s="0">
        <v>83</v>
      </c>
      <c r="J573" t="s" s="0">
        <v>13372</v>
      </c>
      <c r="K573" t="s" s="0">
        <v>13373</v>
      </c>
      <c r="L573" t="s" s="0">
        <v>13374</v>
      </c>
      <c r="M573" t="s" s="0">
        <v>13375</v>
      </c>
      <c r="N573" t="s" s="0">
        <v>13376</v>
      </c>
      <c r="O573" t="s" s="0">
        <v>13377</v>
      </c>
      <c r="P573" t="s" s="0">
        <v>13378</v>
      </c>
      <c r="Q573" t="s" s="0">
        <v>91</v>
      </c>
      <c r="R573" t="s" s="0">
        <v>82</v>
      </c>
      <c r="S573" t="s" s="0">
        <v>82</v>
      </c>
      <c r="T573" t="s" s="0">
        <v>82</v>
      </c>
      <c r="U573" t="s" s="0">
        <v>82</v>
      </c>
      <c r="V573" t="s" s="0">
        <v>13379</v>
      </c>
      <c r="W573" t="s" s="0">
        <v>13380</v>
      </c>
      <c r="X573" t="s" s="0">
        <v>82</v>
      </c>
      <c r="Y573" t="s" s="0">
        <v>82</v>
      </c>
      <c r="Z573" t="s" s="0">
        <v>94</v>
      </c>
      <c r="AA573" t="s" s="0">
        <v>95</v>
      </c>
      <c r="AB573" t="s" s="0">
        <v>82</v>
      </c>
      <c r="AC573" t="s" s="0">
        <v>82</v>
      </c>
      <c r="AD573" t="s" s="0">
        <v>82</v>
      </c>
      <c r="AE573" t="s" s="0">
        <v>82</v>
      </c>
      <c r="AF573" t="s" s="0">
        <v>82</v>
      </c>
      <c r="AG573" t="s" s="0">
        <v>13381</v>
      </c>
      <c r="AH573" t="s" s="0">
        <v>13382</v>
      </c>
      <c r="AI573" t="s" s="0">
        <v>13383</v>
      </c>
      <c r="AJ573" t="s" s="0">
        <v>13384</v>
      </c>
      <c r="AK573" t="s" s="0">
        <v>82</v>
      </c>
      <c r="AL573" t="s" s="0">
        <v>1526</v>
      </c>
      <c r="AM573" t="s" s="0">
        <v>136</v>
      </c>
      <c r="AN573" t="s" s="0">
        <v>319</v>
      </c>
      <c r="AO573" t="s" s="0">
        <v>78</v>
      </c>
      <c r="AP573" t="s" s="0">
        <v>77</v>
      </c>
      <c r="AQ573" t="s" s="0">
        <v>13385</v>
      </c>
      <c r="AR573" t="s" s="0">
        <v>13386</v>
      </c>
      <c r="AS573" t="s" s="0">
        <v>13387</v>
      </c>
      <c r="AT573" t="s" s="0">
        <v>13388</v>
      </c>
      <c r="AU573" t="s" s="0">
        <v>13389</v>
      </c>
      <c r="AV573" t="s" s="0">
        <v>82</v>
      </c>
      <c r="AW573" t="s" s="0">
        <v>13390</v>
      </c>
      <c r="AX573" t="s" s="0">
        <v>13391</v>
      </c>
      <c r="AY573" t="s" s="0">
        <v>6067</v>
      </c>
      <c r="AZ573" t="s" s="0">
        <v>210</v>
      </c>
      <c r="BA573" t="s" s="0">
        <v>201</v>
      </c>
      <c r="BB573" t="s" s="0">
        <v>447</v>
      </c>
      <c r="BC573" t="s" s="0">
        <v>82</v>
      </c>
      <c r="BD573" t="s" s="0">
        <v>82</v>
      </c>
      <c r="BE573" t="s" s="0">
        <v>82</v>
      </c>
      <c r="BF573" t="s" s="0">
        <v>82</v>
      </c>
      <c r="BG573" t="s" s="0">
        <v>4663</v>
      </c>
      <c r="BH573" t="s" s="0">
        <v>13392</v>
      </c>
      <c r="BI573" t="s" s="0">
        <v>82</v>
      </c>
      <c r="BJ573" t="s" s="0">
        <v>13393</v>
      </c>
      <c r="BK573" t="s" s="1139">
        <f>HYPERLINK("http://dx.doi.org/10.1007/s12028-022-01610-3","http://dx.doi.org/10.1007/s12028-022-01610-3")</f>
        <v>13394</v>
      </c>
      <c r="BL573" t="s" s="0">
        <v>82</v>
      </c>
      <c r="BM573" t="s" s="0">
        <v>10304</v>
      </c>
      <c r="BN573" t="s" s="0">
        <v>319</v>
      </c>
      <c r="BO573" t="s" s="0">
        <v>13395</v>
      </c>
      <c r="BP573" t="s" s="0">
        <v>10835</v>
      </c>
      <c r="BQ573" t="s" s="0">
        <v>13396</v>
      </c>
      <c r="BR573" t="s" s="0">
        <v>13397</v>
      </c>
      <c r="BS573" t="s" s="0">
        <v>13398</v>
      </c>
      <c r="BT573" t="s" s="1140">
        <f>HYPERLINK("https://www.webofscience.com/wos/woscc/full-record/WOS:000867530500003","View Record in Web of Science")</f>
        <v>120</v>
      </c>
      <c r="BU573" t="s" s="0">
        <v>1265</v>
      </c>
      <c r="BV573" t="s" s="0">
        <v>82</v>
      </c>
      <c r="BW573" t="s" s="0">
        <v>82</v>
      </c>
      <c r="BX573" t="s" s="0">
        <v>122</v>
      </c>
    </row>
    <row r="574">
      <c r="A574" t="s" s="0">
        <v>447</v>
      </c>
      <c r="B574" t="s" s="0">
        <v>78</v>
      </c>
      <c r="C574" t="s" s="0">
        <v>349</v>
      </c>
      <c r="D574" t="s" s="0">
        <v>77</v>
      </c>
      <c r="E574" t="s" s="0">
        <v>13399</v>
      </c>
      <c r="F574" t="s" s="0">
        <v>13400</v>
      </c>
      <c r="G574" t="s" s="0">
        <v>13401</v>
      </c>
      <c r="H574" t="s" s="0">
        <v>82</v>
      </c>
      <c r="I574" t="s" s="0">
        <v>83</v>
      </c>
      <c r="J574" t="s" s="0">
        <v>13402</v>
      </c>
      <c r="K574" t="s" s="0">
        <v>13403</v>
      </c>
      <c r="L574" t="s" s="0">
        <v>13404</v>
      </c>
      <c r="M574" t="s" s="0">
        <v>13405</v>
      </c>
      <c r="N574" t="s" s="0">
        <v>13406</v>
      </c>
      <c r="O574" t="s" s="0">
        <v>13407</v>
      </c>
      <c r="P574" t="s" s="0">
        <v>13408</v>
      </c>
      <c r="Q574" t="s" s="0">
        <v>91</v>
      </c>
      <c r="R574" t="s" s="0">
        <v>82</v>
      </c>
      <c r="S574" t="s" s="0">
        <v>82</v>
      </c>
      <c r="T574" t="s" s="0">
        <v>82</v>
      </c>
      <c r="U574" t="s" s="0">
        <v>82</v>
      </c>
      <c r="V574" t="s" s="0">
        <v>13409</v>
      </c>
      <c r="W574" t="s" s="0">
        <v>4358</v>
      </c>
      <c r="X574" t="s" s="0">
        <v>82</v>
      </c>
      <c r="Y574" t="s" s="0">
        <v>82</v>
      </c>
      <c r="Z574" t="s" s="0">
        <v>94</v>
      </c>
      <c r="AA574" t="s" s="0">
        <v>95</v>
      </c>
      <c r="AB574" t="s" s="0">
        <v>82</v>
      </c>
      <c r="AC574" t="s" s="0">
        <v>82</v>
      </c>
      <c r="AD574" t="s" s="0">
        <v>82</v>
      </c>
      <c r="AE574" t="s" s="0">
        <v>82</v>
      </c>
      <c r="AF574" t="s" s="0">
        <v>82</v>
      </c>
      <c r="AG574" t="s" s="0">
        <v>13410</v>
      </c>
      <c r="AH574" t="s" s="0">
        <v>1334</v>
      </c>
      <c r="AI574" t="s" s="0">
        <v>13411</v>
      </c>
      <c r="AJ574" t="s" s="0">
        <v>13412</v>
      </c>
      <c r="AK574" t="s" s="0">
        <v>82</v>
      </c>
      <c r="AL574" t="s" s="0">
        <v>1162</v>
      </c>
      <c r="AM574" t="s" s="0">
        <v>829</v>
      </c>
      <c r="AN574" t="s" s="0">
        <v>276</v>
      </c>
      <c r="AO574" t="s" s="0">
        <v>447</v>
      </c>
      <c r="AP574" t="s" s="0">
        <v>1780</v>
      </c>
      <c r="AQ574" t="s" s="0">
        <v>1710</v>
      </c>
      <c r="AR574" t="s" s="0">
        <v>1711</v>
      </c>
      <c r="AS574" t="s" s="0">
        <v>1712</v>
      </c>
      <c r="AT574" t="s" s="0">
        <v>4363</v>
      </c>
      <c r="AU574" t="s" s="0">
        <v>82</v>
      </c>
      <c r="AV574" t="s" s="0">
        <v>82</v>
      </c>
      <c r="AW574" t="s" s="0">
        <v>4364</v>
      </c>
      <c r="AX574" t="s" s="0">
        <v>4365</v>
      </c>
      <c r="AY574" t="s" s="0">
        <v>13413</v>
      </c>
      <c r="AZ574" t="s" s="0">
        <v>408</v>
      </c>
      <c r="BA574" t="s" s="0">
        <v>1161</v>
      </c>
      <c r="BB574" t="s" s="0">
        <v>136</v>
      </c>
      <c r="BC574" t="s" s="0">
        <v>82</v>
      </c>
      <c r="BD574" t="s" s="0">
        <v>82</v>
      </c>
      <c r="BE574" t="s" s="0">
        <v>82</v>
      </c>
      <c r="BF574" t="s" s="0">
        <v>82</v>
      </c>
      <c r="BG574" t="s" s="0">
        <v>82</v>
      </c>
      <c r="BH574" t="s" s="0">
        <v>82</v>
      </c>
      <c r="BI574" t="s" s="0">
        <v>13414</v>
      </c>
      <c r="BJ574" t="s" s="0">
        <v>13415</v>
      </c>
      <c r="BK574" t="s" s="1141">
        <f>HYPERLINK("http://dx.doi.org/10.2196/37850","http://dx.doi.org/10.2196/37850")</f>
        <v>13416</v>
      </c>
      <c r="BL574" t="s" s="0">
        <v>82</v>
      </c>
      <c r="BM574" t="s" s="0">
        <v>82</v>
      </c>
      <c r="BN574" t="s" s="0">
        <v>149</v>
      </c>
      <c r="BO574" t="s" s="0">
        <v>785</v>
      </c>
      <c r="BP574" t="s" s="0">
        <v>785</v>
      </c>
      <c r="BQ574" t="s" s="0">
        <v>13417</v>
      </c>
      <c r="BR574" t="s" s="0">
        <v>13418</v>
      </c>
      <c r="BS574" t="s" s="0">
        <v>13419</v>
      </c>
      <c r="BT574" t="s" s="1142">
        <f>HYPERLINK("https://www.webofscience.com/wos/woscc/full-record/WOS:000862887700022","View Record in Web of Science")</f>
        <v>120</v>
      </c>
      <c r="BU574" t="s" s="0">
        <v>121</v>
      </c>
      <c r="BV574" t="s" s="0">
        <v>82</v>
      </c>
      <c r="BW574" t="s" s="0">
        <v>82</v>
      </c>
      <c r="BX574" t="s" s="0">
        <v>122</v>
      </c>
    </row>
    <row r="575">
      <c r="A575" t="s" s="0">
        <v>78</v>
      </c>
      <c r="B575" t="s" s="0">
        <v>78</v>
      </c>
      <c r="C575" t="s" s="0">
        <v>78</v>
      </c>
      <c r="D575" t="s" s="0">
        <v>78</v>
      </c>
      <c r="E575" t="s" s="0">
        <v>13420</v>
      </c>
      <c r="F575" t="s" s="0">
        <v>13421</v>
      </c>
      <c r="G575" t="s" s="0">
        <v>13422</v>
      </c>
      <c r="H575" t="s" s="0">
        <v>82</v>
      </c>
      <c r="I575" t="s" s="0">
        <v>589</v>
      </c>
      <c r="J575" t="s" s="0">
        <v>13423</v>
      </c>
      <c r="K575" t="s" s="0">
        <v>13424</v>
      </c>
      <c r="L575" t="s" s="0">
        <v>13425</v>
      </c>
      <c r="M575" t="s" s="0">
        <v>13426</v>
      </c>
      <c r="N575" t="s" s="0">
        <v>13427</v>
      </c>
      <c r="O575" t="s" s="0">
        <v>13428</v>
      </c>
      <c r="P575" t="s" s="0">
        <v>13429</v>
      </c>
      <c r="Q575" t="s" s="0">
        <v>91</v>
      </c>
      <c r="R575" t="s" s="0">
        <v>82</v>
      </c>
      <c r="S575" t="s" s="0">
        <v>82</v>
      </c>
      <c r="T575" t="s" s="0">
        <v>82</v>
      </c>
      <c r="U575" t="s" s="0">
        <v>82</v>
      </c>
      <c r="V575" t="s" s="0">
        <v>13430</v>
      </c>
      <c r="W575" t="s" s="0">
        <v>13431</v>
      </c>
      <c r="X575" t="s" s="0">
        <v>82</v>
      </c>
      <c r="Y575" t="s" s="0">
        <v>82</v>
      </c>
      <c r="Z575" t="s" s="0">
        <v>94</v>
      </c>
      <c r="AA575" t="s" s="0">
        <v>95</v>
      </c>
      <c r="AB575" t="s" s="0">
        <v>82</v>
      </c>
      <c r="AC575" t="s" s="0">
        <v>82</v>
      </c>
      <c r="AD575" t="s" s="0">
        <v>82</v>
      </c>
      <c r="AE575" t="s" s="0">
        <v>82</v>
      </c>
      <c r="AF575" t="s" s="0">
        <v>82</v>
      </c>
      <c r="AG575" t="s" s="0">
        <v>13432</v>
      </c>
      <c r="AH575" t="s" s="0">
        <v>13433</v>
      </c>
      <c r="AI575" t="s" s="0">
        <v>82</v>
      </c>
      <c r="AJ575" t="s" s="0">
        <v>13434</v>
      </c>
      <c r="AK575" t="s" s="0">
        <v>82</v>
      </c>
      <c r="AL575" t="s" s="0">
        <v>5622</v>
      </c>
      <c r="AM575" t="s" s="0">
        <v>447</v>
      </c>
      <c r="AN575" t="s" s="0">
        <v>447</v>
      </c>
      <c r="AO575" t="s" s="0">
        <v>77</v>
      </c>
      <c r="AP575" t="s" s="0">
        <v>138</v>
      </c>
      <c r="AQ575" t="s" s="0">
        <v>174</v>
      </c>
      <c r="AR575" t="s" s="0">
        <v>175</v>
      </c>
      <c r="AS575" t="s" s="0">
        <v>176</v>
      </c>
      <c r="AT575" t="s" s="0">
        <v>13435</v>
      </c>
      <c r="AU575" t="s" s="0">
        <v>13436</v>
      </c>
      <c r="AV575" t="s" s="0">
        <v>82</v>
      </c>
      <c r="AW575" t="s" s="0">
        <v>13437</v>
      </c>
      <c r="AX575" t="s" s="0">
        <v>13438</v>
      </c>
      <c r="AY575" t="s" s="0">
        <v>146</v>
      </c>
      <c r="AZ575" t="s" s="0">
        <v>147</v>
      </c>
      <c r="BA575" t="s" s="0">
        <v>111</v>
      </c>
      <c r="BB575" t="s" s="0">
        <v>149</v>
      </c>
      <c r="BC575" t="s" s="0">
        <v>82</v>
      </c>
      <c r="BD575" t="s" s="0">
        <v>82</v>
      </c>
      <c r="BE575" t="s" s="0">
        <v>82</v>
      </c>
      <c r="BF575" t="s" s="0">
        <v>82</v>
      </c>
      <c r="BG575" t="s" s="0">
        <v>13439</v>
      </c>
      <c r="BH575" t="s" s="0">
        <v>13440</v>
      </c>
      <c r="BI575" t="s" s="0">
        <v>82</v>
      </c>
      <c r="BJ575" t="s" s="0">
        <v>13441</v>
      </c>
      <c r="BK575" t="s" s="1143">
        <f>HYPERLINK("http://dx.doi.org/10.1111/ggi.70229","http://dx.doi.org/10.1111/ggi.70229")</f>
        <v>13442</v>
      </c>
      <c r="BL575" t="s" s="0">
        <v>82</v>
      </c>
      <c r="BM575" t="s" s="0">
        <v>5604</v>
      </c>
      <c r="BN575" t="s" s="0">
        <v>115</v>
      </c>
      <c r="BO575" t="s" s="0">
        <v>13443</v>
      </c>
      <c r="BP575" t="s" s="0">
        <v>5340</v>
      </c>
      <c r="BQ575" t="s" s="0">
        <v>13444</v>
      </c>
      <c r="BR575" t="s" s="0">
        <v>13445</v>
      </c>
      <c r="BS575" t="s" s="0">
        <v>13446</v>
      </c>
      <c r="BT575" t="s" s="1144">
        <f>HYPERLINK("https://www.webofscience.com/wos/woscc/full-record/WOS:001596889500001","View Record in Web of Science")</f>
        <v>120</v>
      </c>
      <c r="BU575" t="s" s="0">
        <v>82</v>
      </c>
      <c r="BV575" t="s" s="0">
        <v>82</v>
      </c>
      <c r="BW575" t="s" s="0">
        <v>82</v>
      </c>
      <c r="BX575" t="s" s="0">
        <v>122</v>
      </c>
    </row>
    <row r="576">
      <c r="A576" t="s" s="0">
        <v>78</v>
      </c>
      <c r="B576" t="s" s="0">
        <v>78</v>
      </c>
      <c r="C576" t="s" s="0">
        <v>78</v>
      </c>
      <c r="D576" t="s" s="0">
        <v>78</v>
      </c>
      <c r="E576" t="s" s="0">
        <v>13447</v>
      </c>
      <c r="F576" t="s" s="0">
        <v>13448</v>
      </c>
      <c r="G576" t="s" s="0">
        <v>13449</v>
      </c>
      <c r="H576" t="s" s="0">
        <v>82</v>
      </c>
      <c r="I576" t="s" s="0">
        <v>83</v>
      </c>
      <c r="J576" t="s" s="0">
        <v>13450</v>
      </c>
      <c r="K576" t="s" s="0">
        <v>13451</v>
      </c>
      <c r="L576" t="s" s="0">
        <v>13452</v>
      </c>
      <c r="M576" t="s" s="0">
        <v>13453</v>
      </c>
      <c r="N576" t="s" s="0">
        <v>13454</v>
      </c>
      <c r="O576" t="s" s="0">
        <v>13455</v>
      </c>
      <c r="P576" t="s" s="0">
        <v>13456</v>
      </c>
      <c r="Q576" t="s" s="0">
        <v>91</v>
      </c>
      <c r="R576" t="s" s="0">
        <v>82</v>
      </c>
      <c r="S576" t="s" s="0">
        <v>82</v>
      </c>
      <c r="T576" t="s" s="0">
        <v>82</v>
      </c>
      <c r="U576" t="s" s="0">
        <v>82</v>
      </c>
      <c r="V576" t="s" s="0">
        <v>13457</v>
      </c>
      <c r="W576" t="s" s="0">
        <v>13458</v>
      </c>
      <c r="X576" t="s" s="0">
        <v>82</v>
      </c>
      <c r="Y576" t="s" s="0">
        <v>82</v>
      </c>
      <c r="Z576" t="s" s="0">
        <v>94</v>
      </c>
      <c r="AA576" t="s" s="0">
        <v>95</v>
      </c>
      <c r="AB576" t="s" s="0">
        <v>82</v>
      </c>
      <c r="AC576" t="s" s="0">
        <v>82</v>
      </c>
      <c r="AD576" t="s" s="0">
        <v>82</v>
      </c>
      <c r="AE576" t="s" s="0">
        <v>82</v>
      </c>
      <c r="AF576" t="s" s="0">
        <v>82</v>
      </c>
      <c r="AG576" t="s" s="0">
        <v>13459</v>
      </c>
      <c r="AH576" t="s" s="0">
        <v>13460</v>
      </c>
      <c r="AI576" t="s" s="0">
        <v>13461</v>
      </c>
      <c r="AJ576" t="s" s="0">
        <v>13462</v>
      </c>
      <c r="AK576" t="s" s="0">
        <v>82</v>
      </c>
      <c r="AL576" t="s" s="0">
        <v>1526</v>
      </c>
      <c r="AM576" t="s" s="0">
        <v>78</v>
      </c>
      <c r="AN576" t="s" s="0">
        <v>78</v>
      </c>
      <c r="AO576" t="s" s="0">
        <v>78</v>
      </c>
      <c r="AP576" t="s" s="0">
        <v>447</v>
      </c>
      <c r="AQ576" t="s" s="0">
        <v>3055</v>
      </c>
      <c r="AR576" t="s" s="0">
        <v>104</v>
      </c>
      <c r="AS576" t="s" s="0">
        <v>3056</v>
      </c>
      <c r="AT576" t="s" s="0">
        <v>13463</v>
      </c>
      <c r="AU576" t="s" s="0">
        <v>13464</v>
      </c>
      <c r="AV576" t="s" s="0">
        <v>82</v>
      </c>
      <c r="AW576" t="s" s="0">
        <v>13465</v>
      </c>
      <c r="AX576" t="s" s="0">
        <v>13466</v>
      </c>
      <c r="AY576" t="s" s="0">
        <v>2302</v>
      </c>
      <c r="AZ576" t="s" s="0">
        <v>181</v>
      </c>
      <c r="BA576" t="s" s="0">
        <v>1279</v>
      </c>
      <c r="BB576" t="s" s="0">
        <v>77</v>
      </c>
      <c r="BC576" t="s" s="0">
        <v>82</v>
      </c>
      <c r="BD576" t="s" s="0">
        <v>82</v>
      </c>
      <c r="BE576" t="s" s="0">
        <v>82</v>
      </c>
      <c r="BF576" t="s" s="0">
        <v>82</v>
      </c>
      <c r="BG576" t="s" s="0">
        <v>9777</v>
      </c>
      <c r="BH576" t="s" s="0">
        <v>13467</v>
      </c>
      <c r="BI576" t="s" s="0">
        <v>82</v>
      </c>
      <c r="BJ576" t="s" s="0">
        <v>13468</v>
      </c>
      <c r="BK576" t="s" s="1145">
        <f>HYPERLINK("http://dx.doi.org/10.1007/s10067-025-07750-z","http://dx.doi.org/10.1007/s10067-025-07750-z")</f>
        <v>13469</v>
      </c>
      <c r="BL576" t="s" s="0">
        <v>82</v>
      </c>
      <c r="BM576" t="s" s="0">
        <v>1425</v>
      </c>
      <c r="BN576" t="s" s="0">
        <v>115</v>
      </c>
      <c r="BO576" t="s" s="0">
        <v>5210</v>
      </c>
      <c r="BP576" t="s" s="0">
        <v>5210</v>
      </c>
      <c r="BQ576" t="s" s="0">
        <v>13470</v>
      </c>
      <c r="BR576" t="s" s="0">
        <v>13471</v>
      </c>
      <c r="BS576" t="s" s="0">
        <v>13472</v>
      </c>
      <c r="BT576" t="s" s="1146">
        <f>HYPERLINK("https://www.webofscience.com/wos/woscc/full-record/WOS:001615650100001","View Record in Web of Science")</f>
        <v>120</v>
      </c>
      <c r="BU576" t="s" s="0">
        <v>256</v>
      </c>
      <c r="BV576" t="s" s="0">
        <v>82</v>
      </c>
      <c r="BW576" t="s" s="0">
        <v>82</v>
      </c>
      <c r="BX576" t="s" s="0">
        <v>122</v>
      </c>
    </row>
    <row r="577">
      <c r="A577" t="s" s="0">
        <v>77</v>
      </c>
      <c r="B577" t="s" s="0">
        <v>78</v>
      </c>
      <c r="C577" t="s" s="0">
        <v>1186</v>
      </c>
      <c r="D577" t="s" s="0">
        <v>78</v>
      </c>
      <c r="E577" t="s" s="0">
        <v>13473</v>
      </c>
      <c r="F577" t="s" s="0">
        <v>13474</v>
      </c>
      <c r="G577" t="s" s="0">
        <v>13475</v>
      </c>
      <c r="H577" t="s" s="0">
        <v>82</v>
      </c>
      <c r="I577" t="s" s="0">
        <v>83</v>
      </c>
      <c r="J577" t="s" s="0">
        <v>13476</v>
      </c>
      <c r="K577" t="s" s="0">
        <v>13477</v>
      </c>
      <c r="L577" t="s" s="0">
        <v>13478</v>
      </c>
      <c r="M577" t="s" s="0">
        <v>13478</v>
      </c>
      <c r="N577" t="s" s="0">
        <v>13479</v>
      </c>
      <c r="O577" t="s" s="0">
        <v>13480</v>
      </c>
      <c r="P577" t="s" s="0">
        <v>13481</v>
      </c>
      <c r="Q577" t="s" s="0">
        <v>91</v>
      </c>
      <c r="R577" t="s" s="0">
        <v>82</v>
      </c>
      <c r="S577" t="s" s="0">
        <v>82</v>
      </c>
      <c r="T577" t="s" s="0">
        <v>82</v>
      </c>
      <c r="U577" t="s" s="0">
        <v>82</v>
      </c>
      <c r="V577" t="s" s="0">
        <v>13482</v>
      </c>
      <c r="W577" t="s" s="0">
        <v>10995</v>
      </c>
      <c r="X577" t="s" s="0">
        <v>82</v>
      </c>
      <c r="Y577" t="s" s="0">
        <v>82</v>
      </c>
      <c r="Z577" t="s" s="0">
        <v>94</v>
      </c>
      <c r="AA577" t="s" s="0">
        <v>95</v>
      </c>
      <c r="AB577" t="s" s="0">
        <v>82</v>
      </c>
      <c r="AC577" t="s" s="0">
        <v>82</v>
      </c>
      <c r="AD577" t="s" s="0">
        <v>82</v>
      </c>
      <c r="AE577" t="s" s="0">
        <v>82</v>
      </c>
      <c r="AF577" t="s" s="0">
        <v>82</v>
      </c>
      <c r="AG577" t="s" s="0">
        <v>82</v>
      </c>
      <c r="AH577" t="s" s="0">
        <v>13483</v>
      </c>
      <c r="AI577" t="s" s="0">
        <v>13484</v>
      </c>
      <c r="AJ577" t="s" s="0">
        <v>13485</v>
      </c>
      <c r="AK577" t="s" s="0">
        <v>82</v>
      </c>
      <c r="AL577" t="s" s="0">
        <v>548</v>
      </c>
      <c r="AM577" t="s" s="0">
        <v>974</v>
      </c>
      <c r="AN577" t="s" s="0">
        <v>3031</v>
      </c>
      <c r="AO577" t="s" s="0">
        <v>78</v>
      </c>
      <c r="AP577" t="s" s="0">
        <v>221</v>
      </c>
      <c r="AQ577" t="s" s="0">
        <v>10999</v>
      </c>
      <c r="AR577" t="s" s="0">
        <v>833</v>
      </c>
      <c r="AS577" t="s" s="0">
        <v>11000</v>
      </c>
      <c r="AT577" t="s" s="0">
        <v>11001</v>
      </c>
      <c r="AU577" t="s" s="0">
        <v>11002</v>
      </c>
      <c r="AV577" t="s" s="0">
        <v>82</v>
      </c>
      <c r="AW577" t="s" s="0">
        <v>11003</v>
      </c>
      <c r="AX577" t="s" s="0">
        <v>11004</v>
      </c>
      <c r="AY577" t="s" s="0">
        <v>13486</v>
      </c>
      <c r="AZ577" t="s" s="0">
        <v>525</v>
      </c>
      <c r="BA577" t="s" s="0">
        <v>1780</v>
      </c>
      <c r="BB577" t="s" s="0">
        <v>102</v>
      </c>
      <c r="BC577" t="s" s="0">
        <v>82</v>
      </c>
      <c r="BD577" t="s" s="0">
        <v>82</v>
      </c>
      <c r="BE577" t="s" s="0">
        <v>82</v>
      </c>
      <c r="BF577" t="s" s="0">
        <v>82</v>
      </c>
      <c r="BG577" t="s" s="0">
        <v>13487</v>
      </c>
      <c r="BH577" t="s" s="0">
        <v>13488</v>
      </c>
      <c r="BI577" t="s" s="0">
        <v>82</v>
      </c>
      <c r="BJ577" t="s" s="0">
        <v>13489</v>
      </c>
      <c r="BK577" t="s" s="1147">
        <f>HYPERLINK("http://dx.doi.org/10.1158/1078-0432.CCR-20-3286","http://dx.doi.org/10.1158/1078-0432.CCR-20-3286")</f>
        <v>13490</v>
      </c>
      <c r="BL577" t="s" s="0">
        <v>82</v>
      </c>
      <c r="BM577" t="s" s="0">
        <v>82</v>
      </c>
      <c r="BN577" t="s" s="0">
        <v>245</v>
      </c>
      <c r="BO577" t="s" s="0">
        <v>4833</v>
      </c>
      <c r="BP577" t="s" s="0">
        <v>4833</v>
      </c>
      <c r="BQ577" t="s" s="0">
        <v>13491</v>
      </c>
      <c r="BR577" t="s" s="0">
        <v>13492</v>
      </c>
      <c r="BS577" t="s" s="0">
        <v>13493</v>
      </c>
      <c r="BT577" t="s" s="1148">
        <f>HYPERLINK("https://www.webofscience.com/wos/woscc/full-record/WOS:000620168400031","View Record in Web of Science")</f>
        <v>120</v>
      </c>
      <c r="BU577" t="s" s="0">
        <v>82</v>
      </c>
      <c r="BV577" t="s" s="0">
        <v>82</v>
      </c>
      <c r="BW577" t="s" s="0">
        <v>82</v>
      </c>
      <c r="BX577" t="s" s="0">
        <v>122</v>
      </c>
    </row>
    <row r="578">
      <c r="A578" t="s" s="0">
        <v>78</v>
      </c>
      <c r="B578" t="s" s="0">
        <v>78</v>
      </c>
      <c r="C578" t="s" s="0">
        <v>77</v>
      </c>
      <c r="D578" t="s" s="0">
        <v>78</v>
      </c>
      <c r="E578" t="s" s="0">
        <v>13494</v>
      </c>
      <c r="F578" t="s" s="0">
        <v>13495</v>
      </c>
      <c r="G578" t="s" s="0">
        <v>13496</v>
      </c>
      <c r="H578" t="s" s="0">
        <v>82</v>
      </c>
      <c r="I578" t="s" s="0">
        <v>83</v>
      </c>
      <c r="J578" t="s" s="0">
        <v>13497</v>
      </c>
      <c r="K578" t="s" s="0">
        <v>13498</v>
      </c>
      <c r="L578" t="s" s="0">
        <v>13499</v>
      </c>
      <c r="M578" t="s" s="0">
        <v>13500</v>
      </c>
      <c r="N578" t="s" s="0">
        <v>13501</v>
      </c>
      <c r="O578" t="s" s="0">
        <v>13502</v>
      </c>
      <c r="P578" t="s" s="0">
        <v>13503</v>
      </c>
      <c r="Q578" t="s" s="0">
        <v>91</v>
      </c>
      <c r="R578" t="s" s="0">
        <v>82</v>
      </c>
      <c r="S578" t="s" s="0">
        <v>82</v>
      </c>
      <c r="T578" t="s" s="0">
        <v>82</v>
      </c>
      <c r="U578" t="s" s="0">
        <v>82</v>
      </c>
      <c r="V578" t="s" s="0">
        <v>13504</v>
      </c>
      <c r="W578" t="s" s="0">
        <v>13458</v>
      </c>
      <c r="X578" t="s" s="0">
        <v>82</v>
      </c>
      <c r="Y578" t="s" s="0">
        <v>82</v>
      </c>
      <c r="Z578" t="s" s="0">
        <v>94</v>
      </c>
      <c r="AA578" t="s" s="0">
        <v>95</v>
      </c>
      <c r="AB578" t="s" s="0">
        <v>82</v>
      </c>
      <c r="AC578" t="s" s="0">
        <v>82</v>
      </c>
      <c r="AD578" t="s" s="0">
        <v>82</v>
      </c>
      <c r="AE578" t="s" s="0">
        <v>82</v>
      </c>
      <c r="AF578" t="s" s="0">
        <v>82</v>
      </c>
      <c r="AG578" t="s" s="0">
        <v>13505</v>
      </c>
      <c r="AH578" t="s" s="0">
        <v>82</v>
      </c>
      <c r="AI578" t="s" s="0">
        <v>13506</v>
      </c>
      <c r="AJ578" t="s" s="0">
        <v>13507</v>
      </c>
      <c r="AK578" t="s" s="0">
        <v>82</v>
      </c>
      <c r="AL578" t="s" s="0">
        <v>632</v>
      </c>
      <c r="AM578" t="s" s="0">
        <v>447</v>
      </c>
      <c r="AN578" t="s" s="0">
        <v>447</v>
      </c>
      <c r="AO578" t="s" s="0">
        <v>78</v>
      </c>
      <c r="AP578" t="s" s="0">
        <v>78</v>
      </c>
      <c r="AQ578" t="s" s="0">
        <v>3055</v>
      </c>
      <c r="AR578" t="s" s="0">
        <v>104</v>
      </c>
      <c r="AS578" t="s" s="0">
        <v>3056</v>
      </c>
      <c r="AT578" t="s" s="0">
        <v>13463</v>
      </c>
      <c r="AU578" t="s" s="0">
        <v>13464</v>
      </c>
      <c r="AV578" t="s" s="0">
        <v>82</v>
      </c>
      <c r="AW578" t="s" s="0">
        <v>13465</v>
      </c>
      <c r="AX578" t="s" s="0">
        <v>13466</v>
      </c>
      <c r="AY578" t="s" s="0">
        <v>1371</v>
      </c>
      <c r="AZ578" t="s" s="0">
        <v>181</v>
      </c>
      <c r="BA578" t="s" s="0">
        <v>1279</v>
      </c>
      <c r="BB578" t="s" s="0">
        <v>447</v>
      </c>
      <c r="BC578" t="s" s="0">
        <v>82</v>
      </c>
      <c r="BD578" t="s" s="0">
        <v>82</v>
      </c>
      <c r="BE578" t="s" s="0">
        <v>82</v>
      </c>
      <c r="BF578" t="s" s="0">
        <v>82</v>
      </c>
      <c r="BG578" t="s" s="0">
        <v>13508</v>
      </c>
      <c r="BH578" t="s" s="0">
        <v>6553</v>
      </c>
      <c r="BI578" t="s" s="0">
        <v>82</v>
      </c>
      <c r="BJ578" t="s" s="0">
        <v>13509</v>
      </c>
      <c r="BK578" t="s" s="1149">
        <f>HYPERLINK("http://dx.doi.org/10.1007/s10067-025-07880-4","http://dx.doi.org/10.1007/s10067-025-07880-4")</f>
        <v>13510</v>
      </c>
      <c r="BL578" t="s" s="0">
        <v>82</v>
      </c>
      <c r="BM578" t="s" s="0">
        <v>146</v>
      </c>
      <c r="BN578" t="s" s="0">
        <v>349</v>
      </c>
      <c r="BO578" t="s" s="0">
        <v>5210</v>
      </c>
      <c r="BP578" t="s" s="0">
        <v>5210</v>
      </c>
      <c r="BQ578" t="s" s="0">
        <v>13511</v>
      </c>
      <c r="BR578" t="s" s="0">
        <v>13512</v>
      </c>
      <c r="BS578" t="s" s="0">
        <v>13513</v>
      </c>
      <c r="BT578" t="s" s="1150">
        <f>HYPERLINK("https://www.webofscience.com/wos/woscc/full-record/WOS:001646053000001","View Record in Web of Science")</f>
        <v>120</v>
      </c>
      <c r="BU578" t="s" s="0">
        <v>82</v>
      </c>
      <c r="BV578" t="s" s="0">
        <v>82</v>
      </c>
      <c r="BW578" t="s" s="0">
        <v>82</v>
      </c>
      <c r="BX578" t="s" s="0">
        <v>122</v>
      </c>
    </row>
    <row r="579">
      <c r="A579" t="s" s="0">
        <v>78</v>
      </c>
      <c r="B579" t="s" s="0">
        <v>78</v>
      </c>
      <c r="C579" t="s" s="0">
        <v>101</v>
      </c>
      <c r="D579" t="s" s="0">
        <v>78</v>
      </c>
      <c r="E579" t="s" s="0">
        <v>13514</v>
      </c>
      <c r="F579" t="s" s="0">
        <v>13515</v>
      </c>
      <c r="G579" t="s" s="0">
        <v>13516</v>
      </c>
      <c r="H579" t="s" s="0">
        <v>82</v>
      </c>
      <c r="I579" t="s" s="0">
        <v>83</v>
      </c>
      <c r="J579" t="s" s="0">
        <v>13517</v>
      </c>
      <c r="K579" t="s" s="0">
        <v>13518</v>
      </c>
      <c r="L579" t="s" s="0">
        <v>13519</v>
      </c>
      <c r="M579" t="s" s="0">
        <v>13519</v>
      </c>
      <c r="N579" t="s" s="0">
        <v>13520</v>
      </c>
      <c r="O579" t="s" s="0">
        <v>13521</v>
      </c>
      <c r="P579" t="s" s="0">
        <v>13522</v>
      </c>
      <c r="Q579" t="s" s="0">
        <v>91</v>
      </c>
      <c r="R579" t="s" s="0">
        <v>82</v>
      </c>
      <c r="S579" t="s" s="0">
        <v>82</v>
      </c>
      <c r="T579" t="s" s="0">
        <v>82</v>
      </c>
      <c r="U579" t="s" s="0">
        <v>82</v>
      </c>
      <c r="V579" t="s" s="0">
        <v>13523</v>
      </c>
      <c r="W579" t="s" s="0">
        <v>13524</v>
      </c>
      <c r="X579" t="s" s="0">
        <v>82</v>
      </c>
      <c r="Y579" t="s" s="0">
        <v>82</v>
      </c>
      <c r="Z579" t="s" s="0">
        <v>94</v>
      </c>
      <c r="AA579" t="s" s="0">
        <v>95</v>
      </c>
      <c r="AB579" t="s" s="0">
        <v>82</v>
      </c>
      <c r="AC579" t="s" s="0">
        <v>82</v>
      </c>
      <c r="AD579" t="s" s="0">
        <v>82</v>
      </c>
      <c r="AE579" t="s" s="0">
        <v>82</v>
      </c>
      <c r="AF579" t="s" s="0">
        <v>82</v>
      </c>
      <c r="AG579" t="s" s="0">
        <v>13525</v>
      </c>
      <c r="AH579" t="s" s="0">
        <v>13526</v>
      </c>
      <c r="AI579" t="s" s="0">
        <v>13527</v>
      </c>
      <c r="AJ579" t="s" s="0">
        <v>82</v>
      </c>
      <c r="AK579" t="s" s="0">
        <v>82</v>
      </c>
      <c r="AL579" t="s" s="0">
        <v>831</v>
      </c>
      <c r="AM579" t="s" s="0">
        <v>138</v>
      </c>
      <c r="AN579" t="s" s="0">
        <v>136</v>
      </c>
      <c r="AO579" t="s" s="0">
        <v>101</v>
      </c>
      <c r="AP579" t="s" s="0">
        <v>136</v>
      </c>
      <c r="AQ579" t="s" s="0">
        <v>2051</v>
      </c>
      <c r="AR579" t="s" s="0">
        <v>203</v>
      </c>
      <c r="AS579" t="s" s="0">
        <v>2052</v>
      </c>
      <c r="AT579" t="s" s="0">
        <v>13528</v>
      </c>
      <c r="AU579" t="s" s="0">
        <v>13529</v>
      </c>
      <c r="AV579" t="s" s="0">
        <v>82</v>
      </c>
      <c r="AW579" t="s" s="0">
        <v>13530</v>
      </c>
      <c r="AX579" t="s" s="0">
        <v>13531</v>
      </c>
      <c r="AY579" t="s" s="0">
        <v>1398</v>
      </c>
      <c r="AZ579" t="s" s="0">
        <v>147</v>
      </c>
      <c r="BA579" t="s" s="0">
        <v>1526</v>
      </c>
      <c r="BB579" t="s" s="0">
        <v>102</v>
      </c>
      <c r="BC579" t="s" s="0">
        <v>82</v>
      </c>
      <c r="BD579" t="s" s="0">
        <v>82</v>
      </c>
      <c r="BE579" t="s" s="0">
        <v>82</v>
      </c>
      <c r="BF579" t="s" s="0">
        <v>82</v>
      </c>
      <c r="BG579" t="s" s="0">
        <v>13532</v>
      </c>
      <c r="BH579" t="s" s="0">
        <v>13533</v>
      </c>
      <c r="BI579" t="s" s="0">
        <v>82</v>
      </c>
      <c r="BJ579" t="s" s="0">
        <v>13534</v>
      </c>
      <c r="BK579" t="s" s="1151">
        <f>HYPERLINK("http://dx.doi.org/10.1007/s11604-024-01704-2","http://dx.doi.org/10.1007/s11604-024-01704-2")</f>
        <v>13535</v>
      </c>
      <c r="BL579" t="s" s="0">
        <v>82</v>
      </c>
      <c r="BM579" t="s" s="0">
        <v>1457</v>
      </c>
      <c r="BN579" t="s" s="0">
        <v>138</v>
      </c>
      <c r="BO579" t="s" s="0">
        <v>414</v>
      </c>
      <c r="BP579" t="s" s="0">
        <v>414</v>
      </c>
      <c r="BQ579" t="s" s="0">
        <v>13536</v>
      </c>
      <c r="BR579" t="s" s="0">
        <v>13537</v>
      </c>
      <c r="BS579" t="s" s="0">
        <v>13538</v>
      </c>
      <c r="BT579" t="s" s="1152">
        <f>HYPERLINK("https://www.webofscience.com/wos/woscc/full-record/WOS:001366667600001","View Record in Web of Science")</f>
        <v>120</v>
      </c>
      <c r="BU579" t="s" s="0">
        <v>256</v>
      </c>
      <c r="BV579" t="s" s="0">
        <v>82</v>
      </c>
      <c r="BW579" t="s" s="0">
        <v>82</v>
      </c>
      <c r="BX579" t="s" s="0">
        <v>122</v>
      </c>
    </row>
    <row r="580">
      <c r="A580" t="s" s="0">
        <v>221</v>
      </c>
      <c r="B580" t="s" s="0">
        <v>78</v>
      </c>
      <c r="C580" t="s" s="0">
        <v>138</v>
      </c>
      <c r="D580" t="s" s="0">
        <v>78</v>
      </c>
      <c r="E580" t="s" s="0">
        <v>13539</v>
      </c>
      <c r="F580" t="s" s="0">
        <v>13540</v>
      </c>
      <c r="G580" t="s" s="0">
        <v>13541</v>
      </c>
      <c r="H580" t="s" s="0">
        <v>82</v>
      </c>
      <c r="I580" t="s" s="0">
        <v>83</v>
      </c>
      <c r="J580" t="s" s="0">
        <v>13542</v>
      </c>
      <c r="K580" t="s" s="0">
        <v>13543</v>
      </c>
      <c r="L580" t="s" s="0">
        <v>13544</v>
      </c>
      <c r="M580" t="s" s="0">
        <v>13545</v>
      </c>
      <c r="N580" t="s" s="0">
        <v>13546</v>
      </c>
      <c r="O580" t="s" s="0">
        <v>13547</v>
      </c>
      <c r="P580" t="s" s="0">
        <v>13548</v>
      </c>
      <c r="Q580" t="s" s="0">
        <v>91</v>
      </c>
      <c r="R580" t="s" s="0">
        <v>82</v>
      </c>
      <c r="S580" t="s" s="0">
        <v>82</v>
      </c>
      <c r="T580" t="s" s="0">
        <v>82</v>
      </c>
      <c r="U580" t="s" s="0">
        <v>82</v>
      </c>
      <c r="V580" t="s" s="0">
        <v>13549</v>
      </c>
      <c r="W580" t="s" s="0">
        <v>2293</v>
      </c>
      <c r="X580" t="s" s="0">
        <v>82</v>
      </c>
      <c r="Y580" t="s" s="0">
        <v>82</v>
      </c>
      <c r="Z580" t="s" s="0">
        <v>94</v>
      </c>
      <c r="AA580" t="s" s="0">
        <v>95</v>
      </c>
      <c r="AB580" t="s" s="0">
        <v>82</v>
      </c>
      <c r="AC580" t="s" s="0">
        <v>82</v>
      </c>
      <c r="AD580" t="s" s="0">
        <v>82</v>
      </c>
      <c r="AE580" t="s" s="0">
        <v>82</v>
      </c>
      <c r="AF580" t="s" s="0">
        <v>82</v>
      </c>
      <c r="AG580" t="s" s="0">
        <v>13550</v>
      </c>
      <c r="AH580" t="s" s="0">
        <v>13551</v>
      </c>
      <c r="AI580" t="s" s="0">
        <v>13552</v>
      </c>
      <c r="AJ580" t="s" s="0">
        <v>13553</v>
      </c>
      <c r="AK580" t="s" s="0">
        <v>82</v>
      </c>
      <c r="AL580" t="s" s="0">
        <v>111</v>
      </c>
      <c r="AM580" t="s" s="0">
        <v>775</v>
      </c>
      <c r="AN580" t="s" s="0">
        <v>6451</v>
      </c>
      <c r="AO580" t="s" s="0">
        <v>78</v>
      </c>
      <c r="AP580" t="s" s="0">
        <v>374</v>
      </c>
      <c r="AQ580" t="s" s="0">
        <v>2051</v>
      </c>
      <c r="AR580" t="s" s="0">
        <v>203</v>
      </c>
      <c r="AS580" t="s" s="0">
        <v>2052</v>
      </c>
      <c r="AT580" t="s" s="0">
        <v>2298</v>
      </c>
      <c r="AU580" t="s" s="0">
        <v>2299</v>
      </c>
      <c r="AV580" t="s" s="0">
        <v>82</v>
      </c>
      <c r="AW580" t="s" s="0">
        <v>2300</v>
      </c>
      <c r="AX580" t="s" s="0">
        <v>2301</v>
      </c>
      <c r="AY580" t="s" s="0">
        <v>7719</v>
      </c>
      <c r="AZ580" t="s" s="0">
        <v>1035</v>
      </c>
      <c r="BA580" t="s" s="0">
        <v>1186</v>
      </c>
      <c r="BB580" t="s" s="0">
        <v>375</v>
      </c>
      <c r="BC580" t="s" s="0">
        <v>82</v>
      </c>
      <c r="BD580" t="s" s="0">
        <v>82</v>
      </c>
      <c r="BE580" t="s" s="0">
        <v>82</v>
      </c>
      <c r="BF580" t="s" s="0">
        <v>82</v>
      </c>
      <c r="BG580" t="s" s="0">
        <v>13554</v>
      </c>
      <c r="BH580" t="s" s="0">
        <v>13555</v>
      </c>
      <c r="BI580" t="s" s="0">
        <v>82</v>
      </c>
      <c r="BJ580" t="s" s="0">
        <v>13556</v>
      </c>
      <c r="BK580" t="s" s="1153">
        <f>HYPERLINK("http://dx.doi.org/10.1007/s00330-019-06652-4","http://dx.doi.org/10.1007/s00330-019-06652-4")</f>
        <v>13557</v>
      </c>
      <c r="BL580" t="s" s="0">
        <v>82</v>
      </c>
      <c r="BM580" t="s" s="0">
        <v>13558</v>
      </c>
      <c r="BN580" t="s" s="0">
        <v>138</v>
      </c>
      <c r="BO580" t="s" s="0">
        <v>414</v>
      </c>
      <c r="BP580" t="s" s="0">
        <v>414</v>
      </c>
      <c r="BQ580" t="s" s="0">
        <v>13559</v>
      </c>
      <c r="BR580" t="s" s="0">
        <v>13560</v>
      </c>
      <c r="BS580" t="s" s="0">
        <v>13561</v>
      </c>
      <c r="BT580" t="s" s="1154">
        <f>HYPERLINK("https://www.webofscience.com/wos/woscc/full-record/WOS:000516260600002","View Record in Web of Science")</f>
        <v>120</v>
      </c>
      <c r="BU580" t="s" s="0">
        <v>82</v>
      </c>
      <c r="BV580" t="s" s="0">
        <v>82</v>
      </c>
      <c r="BW580" t="s" s="0">
        <v>82</v>
      </c>
      <c r="BX580" t="s" s="0">
        <v>122</v>
      </c>
    </row>
    <row r="581">
      <c r="A581" t="s" s="0">
        <v>78</v>
      </c>
      <c r="B581" t="s" s="0">
        <v>78</v>
      </c>
      <c r="C581" t="s" s="0">
        <v>115</v>
      </c>
      <c r="D581" t="s" s="0">
        <v>78</v>
      </c>
      <c r="E581" t="s" s="0">
        <v>13562</v>
      </c>
      <c r="F581" t="s" s="0">
        <v>13563</v>
      </c>
      <c r="G581" t="s" s="0">
        <v>13564</v>
      </c>
      <c r="H581" t="s" s="0">
        <v>82</v>
      </c>
      <c r="I581" t="s" s="0">
        <v>83</v>
      </c>
      <c r="J581" t="s" s="0">
        <v>13565</v>
      </c>
      <c r="K581" t="s" s="0">
        <v>13566</v>
      </c>
      <c r="L581" t="s" s="0">
        <v>13567</v>
      </c>
      <c r="M581" t="s" s="0">
        <v>13568</v>
      </c>
      <c r="N581" t="s" s="0">
        <v>13569</v>
      </c>
      <c r="O581" t="s" s="0">
        <v>13570</v>
      </c>
      <c r="P581" t="s" s="0">
        <v>13571</v>
      </c>
      <c r="Q581" t="s" s="0">
        <v>91</v>
      </c>
      <c r="R581" t="s" s="0">
        <v>82</v>
      </c>
      <c r="S581" t="s" s="0">
        <v>82</v>
      </c>
      <c r="T581" t="s" s="0">
        <v>82</v>
      </c>
      <c r="U581" t="s" s="0">
        <v>82</v>
      </c>
      <c r="V581" t="s" s="0">
        <v>13572</v>
      </c>
      <c r="W581" t="s" s="0">
        <v>6517</v>
      </c>
      <c r="X581" t="s" s="0">
        <v>82</v>
      </c>
      <c r="Y581" t="s" s="0">
        <v>82</v>
      </c>
      <c r="Z581" t="s" s="0">
        <v>94</v>
      </c>
      <c r="AA581" t="s" s="0">
        <v>95</v>
      </c>
      <c r="AB581" t="s" s="0">
        <v>82</v>
      </c>
      <c r="AC581" t="s" s="0">
        <v>82</v>
      </c>
      <c r="AD581" t="s" s="0">
        <v>82</v>
      </c>
      <c r="AE581" t="s" s="0">
        <v>82</v>
      </c>
      <c r="AF581" t="s" s="0">
        <v>82</v>
      </c>
      <c r="AG581" t="s" s="0">
        <v>13573</v>
      </c>
      <c r="AH581" t="s" s="0">
        <v>13574</v>
      </c>
      <c r="AI581" t="s" s="0">
        <v>13575</v>
      </c>
      <c r="AJ581" t="s" s="0">
        <v>13576</v>
      </c>
      <c r="AK581" t="s" s="0">
        <v>82</v>
      </c>
      <c r="AL581" t="s" s="0">
        <v>1186</v>
      </c>
      <c r="AM581" t="s" s="0">
        <v>1658</v>
      </c>
      <c r="AN581" t="s" s="0">
        <v>1279</v>
      </c>
      <c r="AO581" t="s" s="0">
        <v>78</v>
      </c>
      <c r="AP581" t="s" s="0">
        <v>138</v>
      </c>
      <c r="AQ581" t="s" s="0">
        <v>277</v>
      </c>
      <c r="AR581" t="s" s="0">
        <v>278</v>
      </c>
      <c r="AS581" t="s" s="0">
        <v>279</v>
      </c>
      <c r="AT581" t="s" s="0">
        <v>6522</v>
      </c>
      <c r="AU581" t="s" s="0">
        <v>82</v>
      </c>
      <c r="AV581" t="s" s="0">
        <v>82</v>
      </c>
      <c r="AW581" t="s" s="0">
        <v>6517</v>
      </c>
      <c r="AX581" t="s" s="0">
        <v>6523</v>
      </c>
      <c r="AY581" t="s" s="0">
        <v>1482</v>
      </c>
      <c r="AZ581" t="s" s="0">
        <v>408</v>
      </c>
      <c r="BA581" t="s" s="0">
        <v>2610</v>
      </c>
      <c r="BB581" t="s" s="0">
        <v>82</v>
      </c>
      <c r="BC581" t="s" s="0">
        <v>82</v>
      </c>
      <c r="BD581" t="s" s="0">
        <v>82</v>
      </c>
      <c r="BE581" t="s" s="0">
        <v>82</v>
      </c>
      <c r="BF581" t="s" s="0">
        <v>82</v>
      </c>
      <c r="BG581" t="s" s="0">
        <v>82</v>
      </c>
      <c r="BH581" t="s" s="0">
        <v>82</v>
      </c>
      <c r="BI581" t="s" s="0">
        <v>13577</v>
      </c>
      <c r="BJ581" t="s" s="0">
        <v>13578</v>
      </c>
      <c r="BK581" t="s" s="1155">
        <f>HYPERLINK("http://dx.doi.org/10.1016/j.ebiom.2022.104176","http://dx.doi.org/10.1016/j.ebiom.2022.104176")</f>
        <v>13579</v>
      </c>
      <c r="BL581" t="s" s="0">
        <v>82</v>
      </c>
      <c r="BM581" t="s" s="0">
        <v>977</v>
      </c>
      <c r="BN581" t="s" s="0">
        <v>149</v>
      </c>
      <c r="BO581" t="s" s="0">
        <v>6527</v>
      </c>
      <c r="BP581" t="s" s="0">
        <v>6528</v>
      </c>
      <c r="BQ581" t="s" s="0">
        <v>13580</v>
      </c>
      <c r="BR581" t="s" s="0">
        <v>13581</v>
      </c>
      <c r="BS581" t="s" s="0">
        <v>13582</v>
      </c>
      <c r="BT581" t="s" s="1156">
        <f>HYPERLINK("https://www.webofscience.com/wos/woscc/full-record/WOS:000830983200010","View Record in Web of Science")</f>
        <v>120</v>
      </c>
      <c r="BU581" t="s" s="0">
        <v>121</v>
      </c>
      <c r="BV581" t="s" s="0">
        <v>82</v>
      </c>
      <c r="BW581" t="s" s="0">
        <v>82</v>
      </c>
      <c r="BX581" t="s" s="0">
        <v>122</v>
      </c>
    </row>
    <row r="582">
      <c r="A582" t="s" s="0">
        <v>78</v>
      </c>
      <c r="B582" t="s" s="0">
        <v>78</v>
      </c>
      <c r="C582" t="s" s="0">
        <v>221</v>
      </c>
      <c r="D582" t="s" s="0">
        <v>78</v>
      </c>
      <c r="E582" t="s" s="0">
        <v>13583</v>
      </c>
      <c r="F582" t="s" s="0">
        <v>13584</v>
      </c>
      <c r="G582" t="s" s="0">
        <v>13585</v>
      </c>
      <c r="H582" t="s" s="0">
        <v>82</v>
      </c>
      <c r="I582" t="s" s="0">
        <v>83</v>
      </c>
      <c r="J582" t="s" s="0">
        <v>13586</v>
      </c>
      <c r="K582" t="s" s="0">
        <v>13587</v>
      </c>
      <c r="L582" t="s" s="0">
        <v>13588</v>
      </c>
      <c r="M582" t="s" s="0">
        <v>13589</v>
      </c>
      <c r="N582" t="s" s="0">
        <v>13590</v>
      </c>
      <c r="O582" t="s" s="0">
        <v>13591</v>
      </c>
      <c r="P582" t="s" s="0">
        <v>13592</v>
      </c>
      <c r="Q582" t="s" s="0">
        <v>91</v>
      </c>
      <c r="R582" t="s" s="0">
        <v>82</v>
      </c>
      <c r="S582" t="s" s="0">
        <v>82</v>
      </c>
      <c r="T582" t="s" s="0">
        <v>82</v>
      </c>
      <c r="U582" t="s" s="0">
        <v>82</v>
      </c>
      <c r="V582" t="s" s="0">
        <v>13593</v>
      </c>
      <c r="W582" t="s" s="0">
        <v>13594</v>
      </c>
      <c r="X582" t="s" s="0">
        <v>82</v>
      </c>
      <c r="Y582" t="s" s="0">
        <v>82</v>
      </c>
      <c r="Z582" t="s" s="0">
        <v>94</v>
      </c>
      <c r="AA582" t="s" s="0">
        <v>95</v>
      </c>
      <c r="AB582" t="s" s="0">
        <v>82</v>
      </c>
      <c r="AC582" t="s" s="0">
        <v>82</v>
      </c>
      <c r="AD582" t="s" s="0">
        <v>82</v>
      </c>
      <c r="AE582" t="s" s="0">
        <v>82</v>
      </c>
      <c r="AF582" t="s" s="0">
        <v>82</v>
      </c>
      <c r="AG582" t="s" s="0">
        <v>13595</v>
      </c>
      <c r="AH582" t="s" s="0">
        <v>13596</v>
      </c>
      <c r="AI582" t="s" s="0">
        <v>82</v>
      </c>
      <c r="AJ582" t="s" s="0">
        <v>82</v>
      </c>
      <c r="AK582" t="s" s="0">
        <v>82</v>
      </c>
      <c r="AL582" t="s" s="0">
        <v>1320</v>
      </c>
      <c r="AM582" t="s" s="0">
        <v>640</v>
      </c>
      <c r="AN582" t="s" s="0">
        <v>1320</v>
      </c>
      <c r="AO582" t="s" s="0">
        <v>78</v>
      </c>
      <c r="AP582" t="s" s="0">
        <v>375</v>
      </c>
      <c r="AQ582" t="s" s="0">
        <v>103</v>
      </c>
      <c r="AR582" t="s" s="0">
        <v>104</v>
      </c>
      <c r="AS582" t="s" s="0">
        <v>105</v>
      </c>
      <c r="AT582" t="s" s="0">
        <v>82</v>
      </c>
      <c r="AU582" t="s" s="0">
        <v>13597</v>
      </c>
      <c r="AV582" t="s" s="0">
        <v>82</v>
      </c>
      <c r="AW582" t="s" s="0">
        <v>13598</v>
      </c>
      <c r="AX582" t="s" s="0">
        <v>13599</v>
      </c>
      <c r="AY582" t="s" s="0">
        <v>13600</v>
      </c>
      <c r="AZ582" t="s" s="0">
        <v>525</v>
      </c>
      <c r="BA582" t="s" s="0">
        <v>831</v>
      </c>
      <c r="BB582" t="s" s="0">
        <v>77</v>
      </c>
      <c r="BC582" t="s" s="0">
        <v>82</v>
      </c>
      <c r="BD582" t="s" s="0">
        <v>82</v>
      </c>
      <c r="BE582" t="s" s="0">
        <v>82</v>
      </c>
      <c r="BF582" t="s" s="0">
        <v>82</v>
      </c>
      <c r="BG582" t="s" s="0">
        <v>82</v>
      </c>
      <c r="BH582" t="s" s="0">
        <v>82</v>
      </c>
      <c r="BI582" t="s" s="0">
        <v>13601</v>
      </c>
      <c r="BJ582" t="s" s="0">
        <v>13602</v>
      </c>
      <c r="BK582" t="s" s="1157">
        <f>HYPERLINK("http://dx.doi.org/10.1186/s12874-021-01354-2","http://dx.doi.org/10.1186/s12874-021-01354-2")</f>
        <v>13603</v>
      </c>
      <c r="BL582" t="s" s="0">
        <v>82</v>
      </c>
      <c r="BM582" t="s" s="0">
        <v>82</v>
      </c>
      <c r="BN582" t="s" s="0">
        <v>149</v>
      </c>
      <c r="BO582" t="s" s="0">
        <v>9850</v>
      </c>
      <c r="BP582" t="s" s="0">
        <v>9850</v>
      </c>
      <c r="BQ582" t="s" s="0">
        <v>13604</v>
      </c>
      <c r="BR582" t="s" s="0">
        <v>13605</v>
      </c>
      <c r="BS582" t="s" s="0">
        <v>13606</v>
      </c>
      <c r="BT582" t="s" s="1158">
        <f>HYPERLINK("https://www.webofscience.com/wos/woscc/full-record/WOS:000686715000003","View Record in Web of Science")</f>
        <v>120</v>
      </c>
      <c r="BU582" t="s" s="0">
        <v>121</v>
      </c>
      <c r="BV582" t="s" s="0">
        <v>82</v>
      </c>
      <c r="BW582" t="s" s="0">
        <v>82</v>
      </c>
      <c r="BX582" t="s" s="0">
        <v>122</v>
      </c>
    </row>
    <row r="583">
      <c r="A583" t="s" s="0">
        <v>78</v>
      </c>
      <c r="B583" t="s" s="0">
        <v>78</v>
      </c>
      <c r="C583" t="s" s="0">
        <v>78</v>
      </c>
      <c r="D583" t="s" s="0">
        <v>78</v>
      </c>
      <c r="E583" t="s" s="0">
        <v>13607</v>
      </c>
      <c r="F583" t="s" s="0">
        <v>13608</v>
      </c>
      <c r="G583" t="s" s="0">
        <v>13609</v>
      </c>
      <c r="H583" t="s" s="0">
        <v>82</v>
      </c>
      <c r="I583" t="s" s="0">
        <v>297</v>
      </c>
      <c r="J583" t="s" s="0">
        <v>13610</v>
      </c>
      <c r="K583" t="s" s="0">
        <v>13611</v>
      </c>
      <c r="L583" t="s" s="0">
        <v>13612</v>
      </c>
      <c r="M583" t="s" s="0">
        <v>13613</v>
      </c>
      <c r="N583" t="s" s="0">
        <v>13614</v>
      </c>
      <c r="O583" t="s" s="0">
        <v>13615</v>
      </c>
      <c r="P583" t="s" s="0">
        <v>13616</v>
      </c>
      <c r="Q583" t="s" s="0">
        <v>91</v>
      </c>
      <c r="R583" t="s" s="0">
        <v>82</v>
      </c>
      <c r="S583" t="s" s="0">
        <v>82</v>
      </c>
      <c r="T583" t="s" s="0">
        <v>82</v>
      </c>
      <c r="U583" t="s" s="0">
        <v>82</v>
      </c>
      <c r="V583" t="s" s="0">
        <v>13617</v>
      </c>
      <c r="W583" t="s" s="0">
        <v>13618</v>
      </c>
      <c r="X583" t="s" s="0">
        <v>82</v>
      </c>
      <c r="Y583" t="s" s="0">
        <v>82</v>
      </c>
      <c r="Z583" t="s" s="0">
        <v>94</v>
      </c>
      <c r="AA583" t="s" s="0">
        <v>95</v>
      </c>
      <c r="AB583" t="s" s="0">
        <v>82</v>
      </c>
      <c r="AC583" t="s" s="0">
        <v>82</v>
      </c>
      <c r="AD583" t="s" s="0">
        <v>82</v>
      </c>
      <c r="AE583" t="s" s="0">
        <v>82</v>
      </c>
      <c r="AF583" t="s" s="0">
        <v>82</v>
      </c>
      <c r="AG583" t="s" s="0">
        <v>13619</v>
      </c>
      <c r="AH583" t="s" s="0">
        <v>82</v>
      </c>
      <c r="AI583" t="s" s="0">
        <v>82</v>
      </c>
      <c r="AJ583" t="s" s="0">
        <v>82</v>
      </c>
      <c r="AK583" t="s" s="0">
        <v>82</v>
      </c>
      <c r="AL583" t="s" s="0">
        <v>1060</v>
      </c>
      <c r="AM583" t="s" s="0">
        <v>78</v>
      </c>
      <c r="AN583" t="s" s="0">
        <v>78</v>
      </c>
      <c r="AO583" t="s" s="0">
        <v>78</v>
      </c>
      <c r="AP583" t="s" s="0">
        <v>78</v>
      </c>
      <c r="AQ583" t="s" s="0">
        <v>277</v>
      </c>
      <c r="AR583" t="s" s="0">
        <v>278</v>
      </c>
      <c r="AS583" t="s" s="0">
        <v>279</v>
      </c>
      <c r="AT583" t="s" s="0">
        <v>82</v>
      </c>
      <c r="AU583" t="s" s="0">
        <v>13620</v>
      </c>
      <c r="AV583" t="s" s="0">
        <v>82</v>
      </c>
      <c r="AW583" t="s" s="0">
        <v>13621</v>
      </c>
      <c r="AX583" t="s" s="0">
        <v>13622</v>
      </c>
      <c r="AY583" t="s" s="0">
        <v>6107</v>
      </c>
      <c r="AZ583" t="s" s="0">
        <v>181</v>
      </c>
      <c r="BA583" t="s" s="0">
        <v>548</v>
      </c>
      <c r="BB583" t="s" s="0">
        <v>82</v>
      </c>
      <c r="BC583" t="s" s="0">
        <v>82</v>
      </c>
      <c r="BD583" t="s" s="0">
        <v>82</v>
      </c>
      <c r="BE583" t="s" s="0">
        <v>82</v>
      </c>
      <c r="BF583" t="s" s="0">
        <v>82</v>
      </c>
      <c r="BG583" t="s" s="0">
        <v>82</v>
      </c>
      <c r="BH583" t="s" s="0">
        <v>82</v>
      </c>
      <c r="BI583" t="s" s="0">
        <v>13623</v>
      </c>
      <c r="BJ583" t="s" s="0">
        <v>13624</v>
      </c>
      <c r="BK583" t="s" s="1159">
        <f>HYPERLINK("http://dx.doi.org/10.1016/j.iswa.2026.200716","http://dx.doi.org/10.1016/j.iswa.2026.200716")</f>
        <v>13625</v>
      </c>
      <c r="BL583" t="s" s="0">
        <v>82</v>
      </c>
      <c r="BM583" t="s" s="0">
        <v>82</v>
      </c>
      <c r="BN583" t="s" s="0">
        <v>148</v>
      </c>
      <c r="BO583" t="s" s="0">
        <v>13626</v>
      </c>
      <c r="BP583" t="s" s="0">
        <v>1663</v>
      </c>
      <c r="BQ583" t="s" s="0">
        <v>13627</v>
      </c>
      <c r="BR583" t="s" s="0">
        <v>82</v>
      </c>
      <c r="BS583" t="s" s="0">
        <v>13628</v>
      </c>
      <c r="BT583" t="s" s="1160">
        <f>HYPERLINK("https://www.webofscience.com/wos/woscc/full-record/WOS:001851989800001","View Record in Web of Science")</f>
        <v>120</v>
      </c>
      <c r="BU583" t="s" s="0">
        <v>1008</v>
      </c>
      <c r="BV583" t="s" s="0">
        <v>82</v>
      </c>
      <c r="BW583" t="s" s="0">
        <v>82</v>
      </c>
      <c r="BX583" t="s" s="0">
        <v>122</v>
      </c>
    </row>
    <row r="584">
      <c r="A584" t="s" s="0">
        <v>77</v>
      </c>
      <c r="B584" t="s" s="0">
        <v>78</v>
      </c>
      <c r="C584" t="s" s="0">
        <v>447</v>
      </c>
      <c r="D584" t="s" s="0">
        <v>78</v>
      </c>
      <c r="E584" t="s" s="0">
        <v>13629</v>
      </c>
      <c r="F584" t="s" s="0">
        <v>13630</v>
      </c>
      <c r="G584" t="s" s="0">
        <v>13631</v>
      </c>
      <c r="H584" t="s" s="0">
        <v>82</v>
      </c>
      <c r="I584" t="s" s="0">
        <v>83</v>
      </c>
      <c r="J584" t="s" s="0">
        <v>13632</v>
      </c>
      <c r="K584" t="s" s="0">
        <v>13633</v>
      </c>
      <c r="L584" t="s" s="0">
        <v>13634</v>
      </c>
      <c r="M584" t="s" s="0">
        <v>13635</v>
      </c>
      <c r="N584" t="s" s="0">
        <v>13636</v>
      </c>
      <c r="O584" t="s" s="0">
        <v>13637</v>
      </c>
      <c r="P584" t="s" s="0">
        <v>13638</v>
      </c>
      <c r="Q584" t="s" s="0">
        <v>91</v>
      </c>
      <c r="R584" t="s" s="0">
        <v>82</v>
      </c>
      <c r="S584" t="s" s="0">
        <v>82</v>
      </c>
      <c r="T584" t="s" s="0">
        <v>82</v>
      </c>
      <c r="U584" t="s" s="0">
        <v>82</v>
      </c>
      <c r="V584" t="s" s="0">
        <v>13639</v>
      </c>
      <c r="W584" t="s" s="0">
        <v>4704</v>
      </c>
      <c r="X584" t="s" s="0">
        <v>82</v>
      </c>
      <c r="Y584" t="s" s="0">
        <v>82</v>
      </c>
      <c r="Z584" t="s" s="0">
        <v>94</v>
      </c>
      <c r="AA584" t="s" s="0">
        <v>95</v>
      </c>
      <c r="AB584" t="s" s="0">
        <v>82</v>
      </c>
      <c r="AC584" t="s" s="0">
        <v>82</v>
      </c>
      <c r="AD584" t="s" s="0">
        <v>82</v>
      </c>
      <c r="AE584" t="s" s="0">
        <v>82</v>
      </c>
      <c r="AF584" t="s" s="0">
        <v>82</v>
      </c>
      <c r="AG584" t="s" s="0">
        <v>13640</v>
      </c>
      <c r="AH584" t="s" s="0">
        <v>13641</v>
      </c>
      <c r="AI584" t="s" s="0">
        <v>13642</v>
      </c>
      <c r="AJ584" t="s" s="0">
        <v>82</v>
      </c>
      <c r="AK584" t="s" s="0">
        <v>82</v>
      </c>
      <c r="AL584" t="s" s="0">
        <v>745</v>
      </c>
      <c r="AM584" t="s" s="0">
        <v>149</v>
      </c>
      <c r="AN584" t="s" s="0">
        <v>115</v>
      </c>
      <c r="AO584" t="s" s="0">
        <v>447</v>
      </c>
      <c r="AP584" t="s" s="0">
        <v>149</v>
      </c>
      <c r="AQ584" t="s" s="0">
        <v>400</v>
      </c>
      <c r="AR584" t="s" s="0">
        <v>401</v>
      </c>
      <c r="AS584" t="s" s="0">
        <v>402</v>
      </c>
      <c r="AT584" t="s" s="0">
        <v>4707</v>
      </c>
      <c r="AU584" t="s" s="0">
        <v>4708</v>
      </c>
      <c r="AV584" t="s" s="0">
        <v>82</v>
      </c>
      <c r="AW584" t="s" s="0">
        <v>4709</v>
      </c>
      <c r="AX584" t="s" s="0">
        <v>4710</v>
      </c>
      <c r="AY584" t="s" s="0">
        <v>250</v>
      </c>
      <c r="AZ584" t="s" s="0">
        <v>110</v>
      </c>
      <c r="BA584" t="s" s="0">
        <v>8598</v>
      </c>
      <c r="BB584" t="s" s="0">
        <v>82</v>
      </c>
      <c r="BC584" t="s" s="0">
        <v>82</v>
      </c>
      <c r="BD584" t="s" s="0">
        <v>82</v>
      </c>
      <c r="BE584" t="s" s="0">
        <v>82</v>
      </c>
      <c r="BF584" t="s" s="0">
        <v>82</v>
      </c>
      <c r="BG584" t="s" s="0">
        <v>82</v>
      </c>
      <c r="BH584" t="s" s="0">
        <v>82</v>
      </c>
      <c r="BI584" t="s" s="0">
        <v>13643</v>
      </c>
      <c r="BJ584" t="s" s="0">
        <v>13644</v>
      </c>
      <c r="BK584" t="s" s="1161">
        <f>HYPERLINK("http://dx.doi.org/10.1016/j.ijmedinf.2024.105487","http://dx.doi.org/10.1016/j.ijmedinf.2024.105487")</f>
        <v>13645</v>
      </c>
      <c r="BL584" t="s" s="0">
        <v>82</v>
      </c>
      <c r="BM584" t="s" s="0">
        <v>376</v>
      </c>
      <c r="BN584" t="s" s="0">
        <v>245</v>
      </c>
      <c r="BO584" t="s" s="0">
        <v>4716</v>
      </c>
      <c r="BP584" t="s" s="0">
        <v>4717</v>
      </c>
      <c r="BQ584" t="s" s="0">
        <v>13646</v>
      </c>
      <c r="BR584" t="s" s="0">
        <v>13647</v>
      </c>
      <c r="BS584" t="s" s="0">
        <v>13648</v>
      </c>
      <c r="BT584" t="s" s="1162">
        <f>HYPERLINK("https://www.webofscience.com/wos/woscc/full-record/WOS:001336325600001","View Record in Web of Science")</f>
        <v>120</v>
      </c>
      <c r="BU584" t="s" s="0">
        <v>159</v>
      </c>
      <c r="BV584" t="s" s="0">
        <v>82</v>
      </c>
      <c r="BW584" t="s" s="0">
        <v>82</v>
      </c>
      <c r="BX584" t="s" s="0">
        <v>122</v>
      </c>
    </row>
    <row r="585">
      <c r="A585" t="s" s="0">
        <v>78</v>
      </c>
      <c r="B585" t="s" s="0">
        <v>78</v>
      </c>
      <c r="C585" t="s" s="0">
        <v>137</v>
      </c>
      <c r="D585" t="s" s="0">
        <v>78</v>
      </c>
      <c r="E585" t="s" s="0">
        <v>13649</v>
      </c>
      <c r="F585" t="s" s="0">
        <v>13650</v>
      </c>
      <c r="G585" t="s" s="0">
        <v>13651</v>
      </c>
      <c r="H585" t="s" s="0">
        <v>82</v>
      </c>
      <c r="I585" t="s" s="0">
        <v>589</v>
      </c>
      <c r="J585" t="s" s="0">
        <v>13652</v>
      </c>
      <c r="K585" t="s" s="0">
        <v>13653</v>
      </c>
      <c r="L585" t="s" s="0">
        <v>82</v>
      </c>
      <c r="M585" t="s" s="0">
        <v>82</v>
      </c>
      <c r="N585" t="s" s="0">
        <v>82</v>
      </c>
      <c r="O585" t="s" s="0">
        <v>13654</v>
      </c>
      <c r="P585" t="s" s="0">
        <v>13655</v>
      </c>
      <c r="Q585" t="s" s="0">
        <v>91</v>
      </c>
      <c r="R585" t="s" s="0">
        <v>82</v>
      </c>
      <c r="S585" t="s" s="0">
        <v>82</v>
      </c>
      <c r="T585" t="s" s="0">
        <v>82</v>
      </c>
      <c r="U585" t="s" s="0">
        <v>82</v>
      </c>
      <c r="V585" t="s" s="0">
        <v>13656</v>
      </c>
      <c r="W585" t="s" s="0">
        <v>13657</v>
      </c>
      <c r="X585" t="s" s="0">
        <v>82</v>
      </c>
      <c r="Y585" t="s" s="0">
        <v>82</v>
      </c>
      <c r="Z585" t="s" s="0">
        <v>94</v>
      </c>
      <c r="AA585" t="s" s="0">
        <v>95</v>
      </c>
      <c r="AB585" t="s" s="0">
        <v>82</v>
      </c>
      <c r="AC585" t="s" s="0">
        <v>82</v>
      </c>
      <c r="AD585" t="s" s="0">
        <v>82</v>
      </c>
      <c r="AE585" t="s" s="0">
        <v>82</v>
      </c>
      <c r="AF585" t="s" s="0">
        <v>82</v>
      </c>
      <c r="AG585" t="s" s="0">
        <v>13658</v>
      </c>
      <c r="AH585" t="s" s="0">
        <v>13659</v>
      </c>
      <c r="AI585" t="s" s="0">
        <v>13660</v>
      </c>
      <c r="AJ585" t="s" s="0">
        <v>13661</v>
      </c>
      <c r="AK585" t="s" s="0">
        <v>82</v>
      </c>
      <c r="AL585" t="s" s="0">
        <v>273</v>
      </c>
      <c r="AM585" t="s" s="0">
        <v>548</v>
      </c>
      <c r="AN585" t="s" s="0">
        <v>890</v>
      </c>
      <c r="AO585" t="s" s="0">
        <v>77</v>
      </c>
      <c r="AP585" t="s" s="0">
        <v>245</v>
      </c>
      <c r="AQ585" t="s" s="0">
        <v>312</v>
      </c>
      <c r="AR585" t="s" s="0">
        <v>313</v>
      </c>
      <c r="AS585" t="s" s="0">
        <v>314</v>
      </c>
      <c r="AT585" t="s" s="0">
        <v>82</v>
      </c>
      <c r="AU585" t="s" s="0">
        <v>13662</v>
      </c>
      <c r="AV585" t="s" s="0">
        <v>82</v>
      </c>
      <c r="AW585" t="s" s="0">
        <v>13663</v>
      </c>
      <c r="AX585" t="s" s="0">
        <v>13664</v>
      </c>
      <c r="AY585" t="s" s="0">
        <v>1482</v>
      </c>
      <c r="AZ585" t="s" s="0">
        <v>408</v>
      </c>
      <c r="BA585" t="s" s="0">
        <v>1320</v>
      </c>
      <c r="BB585" t="s" s="0">
        <v>349</v>
      </c>
      <c r="BC585" t="s" s="0">
        <v>82</v>
      </c>
      <c r="BD585" t="s" s="0">
        <v>82</v>
      </c>
      <c r="BE585" t="s" s="0">
        <v>82</v>
      </c>
      <c r="BF585" t="s" s="0">
        <v>82</v>
      </c>
      <c r="BG585" t="s" s="0">
        <v>82</v>
      </c>
      <c r="BH585" t="s" s="0">
        <v>82</v>
      </c>
      <c r="BI585" t="s" s="0">
        <v>13665</v>
      </c>
      <c r="BJ585" t="s" s="0">
        <v>13666</v>
      </c>
      <c r="BK585" t="s" s="1163">
        <f>HYPERLINK("http://dx.doi.org/10.3390/ijerph19159057","http://dx.doi.org/10.3390/ijerph19159057")</f>
        <v>13667</v>
      </c>
      <c r="BL585" t="s" s="0">
        <v>82</v>
      </c>
      <c r="BM585" t="s" s="0">
        <v>82</v>
      </c>
      <c r="BN585" t="s" s="0">
        <v>319</v>
      </c>
      <c r="BO585" t="s" s="0">
        <v>13668</v>
      </c>
      <c r="BP585" t="s" s="0">
        <v>13669</v>
      </c>
      <c r="BQ585" t="s" s="0">
        <v>13670</v>
      </c>
      <c r="BR585" t="s" s="0">
        <v>13671</v>
      </c>
      <c r="BS585" t="s" s="0">
        <v>13672</v>
      </c>
      <c r="BT585" t="s" s="1164">
        <f>HYPERLINK("https://www.webofscience.com/wos/woscc/full-record/WOS:000839313400001","View Record in Web of Science")</f>
        <v>120</v>
      </c>
      <c r="BU585" t="s" s="0">
        <v>121</v>
      </c>
      <c r="BV585" t="s" s="0">
        <v>82</v>
      </c>
      <c r="BW585" t="s" s="0">
        <v>82</v>
      </c>
      <c r="BX585" t="s" s="0">
        <v>122</v>
      </c>
    </row>
    <row r="586">
      <c r="A586" t="s" s="0">
        <v>78</v>
      </c>
      <c r="B586" t="s" s="0">
        <v>78</v>
      </c>
      <c r="C586" t="s" s="0">
        <v>136</v>
      </c>
      <c r="D586" t="s" s="0">
        <v>78</v>
      </c>
      <c r="E586" t="s" s="0">
        <v>13673</v>
      </c>
      <c r="F586" t="s" s="0">
        <v>13674</v>
      </c>
      <c r="G586" t="s" s="0">
        <v>13675</v>
      </c>
      <c r="H586" t="s" s="0">
        <v>82</v>
      </c>
      <c r="I586" t="s" s="0">
        <v>83</v>
      </c>
      <c r="J586" t="s" s="0">
        <v>13676</v>
      </c>
      <c r="K586" t="s" s="0">
        <v>13677</v>
      </c>
      <c r="L586" t="s" s="0">
        <v>82</v>
      </c>
      <c r="M586" t="s" s="0">
        <v>82</v>
      </c>
      <c r="N586" t="s" s="0">
        <v>82</v>
      </c>
      <c r="O586" t="s" s="0">
        <v>13678</v>
      </c>
      <c r="P586" t="s" s="0">
        <v>13679</v>
      </c>
      <c r="Q586" t="s" s="0">
        <v>91</v>
      </c>
      <c r="R586" t="s" s="0">
        <v>82</v>
      </c>
      <c r="S586" t="s" s="0">
        <v>82</v>
      </c>
      <c r="T586" t="s" s="0">
        <v>82</v>
      </c>
      <c r="U586" t="s" s="0">
        <v>82</v>
      </c>
      <c r="V586" t="s" s="0">
        <v>13680</v>
      </c>
      <c r="W586" t="s" s="0">
        <v>7015</v>
      </c>
      <c r="X586" t="s" s="0">
        <v>82</v>
      </c>
      <c r="Y586" t="s" s="0">
        <v>82</v>
      </c>
      <c r="Z586" t="s" s="0">
        <v>94</v>
      </c>
      <c r="AA586" t="s" s="0">
        <v>95</v>
      </c>
      <c r="AB586" t="s" s="0">
        <v>82</v>
      </c>
      <c r="AC586" t="s" s="0">
        <v>82</v>
      </c>
      <c r="AD586" t="s" s="0">
        <v>82</v>
      </c>
      <c r="AE586" t="s" s="0">
        <v>82</v>
      </c>
      <c r="AF586" t="s" s="0">
        <v>82</v>
      </c>
      <c r="AG586" t="s" s="0">
        <v>13681</v>
      </c>
      <c r="AH586" t="s" s="0">
        <v>13682</v>
      </c>
      <c r="AI586" t="s" s="0">
        <v>13683</v>
      </c>
      <c r="AJ586" t="s" s="0">
        <v>13684</v>
      </c>
      <c r="AK586" t="s" s="0">
        <v>82</v>
      </c>
      <c r="AL586" t="s" s="0">
        <v>745</v>
      </c>
      <c r="AM586" t="s" s="0">
        <v>1526</v>
      </c>
      <c r="AN586" t="s" s="0">
        <v>1026</v>
      </c>
      <c r="AO586" t="s" s="0">
        <v>78</v>
      </c>
      <c r="AP586" t="s" s="0">
        <v>221</v>
      </c>
      <c r="AQ586" t="s" s="0">
        <v>202</v>
      </c>
      <c r="AR586" t="s" s="0">
        <v>203</v>
      </c>
      <c r="AS586" t="s" s="0">
        <v>204</v>
      </c>
      <c r="AT586" t="s" s="0">
        <v>7021</v>
      </c>
      <c r="AU586" t="s" s="0">
        <v>7022</v>
      </c>
      <c r="AV586" t="s" s="0">
        <v>82</v>
      </c>
      <c r="AW586" t="s" s="0">
        <v>7023</v>
      </c>
      <c r="AX586" t="s" s="0">
        <v>7024</v>
      </c>
      <c r="AY586" t="s" s="0">
        <v>1661</v>
      </c>
      <c r="AZ586" t="s" s="0">
        <v>525</v>
      </c>
      <c r="BA586" t="s" s="0">
        <v>831</v>
      </c>
      <c r="BB586" t="s" s="0">
        <v>245</v>
      </c>
      <c r="BC586" t="s" s="0">
        <v>82</v>
      </c>
      <c r="BD586" t="s" s="0">
        <v>82</v>
      </c>
      <c r="BE586" t="s" s="0">
        <v>82</v>
      </c>
      <c r="BF586" t="s" s="0">
        <v>82</v>
      </c>
      <c r="BG586" t="s" s="0">
        <v>13685</v>
      </c>
      <c r="BH586" t="s" s="0">
        <v>13686</v>
      </c>
      <c r="BI586" t="s" s="0">
        <v>82</v>
      </c>
      <c r="BJ586" t="s" s="0">
        <v>13687</v>
      </c>
      <c r="BK586" t="s" s="1165">
        <f>HYPERLINK("http://dx.doi.org/10.1016/j.spinee.2021.01.027","http://dx.doi.org/10.1016/j.spinee.2021.01.027")</f>
        <v>13688</v>
      </c>
      <c r="BL586" t="s" s="0">
        <v>82</v>
      </c>
      <c r="BM586" t="s" s="0">
        <v>1661</v>
      </c>
      <c r="BN586" t="s" s="0">
        <v>319</v>
      </c>
      <c r="BO586" t="s" s="0">
        <v>2062</v>
      </c>
      <c r="BP586" t="s" s="0">
        <v>2063</v>
      </c>
      <c r="BQ586" t="s" s="0">
        <v>11717</v>
      </c>
      <c r="BR586" t="s" s="0">
        <v>13689</v>
      </c>
      <c r="BS586" t="s" s="0">
        <v>13690</v>
      </c>
      <c r="BT586" t="s" s="1166">
        <f>HYPERLINK("https://www.webofscience.com/wos/woscc/full-record/WOS:000704865800012","View Record in Web of Science")</f>
        <v>120</v>
      </c>
      <c r="BU586" t="s" s="0">
        <v>82</v>
      </c>
      <c r="BV586" t="s" s="0">
        <v>82</v>
      </c>
      <c r="BW586" t="s" s="0">
        <v>82</v>
      </c>
      <c r="BX586" t="s" s="0">
        <v>122</v>
      </c>
    </row>
    <row r="587">
      <c r="A587" t="s" s="0">
        <v>78</v>
      </c>
      <c r="B587" t="s" s="0">
        <v>78</v>
      </c>
      <c r="C587" t="s" s="0">
        <v>77</v>
      </c>
      <c r="D587" t="s" s="0">
        <v>78</v>
      </c>
      <c r="E587" t="s" s="0">
        <v>13691</v>
      </c>
      <c r="F587" t="s" s="0">
        <v>13692</v>
      </c>
      <c r="G587" t="s" s="0">
        <v>13693</v>
      </c>
      <c r="H587" t="s" s="0">
        <v>82</v>
      </c>
      <c r="I587" t="s" s="0">
        <v>83</v>
      </c>
      <c r="J587" t="s" s="0">
        <v>13694</v>
      </c>
      <c r="K587" t="s" s="0">
        <v>13695</v>
      </c>
      <c r="L587" t="s" s="0">
        <v>13696</v>
      </c>
      <c r="M587" t="s" s="0">
        <v>13697</v>
      </c>
      <c r="N587" t="s" s="0">
        <v>13698</v>
      </c>
      <c r="O587" t="s" s="0">
        <v>13699</v>
      </c>
      <c r="P587" t="s" s="0">
        <v>13700</v>
      </c>
      <c r="Q587" t="s" s="0">
        <v>91</v>
      </c>
      <c r="R587" t="s" s="0">
        <v>82</v>
      </c>
      <c r="S587" t="s" s="0">
        <v>82</v>
      </c>
      <c r="T587" t="s" s="0">
        <v>82</v>
      </c>
      <c r="U587" t="s" s="0">
        <v>82</v>
      </c>
      <c r="V587" t="s" s="0">
        <v>13701</v>
      </c>
      <c r="W587" t="s" s="0">
        <v>13702</v>
      </c>
      <c r="X587" t="s" s="0">
        <v>82</v>
      </c>
      <c r="Y587" t="s" s="0">
        <v>82</v>
      </c>
      <c r="Z587" t="s" s="0">
        <v>94</v>
      </c>
      <c r="AA587" t="s" s="0">
        <v>95</v>
      </c>
      <c r="AB587" t="s" s="0">
        <v>82</v>
      </c>
      <c r="AC587" t="s" s="0">
        <v>82</v>
      </c>
      <c r="AD587" t="s" s="0">
        <v>82</v>
      </c>
      <c r="AE587" t="s" s="0">
        <v>82</v>
      </c>
      <c r="AF587" t="s" s="0">
        <v>82</v>
      </c>
      <c r="AG587" t="s" s="0">
        <v>13703</v>
      </c>
      <c r="AH587" t="s" s="0">
        <v>13704</v>
      </c>
      <c r="AI587" t="s" s="0">
        <v>13705</v>
      </c>
      <c r="AJ587" t="s" s="0">
        <v>13706</v>
      </c>
      <c r="AK587" t="s" s="0">
        <v>82</v>
      </c>
      <c r="AL587" t="s" s="0">
        <v>374</v>
      </c>
      <c r="AM587" t="s" s="0">
        <v>138</v>
      </c>
      <c r="AN587" t="s" s="0">
        <v>138</v>
      </c>
      <c r="AO587" t="s" s="0">
        <v>447</v>
      </c>
      <c r="AP587" t="s" s="0">
        <v>138</v>
      </c>
      <c r="AQ587" t="s" s="0">
        <v>491</v>
      </c>
      <c r="AR587" t="s" s="0">
        <v>492</v>
      </c>
      <c r="AS587" t="s" s="0">
        <v>493</v>
      </c>
      <c r="AT587" t="s" s="0">
        <v>13707</v>
      </c>
      <c r="AU587" t="s" s="0">
        <v>13708</v>
      </c>
      <c r="AV587" t="s" s="0">
        <v>82</v>
      </c>
      <c r="AW587" t="s" s="0">
        <v>13702</v>
      </c>
      <c r="AX587" t="s" s="0">
        <v>13709</v>
      </c>
      <c r="AY587" t="s" s="0">
        <v>1398</v>
      </c>
      <c r="AZ587" t="s" s="0">
        <v>147</v>
      </c>
      <c r="BA587" t="s" s="0">
        <v>1780</v>
      </c>
      <c r="BB587" t="s" s="0">
        <v>102</v>
      </c>
      <c r="BC587" t="s" s="0">
        <v>82</v>
      </c>
      <c r="BD587" t="s" s="0">
        <v>82</v>
      </c>
      <c r="BE587" t="s" s="0">
        <v>82</v>
      </c>
      <c r="BF587" t="s" s="0">
        <v>82</v>
      </c>
      <c r="BG587" t="s" s="0">
        <v>82</v>
      </c>
      <c r="BH587" t="s" s="0">
        <v>82</v>
      </c>
      <c r="BI587" t="s" s="0">
        <v>13710</v>
      </c>
      <c r="BJ587" t="s" s="0">
        <v>13711</v>
      </c>
      <c r="BK587" t="s" s="1167">
        <f>HYPERLINK("http://dx.doi.org/10.1093/europace/euaf031","http://dx.doi.org/10.1093/europace/euaf031")</f>
        <v>13712</v>
      </c>
      <c r="BL587" t="s" s="0">
        <v>82</v>
      </c>
      <c r="BM587" t="s" s="0">
        <v>82</v>
      </c>
      <c r="BN587" t="s" s="0">
        <v>115</v>
      </c>
      <c r="BO587" t="s" s="0">
        <v>503</v>
      </c>
      <c r="BP587" t="s" s="0">
        <v>504</v>
      </c>
      <c r="BQ587" t="s" s="0">
        <v>13713</v>
      </c>
      <c r="BR587" t="s" s="0">
        <v>13714</v>
      </c>
      <c r="BS587" t="s" s="0">
        <v>13715</v>
      </c>
      <c r="BT587" t="s" s="1168">
        <f>HYPERLINK("https://www.webofscience.com/wos/woscc/full-record/WOS:001457590900001","View Record in Web of Science")</f>
        <v>120</v>
      </c>
      <c r="BU587" t="s" s="0">
        <v>13716</v>
      </c>
      <c r="BV587" t="s" s="0">
        <v>82</v>
      </c>
      <c r="BW587" t="s" s="0">
        <v>82</v>
      </c>
      <c r="BX587" t="s" s="0">
        <v>122</v>
      </c>
    </row>
    <row r="588">
      <c r="A588" t="s" s="0">
        <v>78</v>
      </c>
      <c r="B588" t="s" s="0">
        <v>78</v>
      </c>
      <c r="C588" t="s" s="0">
        <v>78</v>
      </c>
      <c r="D588" t="s" s="0">
        <v>78</v>
      </c>
      <c r="E588" t="s" s="0">
        <v>13717</v>
      </c>
      <c r="F588" t="s" s="0">
        <v>13718</v>
      </c>
      <c r="G588" t="s" s="0">
        <v>13719</v>
      </c>
      <c r="H588" t="s" s="0">
        <v>82</v>
      </c>
      <c r="I588" t="s" s="0">
        <v>83</v>
      </c>
      <c r="J588" t="s" s="0">
        <v>13720</v>
      </c>
      <c r="K588" t="s" s="0">
        <v>13721</v>
      </c>
      <c r="L588" t="s" s="0">
        <v>13722</v>
      </c>
      <c r="M588" t="s" s="0">
        <v>13723</v>
      </c>
      <c r="N588" t="s" s="0">
        <v>13724</v>
      </c>
      <c r="O588" t="s" s="0">
        <v>13725</v>
      </c>
      <c r="P588" t="s" s="0">
        <v>13726</v>
      </c>
      <c r="Q588" t="s" s="0">
        <v>91</v>
      </c>
      <c r="R588" t="s" s="0">
        <v>82</v>
      </c>
      <c r="S588" t="s" s="0">
        <v>82</v>
      </c>
      <c r="T588" t="s" s="0">
        <v>82</v>
      </c>
      <c r="U588" t="s" s="0">
        <v>82</v>
      </c>
      <c r="V588" t="s" s="0">
        <v>13727</v>
      </c>
      <c r="W588" t="s" s="0">
        <v>3386</v>
      </c>
      <c r="X588" t="s" s="0">
        <v>82</v>
      </c>
      <c r="Y588" t="s" s="0">
        <v>82</v>
      </c>
      <c r="Z588" t="s" s="0">
        <v>94</v>
      </c>
      <c r="AA588" t="s" s="0">
        <v>95</v>
      </c>
      <c r="AB588" t="s" s="0">
        <v>82</v>
      </c>
      <c r="AC588" t="s" s="0">
        <v>82</v>
      </c>
      <c r="AD588" t="s" s="0">
        <v>82</v>
      </c>
      <c r="AE588" t="s" s="0">
        <v>82</v>
      </c>
      <c r="AF588" t="s" s="0">
        <v>82</v>
      </c>
      <c r="AG588" t="s" s="0">
        <v>13728</v>
      </c>
      <c r="AH588" t="s" s="0">
        <v>13729</v>
      </c>
      <c r="AI588" t="s" s="0">
        <v>13730</v>
      </c>
      <c r="AJ588" t="s" s="0">
        <v>82</v>
      </c>
      <c r="AK588" t="s" s="0">
        <v>82</v>
      </c>
      <c r="AL588" t="s" s="0">
        <v>1026</v>
      </c>
      <c r="AM588" t="s" s="0">
        <v>78</v>
      </c>
      <c r="AN588" t="s" s="0">
        <v>78</v>
      </c>
      <c r="AO588" t="s" s="0">
        <v>447</v>
      </c>
      <c r="AP588" t="s" s="0">
        <v>447</v>
      </c>
      <c r="AQ588" t="s" s="0">
        <v>2484</v>
      </c>
      <c r="AR588" t="s" s="0">
        <v>2485</v>
      </c>
      <c r="AS588" t="s" s="0">
        <v>2486</v>
      </c>
      <c r="AT588" t="s" s="0">
        <v>3388</v>
      </c>
      <c r="AU588" t="s" s="0">
        <v>82</v>
      </c>
      <c r="AV588" t="s" s="0">
        <v>82</v>
      </c>
      <c r="AW588" t="s" s="0">
        <v>3389</v>
      </c>
      <c r="AX588" t="s" s="0">
        <v>3390</v>
      </c>
      <c r="AY588" t="s" s="0">
        <v>13731</v>
      </c>
      <c r="AZ588" t="s" s="0">
        <v>181</v>
      </c>
      <c r="BA588" t="s" s="0">
        <v>154</v>
      </c>
      <c r="BB588" t="s" s="0">
        <v>82</v>
      </c>
      <c r="BC588" t="s" s="0">
        <v>82</v>
      </c>
      <c r="BD588" t="s" s="0">
        <v>82</v>
      </c>
      <c r="BE588" t="s" s="0">
        <v>82</v>
      </c>
      <c r="BF588" t="s" s="0">
        <v>82</v>
      </c>
      <c r="BG588" t="s" s="0">
        <v>82</v>
      </c>
      <c r="BH588" t="s" s="0">
        <v>82</v>
      </c>
      <c r="BI588" t="s" s="0">
        <v>13732</v>
      </c>
      <c r="BJ588" t="s" s="0">
        <v>13733</v>
      </c>
      <c r="BK588" t="s" s="1169">
        <f>HYPERLINK("http://dx.doi.org/10.3389/fnagi.2026.1855864","http://dx.doi.org/10.3389/fnagi.2026.1855864")</f>
        <v>13734</v>
      </c>
      <c r="BL588" t="s" s="0">
        <v>82</v>
      </c>
      <c r="BM588" t="s" s="0">
        <v>184</v>
      </c>
      <c r="BN588" t="s" s="0">
        <v>1320</v>
      </c>
      <c r="BO588" t="s" s="0">
        <v>3395</v>
      </c>
      <c r="BP588" t="s" s="0">
        <v>3396</v>
      </c>
      <c r="BQ588" t="s" s="0">
        <v>13735</v>
      </c>
      <c r="BR588" t="s" s="0">
        <v>13736</v>
      </c>
      <c r="BS588" t="s" s="0">
        <v>13737</v>
      </c>
      <c r="BT588" t="s" s="1170">
        <f>HYPERLINK("https://www.webofscience.com/wos/woscc/full-record/WOS:001813140200001","View Record in Web of Science")</f>
        <v>120</v>
      </c>
      <c r="BU588" t="s" s="0">
        <v>121</v>
      </c>
      <c r="BV588" t="s" s="0">
        <v>82</v>
      </c>
      <c r="BW588" t="s" s="0">
        <v>82</v>
      </c>
      <c r="BX588" t="s" s="0">
        <v>122</v>
      </c>
    </row>
    <row r="589">
      <c r="A589" t="s" s="0">
        <v>78</v>
      </c>
      <c r="B589" t="s" s="0">
        <v>78</v>
      </c>
      <c r="C589" t="s" s="0">
        <v>77</v>
      </c>
      <c r="D589" t="s" s="0">
        <v>78</v>
      </c>
      <c r="E589" t="s" s="0">
        <v>13738</v>
      </c>
      <c r="F589" t="s" s="0">
        <v>13739</v>
      </c>
      <c r="G589" t="s" s="0">
        <v>13740</v>
      </c>
      <c r="H589" t="s" s="0">
        <v>82</v>
      </c>
      <c r="I589" t="s" s="0">
        <v>83</v>
      </c>
      <c r="J589" t="s" s="0">
        <v>13741</v>
      </c>
      <c r="K589" t="s" s="0">
        <v>13742</v>
      </c>
      <c r="L589" t="s" s="0">
        <v>13743</v>
      </c>
      <c r="M589" t="s" s="0">
        <v>13744</v>
      </c>
      <c r="N589" t="s" s="0">
        <v>82</v>
      </c>
      <c r="O589" t="s" s="0">
        <v>13745</v>
      </c>
      <c r="P589" t="s" s="0">
        <v>13746</v>
      </c>
      <c r="Q589" t="s" s="0">
        <v>91</v>
      </c>
      <c r="R589" t="s" s="0">
        <v>82</v>
      </c>
      <c r="S589" t="s" s="0">
        <v>82</v>
      </c>
      <c r="T589" t="s" s="0">
        <v>82</v>
      </c>
      <c r="U589" t="s" s="0">
        <v>82</v>
      </c>
      <c r="V589" t="s" s="0">
        <v>13747</v>
      </c>
      <c r="W589" t="s" s="0">
        <v>13748</v>
      </c>
      <c r="X589" t="s" s="0">
        <v>82</v>
      </c>
      <c r="Y589" t="s" s="0">
        <v>82</v>
      </c>
      <c r="Z589" t="s" s="0">
        <v>94</v>
      </c>
      <c r="AA589" t="s" s="0">
        <v>95</v>
      </c>
      <c r="AB589" t="s" s="0">
        <v>82</v>
      </c>
      <c r="AC589" t="s" s="0">
        <v>82</v>
      </c>
      <c r="AD589" t="s" s="0">
        <v>82</v>
      </c>
      <c r="AE589" t="s" s="0">
        <v>82</v>
      </c>
      <c r="AF589" t="s" s="0">
        <v>82</v>
      </c>
      <c r="AG589" t="s" s="0">
        <v>13749</v>
      </c>
      <c r="AH589" t="s" s="0">
        <v>13750</v>
      </c>
      <c r="AI589" t="s" s="0">
        <v>13751</v>
      </c>
      <c r="AJ589" t="s" s="0">
        <v>13752</v>
      </c>
      <c r="AK589" t="s" s="0">
        <v>82</v>
      </c>
      <c r="AL589" t="s" s="0">
        <v>201</v>
      </c>
      <c r="AM589" t="s" s="0">
        <v>1320</v>
      </c>
      <c r="AN589" t="s" s="0">
        <v>685</v>
      </c>
      <c r="AO589" t="s" s="0">
        <v>78</v>
      </c>
      <c r="AP589" t="s" s="0">
        <v>319</v>
      </c>
      <c r="AQ589" t="s" s="0">
        <v>4242</v>
      </c>
      <c r="AR589" t="s" s="0">
        <v>4243</v>
      </c>
      <c r="AS589" t="s" s="0">
        <v>4244</v>
      </c>
      <c r="AT589" t="s" s="0">
        <v>13753</v>
      </c>
      <c r="AU589" t="s" s="0">
        <v>13754</v>
      </c>
      <c r="AV589" t="s" s="0">
        <v>82</v>
      </c>
      <c r="AW589" t="s" s="0">
        <v>13755</v>
      </c>
      <c r="AX589" t="s" s="0">
        <v>13756</v>
      </c>
      <c r="AY589" t="s" s="0">
        <v>13757</v>
      </c>
      <c r="AZ589" t="s" s="0">
        <v>1035</v>
      </c>
      <c r="BA589" t="s" s="0">
        <v>353</v>
      </c>
      <c r="BB589" t="s" s="0">
        <v>77</v>
      </c>
      <c r="BC589" t="s" s="0">
        <v>2057</v>
      </c>
      <c r="BD589" t="s" s="0">
        <v>82</v>
      </c>
      <c r="BE589" t="s" s="0">
        <v>82</v>
      </c>
      <c r="BF589" t="s" s="0">
        <v>82</v>
      </c>
      <c r="BG589" t="s" s="0">
        <v>890</v>
      </c>
      <c r="BH589" t="s" s="0">
        <v>100</v>
      </c>
      <c r="BI589" t="s" s="0">
        <v>82</v>
      </c>
      <c r="BJ589" t="s" s="0">
        <v>13758</v>
      </c>
      <c r="BK589" t="s" s="1171">
        <f>HYPERLINK("http://dx.doi.org/10.1177/1460458218813600","http://dx.doi.org/10.1177/1460458218813600")</f>
        <v>13759</v>
      </c>
      <c r="BL589" t="s" s="0">
        <v>82</v>
      </c>
      <c r="BM589" t="s" s="0">
        <v>82</v>
      </c>
      <c r="BN589" t="s" s="0">
        <v>137</v>
      </c>
      <c r="BO589" t="s" s="0">
        <v>785</v>
      </c>
      <c r="BP589" t="s" s="0">
        <v>785</v>
      </c>
      <c r="BQ589" t="s" s="0">
        <v>13760</v>
      </c>
      <c r="BR589" t="s" s="0">
        <v>13761</v>
      </c>
      <c r="BS589" t="s" s="0">
        <v>13762</v>
      </c>
      <c r="BT589" t="s" s="1172">
        <f>HYPERLINK("https://www.webofscience.com/wos/woscc/full-record/WOS:000532778400004","View Record in Web of Science")</f>
        <v>120</v>
      </c>
      <c r="BU589" t="s" s="0">
        <v>1265</v>
      </c>
      <c r="BV589" t="s" s="0">
        <v>82</v>
      </c>
      <c r="BW589" t="s" s="0">
        <v>82</v>
      </c>
      <c r="BX589" t="s" s="0">
        <v>122</v>
      </c>
    </row>
    <row r="590">
      <c r="A590" t="s" s="0">
        <v>78</v>
      </c>
      <c r="B590" t="s" s="0">
        <v>78</v>
      </c>
      <c r="C590" t="s" s="0">
        <v>137</v>
      </c>
      <c r="D590" t="s" s="0">
        <v>78</v>
      </c>
      <c r="E590" t="s" s="0">
        <v>13763</v>
      </c>
      <c r="F590" t="s" s="0">
        <v>13764</v>
      </c>
      <c r="G590" t="s" s="0">
        <v>13765</v>
      </c>
      <c r="H590" t="s" s="0">
        <v>82</v>
      </c>
      <c r="I590" t="s" s="0">
        <v>13766</v>
      </c>
      <c r="J590" t="s" s="0">
        <v>13767</v>
      </c>
      <c r="K590" t="s" s="0">
        <v>13768</v>
      </c>
      <c r="L590" t="s" s="0">
        <v>13769</v>
      </c>
      <c r="M590" t="s" s="0">
        <v>13770</v>
      </c>
      <c r="N590" t="s" s="0">
        <v>13771</v>
      </c>
      <c r="O590" t="s" s="0">
        <v>13772</v>
      </c>
      <c r="P590" t="s" s="0">
        <v>13773</v>
      </c>
      <c r="Q590" t="s" s="0">
        <v>91</v>
      </c>
      <c r="R590" t="s" s="0">
        <v>82</v>
      </c>
      <c r="S590" t="s" s="0">
        <v>82</v>
      </c>
      <c r="T590" t="s" s="0">
        <v>82</v>
      </c>
      <c r="U590" t="s" s="0">
        <v>82</v>
      </c>
      <c r="V590" t="s" s="0">
        <v>13774</v>
      </c>
      <c r="W590" t="s" s="0">
        <v>13775</v>
      </c>
      <c r="X590" t="s" s="0">
        <v>82</v>
      </c>
      <c r="Y590" t="s" s="0">
        <v>82</v>
      </c>
      <c r="Z590" t="s" s="0">
        <v>94</v>
      </c>
      <c r="AA590" t="s" s="0">
        <v>95</v>
      </c>
      <c r="AB590" t="s" s="0">
        <v>82</v>
      </c>
      <c r="AC590" t="s" s="0">
        <v>82</v>
      </c>
      <c r="AD590" t="s" s="0">
        <v>82</v>
      </c>
      <c r="AE590" t="s" s="0">
        <v>82</v>
      </c>
      <c r="AF590" t="s" s="0">
        <v>82</v>
      </c>
      <c r="AG590" t="s" s="0">
        <v>13776</v>
      </c>
      <c r="AH590" t="s" s="0">
        <v>13777</v>
      </c>
      <c r="AI590" t="s" s="0">
        <v>13778</v>
      </c>
      <c r="AJ590" t="s" s="0">
        <v>13779</v>
      </c>
      <c r="AK590" t="s" s="0">
        <v>82</v>
      </c>
      <c r="AL590" t="s" s="0">
        <v>1869</v>
      </c>
      <c r="AM590" t="s" s="0">
        <v>2191</v>
      </c>
      <c r="AN590" t="s" s="0">
        <v>830</v>
      </c>
      <c r="AO590" t="s" s="0">
        <v>77</v>
      </c>
      <c r="AP590" t="s" s="0">
        <v>1320</v>
      </c>
      <c r="AQ590" t="s" s="0">
        <v>13780</v>
      </c>
      <c r="AR590" t="s" s="0">
        <v>9516</v>
      </c>
      <c r="AS590" t="s" s="0">
        <v>13781</v>
      </c>
      <c r="AT590" t="s" s="0">
        <v>13782</v>
      </c>
      <c r="AU590" t="s" s="0">
        <v>13783</v>
      </c>
      <c r="AV590" t="s" s="0">
        <v>82</v>
      </c>
      <c r="AW590" t="s" s="0">
        <v>13784</v>
      </c>
      <c r="AX590" t="s" s="0">
        <v>13785</v>
      </c>
      <c r="AY590" t="s" s="0">
        <v>13786</v>
      </c>
      <c r="AZ590" t="s" s="0">
        <v>525</v>
      </c>
      <c r="BA590" t="s" s="0">
        <v>548</v>
      </c>
      <c r="BB590" t="s" s="0">
        <v>77</v>
      </c>
      <c r="BC590" t="s" s="0">
        <v>2057</v>
      </c>
      <c r="BD590" t="s" s="0">
        <v>82</v>
      </c>
      <c r="BE590" t="s" s="0">
        <v>82</v>
      </c>
      <c r="BF590" t="s" s="0">
        <v>82</v>
      </c>
      <c r="BG590" t="s" s="0">
        <v>1628</v>
      </c>
      <c r="BH590" t="s" s="0">
        <v>2940</v>
      </c>
      <c r="BI590" t="s" s="0">
        <v>82</v>
      </c>
      <c r="BJ590" t="s" s="0">
        <v>13787</v>
      </c>
      <c r="BK590" t="s" s="1173">
        <f>HYPERLINK("http://dx.doi.org/10.1080/10503307.2020.1823029","http://dx.doi.org/10.1080/10503307.2020.1823029")</f>
        <v>13788</v>
      </c>
      <c r="BL590" t="s" s="0">
        <v>82</v>
      </c>
      <c r="BM590" t="s" s="0">
        <v>7715</v>
      </c>
      <c r="BN590" t="s" s="0">
        <v>323</v>
      </c>
      <c r="BO590" t="s" s="0">
        <v>13789</v>
      </c>
      <c r="BP590" t="s" s="0">
        <v>1427</v>
      </c>
      <c r="BQ590" t="s" s="0">
        <v>13790</v>
      </c>
      <c r="BR590" t="s" s="0">
        <v>13791</v>
      </c>
      <c r="BS590" t="s" s="0">
        <v>13792</v>
      </c>
      <c r="BT590" t="s" s="1174">
        <f>HYPERLINK("https://www.webofscience.com/wos/woscc/full-record/WOS:000572195300001","View Record in Web of Science")</f>
        <v>120</v>
      </c>
      <c r="BU590" t="s" s="0">
        <v>2442</v>
      </c>
      <c r="BV590" t="s" s="0">
        <v>82</v>
      </c>
      <c r="BW590" t="s" s="0">
        <v>82</v>
      </c>
      <c r="BX590" t="s" s="0">
        <v>122</v>
      </c>
    </row>
    <row r="591">
      <c r="A591" t="s" s="0">
        <v>78</v>
      </c>
      <c r="B591" t="s" s="0">
        <v>78</v>
      </c>
      <c r="C591" t="s" s="0">
        <v>447</v>
      </c>
      <c r="D591" t="s" s="0">
        <v>78</v>
      </c>
      <c r="E591" t="s" s="0">
        <v>13793</v>
      </c>
      <c r="F591" t="s" s="0">
        <v>13794</v>
      </c>
      <c r="G591" t="s" s="0">
        <v>13795</v>
      </c>
      <c r="H591" t="s" s="0">
        <v>82</v>
      </c>
      <c r="I591" t="s" s="0">
        <v>83</v>
      </c>
      <c r="J591" t="s" s="0">
        <v>13796</v>
      </c>
      <c r="K591" t="s" s="0">
        <v>13797</v>
      </c>
      <c r="L591" t="s" s="0">
        <v>13798</v>
      </c>
      <c r="M591" t="s" s="0">
        <v>13799</v>
      </c>
      <c r="N591" t="s" s="0">
        <v>13800</v>
      </c>
      <c r="O591" t="s" s="0">
        <v>13801</v>
      </c>
      <c r="P591" t="s" s="0">
        <v>13802</v>
      </c>
      <c r="Q591" t="s" s="0">
        <v>91</v>
      </c>
      <c r="R591" t="s" s="0">
        <v>82</v>
      </c>
      <c r="S591" t="s" s="0">
        <v>82</v>
      </c>
      <c r="T591" t="s" s="0">
        <v>82</v>
      </c>
      <c r="U591" t="s" s="0">
        <v>82</v>
      </c>
      <c r="V591" t="s" s="0">
        <v>13803</v>
      </c>
      <c r="W591" t="s" s="0">
        <v>2387</v>
      </c>
      <c r="X591" t="s" s="0">
        <v>82</v>
      </c>
      <c r="Y591" t="s" s="0">
        <v>82</v>
      </c>
      <c r="Z591" t="s" s="0">
        <v>94</v>
      </c>
      <c r="AA591" t="s" s="0">
        <v>95</v>
      </c>
      <c r="AB591" t="s" s="0">
        <v>82</v>
      </c>
      <c r="AC591" t="s" s="0">
        <v>82</v>
      </c>
      <c r="AD591" t="s" s="0">
        <v>82</v>
      </c>
      <c r="AE591" t="s" s="0">
        <v>82</v>
      </c>
      <c r="AF591" t="s" s="0">
        <v>82</v>
      </c>
      <c r="AG591" t="s" s="0">
        <v>82</v>
      </c>
      <c r="AH591" t="s" s="0">
        <v>82</v>
      </c>
      <c r="AI591" t="s" s="0">
        <v>82</v>
      </c>
      <c r="AJ591" t="s" s="0">
        <v>82</v>
      </c>
      <c r="AK591" t="s" s="0">
        <v>82</v>
      </c>
      <c r="AL591" t="s" s="0">
        <v>1161</v>
      </c>
      <c r="AM591" t="s" s="0">
        <v>447</v>
      </c>
      <c r="AN591" t="s" s="0">
        <v>447</v>
      </c>
      <c r="AO591" t="s" s="0">
        <v>78</v>
      </c>
      <c r="AP591" t="s" s="0">
        <v>78</v>
      </c>
      <c r="AQ591" t="s" s="0">
        <v>2391</v>
      </c>
      <c r="AR591" t="s" s="0">
        <v>203</v>
      </c>
      <c r="AS591" t="s" s="0">
        <v>2392</v>
      </c>
      <c r="AT591" t="s" s="0">
        <v>2393</v>
      </c>
      <c r="AU591" t="s" s="0">
        <v>2394</v>
      </c>
      <c r="AV591" t="s" s="0">
        <v>82</v>
      </c>
      <c r="AW591" t="s" s="0">
        <v>2387</v>
      </c>
      <c r="AX591" t="s" s="0">
        <v>950</v>
      </c>
      <c r="AY591" t="s" s="0">
        <v>502</v>
      </c>
      <c r="AZ591" t="s" s="0">
        <v>147</v>
      </c>
      <c r="BA591" t="s" s="0">
        <v>13804</v>
      </c>
      <c r="BB591" t="s" s="0">
        <v>82</v>
      </c>
      <c r="BC591" t="s" s="0">
        <v>82</v>
      </c>
      <c r="BD591" t="s" s="0">
        <v>82</v>
      </c>
      <c r="BE591" t="s" s="0">
        <v>82</v>
      </c>
      <c r="BF591" t="s" s="0">
        <v>82</v>
      </c>
      <c r="BG591" t="s" s="0">
        <v>82</v>
      </c>
      <c r="BH591" t="s" s="0">
        <v>82</v>
      </c>
      <c r="BI591" t="s" s="0">
        <v>13805</v>
      </c>
      <c r="BJ591" t="s" s="0">
        <v>13806</v>
      </c>
      <c r="BK591" t="s" s="1175">
        <f>HYPERLINK("http://dx.doi.org/10.1016/j.surg.2025.109406","http://dx.doi.org/10.1016/j.surg.2025.109406")</f>
        <v>13807</v>
      </c>
      <c r="BL591" t="s" s="0">
        <v>82</v>
      </c>
      <c r="BM591" t="s" s="0">
        <v>1556</v>
      </c>
      <c r="BN591" t="s" s="0">
        <v>319</v>
      </c>
      <c r="BO591" t="s" s="0">
        <v>950</v>
      </c>
      <c r="BP591" t="s" s="0">
        <v>950</v>
      </c>
      <c r="BQ591" t="s" s="0">
        <v>13808</v>
      </c>
      <c r="BR591" t="s" s="0">
        <v>13809</v>
      </c>
      <c r="BS591" t="s" s="0">
        <v>13810</v>
      </c>
      <c r="BT591" t="s" s="1176">
        <f>HYPERLINK("https://www.webofscience.com/wos/woscc/full-record/WOS:001492021800001","View Record in Web of Science")</f>
        <v>120</v>
      </c>
      <c r="BU591" t="s" s="0">
        <v>82</v>
      </c>
      <c r="BV591" t="s" s="0">
        <v>82</v>
      </c>
      <c r="BW591" t="s" s="0">
        <v>82</v>
      </c>
      <c r="BX591" t="s" s="0">
        <v>122</v>
      </c>
    </row>
    <row r="592">
      <c r="A592" t="s" s="0">
        <v>78</v>
      </c>
      <c r="B592" t="s" s="0">
        <v>78</v>
      </c>
      <c r="C592" t="s" s="0">
        <v>78</v>
      </c>
      <c r="D592" t="s" s="0">
        <v>78</v>
      </c>
      <c r="E592" t="s" s="0">
        <v>13811</v>
      </c>
      <c r="F592" t="s" s="0">
        <v>13812</v>
      </c>
      <c r="G592" t="s" s="0">
        <v>13813</v>
      </c>
      <c r="H592" t="s" s="0">
        <v>82</v>
      </c>
      <c r="I592" t="s" s="0">
        <v>83</v>
      </c>
      <c r="J592" t="s" s="0">
        <v>13814</v>
      </c>
      <c r="K592" t="s" s="0">
        <v>13815</v>
      </c>
      <c r="L592" t="s" s="0">
        <v>82</v>
      </c>
      <c r="M592" t="s" s="0">
        <v>82</v>
      </c>
      <c r="N592" t="s" s="0">
        <v>82</v>
      </c>
      <c r="O592" t="s" s="0">
        <v>13816</v>
      </c>
      <c r="P592" t="s" s="0">
        <v>13817</v>
      </c>
      <c r="Q592" t="s" s="0">
        <v>91</v>
      </c>
      <c r="R592" t="s" s="0">
        <v>82</v>
      </c>
      <c r="S592" t="s" s="0">
        <v>82</v>
      </c>
      <c r="T592" t="s" s="0">
        <v>82</v>
      </c>
      <c r="U592" t="s" s="0">
        <v>82</v>
      </c>
      <c r="V592" t="s" s="0">
        <v>13818</v>
      </c>
      <c r="W592" t="s" s="0">
        <v>13819</v>
      </c>
      <c r="X592" t="s" s="0">
        <v>82</v>
      </c>
      <c r="Y592" t="s" s="0">
        <v>82</v>
      </c>
      <c r="Z592" t="s" s="0">
        <v>94</v>
      </c>
      <c r="AA592" t="s" s="0">
        <v>95</v>
      </c>
      <c r="AB592" t="s" s="0">
        <v>82</v>
      </c>
      <c r="AC592" t="s" s="0">
        <v>82</v>
      </c>
      <c r="AD592" t="s" s="0">
        <v>82</v>
      </c>
      <c r="AE592" t="s" s="0">
        <v>82</v>
      </c>
      <c r="AF592" t="s" s="0">
        <v>82</v>
      </c>
      <c r="AG592" t="s" s="0">
        <v>13820</v>
      </c>
      <c r="AH592" t="s" s="0">
        <v>13821</v>
      </c>
      <c r="AI592" t="s" s="0">
        <v>82</v>
      </c>
      <c r="AJ592" t="s" s="0">
        <v>82</v>
      </c>
      <c r="AK592" t="s" s="0">
        <v>82</v>
      </c>
      <c r="AL592" t="s" s="0">
        <v>273</v>
      </c>
      <c r="AM592" t="s" s="0">
        <v>78</v>
      </c>
      <c r="AN592" t="s" s="0">
        <v>78</v>
      </c>
      <c r="AO592" t="s" s="0">
        <v>78</v>
      </c>
      <c r="AP592" t="s" s="0">
        <v>78</v>
      </c>
      <c r="AQ592" t="s" s="0">
        <v>103</v>
      </c>
      <c r="AR592" t="s" s="0">
        <v>104</v>
      </c>
      <c r="AS592" t="s" s="0">
        <v>105</v>
      </c>
      <c r="AT592" t="s" s="0">
        <v>82</v>
      </c>
      <c r="AU592" t="s" s="0">
        <v>13822</v>
      </c>
      <c r="AV592" t="s" s="0">
        <v>82</v>
      </c>
      <c r="AW592" t="s" s="0">
        <v>13823</v>
      </c>
      <c r="AX592" t="s" s="0">
        <v>13824</v>
      </c>
      <c r="AY592" t="s" s="0">
        <v>6839</v>
      </c>
      <c r="AZ592" t="s" s="0">
        <v>181</v>
      </c>
      <c r="BA592" t="s" s="0">
        <v>1780</v>
      </c>
      <c r="BB592" t="s" s="0">
        <v>77</v>
      </c>
      <c r="BC592" t="s" s="0">
        <v>82</v>
      </c>
      <c r="BD592" t="s" s="0">
        <v>82</v>
      </c>
      <c r="BE592" t="s" s="0">
        <v>82</v>
      </c>
      <c r="BF592" t="s" s="0">
        <v>82</v>
      </c>
      <c r="BG592" t="s" s="0">
        <v>82</v>
      </c>
      <c r="BH592" t="s" s="0">
        <v>82</v>
      </c>
      <c r="BI592" t="s" s="0">
        <v>3806</v>
      </c>
      <c r="BJ592" t="s" s="0">
        <v>13825</v>
      </c>
      <c r="BK592" t="s" s="1177">
        <f>HYPERLINK("http://dx.doi.org/10.1186/s12882-026-05109-3","http://dx.doi.org/10.1186/s12882-026-05109-3")</f>
        <v>13826</v>
      </c>
      <c r="BL592" t="s" s="0">
        <v>82</v>
      </c>
      <c r="BM592" t="s" s="0">
        <v>82</v>
      </c>
      <c r="BN592" t="s" s="0">
        <v>137</v>
      </c>
      <c r="BO592" t="s" s="0">
        <v>1197</v>
      </c>
      <c r="BP592" t="s" s="0">
        <v>1197</v>
      </c>
      <c r="BQ592" t="s" s="0">
        <v>13827</v>
      </c>
      <c r="BR592" t="s" s="0">
        <v>13828</v>
      </c>
      <c r="BS592" t="s" s="0">
        <v>13829</v>
      </c>
      <c r="BT592" t="s" s="1178">
        <f>HYPERLINK("https://www.webofscience.com/wos/woscc/full-record/WOS:001850139900001","View Record in Web of Science")</f>
        <v>120</v>
      </c>
      <c r="BU592" t="s" s="0">
        <v>1008</v>
      </c>
      <c r="BV592" t="s" s="0">
        <v>82</v>
      </c>
      <c r="BW592" t="s" s="0">
        <v>82</v>
      </c>
      <c r="BX592" t="s" s="0">
        <v>122</v>
      </c>
    </row>
    <row r="593">
      <c r="A593" t="s" s="0">
        <v>77</v>
      </c>
      <c r="B593" t="s" s="0">
        <v>78</v>
      </c>
      <c r="C593" t="s" s="0">
        <v>319</v>
      </c>
      <c r="D593" t="s" s="0">
        <v>77</v>
      </c>
      <c r="E593" t="s" s="0">
        <v>13830</v>
      </c>
      <c r="F593" t="s" s="0">
        <v>13831</v>
      </c>
      <c r="G593" t="s" s="0">
        <v>13832</v>
      </c>
      <c r="H593" t="s" s="0">
        <v>82</v>
      </c>
      <c r="I593" t="s" s="0">
        <v>83</v>
      </c>
      <c r="J593" t="s" s="0">
        <v>13833</v>
      </c>
      <c r="K593" t="s" s="0">
        <v>13834</v>
      </c>
      <c r="L593" t="s" s="0">
        <v>13835</v>
      </c>
      <c r="M593" t="s" s="0">
        <v>13836</v>
      </c>
      <c r="N593" t="s" s="0">
        <v>13837</v>
      </c>
      <c r="O593" t="s" s="0">
        <v>13838</v>
      </c>
      <c r="P593" t="s" s="0">
        <v>13839</v>
      </c>
      <c r="Q593" t="s" s="0">
        <v>91</v>
      </c>
      <c r="R593" t="s" s="0">
        <v>82</v>
      </c>
      <c r="S593" t="s" s="0">
        <v>13840</v>
      </c>
      <c r="T593" t="s" s="0">
        <v>82</v>
      </c>
      <c r="U593" t="s" s="0">
        <v>82</v>
      </c>
      <c r="V593" t="s" s="0">
        <v>13841</v>
      </c>
      <c r="W593" t="s" s="0">
        <v>10823</v>
      </c>
      <c r="X593" t="s" s="0">
        <v>82</v>
      </c>
      <c r="Y593" t="s" s="0">
        <v>82</v>
      </c>
      <c r="Z593" t="s" s="0">
        <v>94</v>
      </c>
      <c r="AA593" t="s" s="0">
        <v>95</v>
      </c>
      <c r="AB593" t="s" s="0">
        <v>82</v>
      </c>
      <c r="AC593" t="s" s="0">
        <v>82</v>
      </c>
      <c r="AD593" t="s" s="0">
        <v>82</v>
      </c>
      <c r="AE593" t="s" s="0">
        <v>82</v>
      </c>
      <c r="AF593" t="s" s="0">
        <v>82</v>
      </c>
      <c r="AG593" t="s" s="0">
        <v>13842</v>
      </c>
      <c r="AH593" t="s" s="0">
        <v>13843</v>
      </c>
      <c r="AI593" t="s" s="0">
        <v>13844</v>
      </c>
      <c r="AJ593" t="s" s="0">
        <v>13845</v>
      </c>
      <c r="AK593" t="s" s="0">
        <v>82</v>
      </c>
      <c r="AL593" t="s" s="0">
        <v>173</v>
      </c>
      <c r="AM593" t="s" s="0">
        <v>1502</v>
      </c>
      <c r="AN593" t="s" s="0">
        <v>344</v>
      </c>
      <c r="AO593" t="s" s="0">
        <v>447</v>
      </c>
      <c r="AP593" t="s" s="0">
        <v>323</v>
      </c>
      <c r="AQ593" t="s" s="0">
        <v>13846</v>
      </c>
      <c r="AR593" t="s" s="0">
        <v>13847</v>
      </c>
      <c r="AS593" t="s" s="0">
        <v>13848</v>
      </c>
      <c r="AT593" t="s" s="0">
        <v>10826</v>
      </c>
      <c r="AU593" t="s" s="0">
        <v>10827</v>
      </c>
      <c r="AV593" t="s" s="0">
        <v>82</v>
      </c>
      <c r="AW593" t="s" s="0">
        <v>10828</v>
      </c>
      <c r="AX593" t="s" s="0">
        <v>10829</v>
      </c>
      <c r="AY593" t="s" s="0">
        <v>13849</v>
      </c>
      <c r="AZ593" t="s" s="0">
        <v>210</v>
      </c>
      <c r="BA593" t="s" s="0">
        <v>632</v>
      </c>
      <c r="BB593" t="s" s="0">
        <v>13850</v>
      </c>
      <c r="BC593" t="s" s="0">
        <v>82</v>
      </c>
      <c r="BD593" t="s" s="0">
        <v>82</v>
      </c>
      <c r="BE593" t="s" s="0">
        <v>82</v>
      </c>
      <c r="BF593" t="s" s="0">
        <v>82</v>
      </c>
      <c r="BG593" t="s" s="0">
        <v>4593</v>
      </c>
      <c r="BH593" t="s" s="0">
        <v>13851</v>
      </c>
      <c r="BI593" t="s" s="0">
        <v>82</v>
      </c>
      <c r="BJ593" t="s" s="0">
        <v>13852</v>
      </c>
      <c r="BK593" t="s" s="1179">
        <f>HYPERLINK("http://dx.doi.org/10.1089/neu.2022.0251","http://dx.doi.org/10.1089/neu.2022.0251")</f>
        <v>13853</v>
      </c>
      <c r="BL593" t="s" s="0">
        <v>82</v>
      </c>
      <c r="BM593" t="s" s="0">
        <v>6158</v>
      </c>
      <c r="BN593" t="s" s="0">
        <v>319</v>
      </c>
      <c r="BO593" t="s" s="0">
        <v>10834</v>
      </c>
      <c r="BP593" t="s" s="0">
        <v>10835</v>
      </c>
      <c r="BQ593" t="s" s="0">
        <v>13854</v>
      </c>
      <c r="BR593" t="s" s="0">
        <v>13855</v>
      </c>
      <c r="BS593" t="s" s="0">
        <v>13856</v>
      </c>
      <c r="BT593" t="s" s="1180">
        <f>HYPERLINK("https://www.webofscience.com/wos/woscc/full-record/WOS:000892090400001","View Record in Web of Science")</f>
        <v>120</v>
      </c>
      <c r="BU593" t="s" s="0">
        <v>9897</v>
      </c>
      <c r="BV593" t="s" s="0">
        <v>82</v>
      </c>
      <c r="BW593" t="s" s="0">
        <v>82</v>
      </c>
      <c r="BX593" t="s" s="0">
        <v>122</v>
      </c>
    </row>
    <row r="594">
      <c r="A594" t="s" s="0">
        <v>101</v>
      </c>
      <c r="B594" t="s" s="0">
        <v>78</v>
      </c>
      <c r="C594" t="s" s="0">
        <v>149</v>
      </c>
      <c r="D594" t="s" s="0">
        <v>78</v>
      </c>
      <c r="E594" t="s" s="0">
        <v>13857</v>
      </c>
      <c r="F594" t="s" s="0">
        <v>13858</v>
      </c>
      <c r="G594" t="s" s="0">
        <v>13859</v>
      </c>
      <c r="H594" t="s" s="0">
        <v>82</v>
      </c>
      <c r="I594" t="s" s="0">
        <v>83</v>
      </c>
      <c r="J594" t="s" s="0">
        <v>13860</v>
      </c>
      <c r="K594" t="s" s="0">
        <v>13861</v>
      </c>
      <c r="L594" t="s" s="0">
        <v>13862</v>
      </c>
      <c r="M594" t="s" s="0">
        <v>11465</v>
      </c>
      <c r="N594" t="s" s="0">
        <v>13863</v>
      </c>
      <c r="O594" t="s" s="0">
        <v>13864</v>
      </c>
      <c r="P594" t="s" s="0">
        <v>13865</v>
      </c>
      <c r="Q594" t="s" s="0">
        <v>91</v>
      </c>
      <c r="R594" t="s" s="0">
        <v>82</v>
      </c>
      <c r="S594" t="s" s="0">
        <v>82</v>
      </c>
      <c r="T594" t="s" s="0">
        <v>82</v>
      </c>
      <c r="U594" t="s" s="0">
        <v>82</v>
      </c>
      <c r="V594" t="s" s="0">
        <v>13866</v>
      </c>
      <c r="W594" t="s" s="0">
        <v>1804</v>
      </c>
      <c r="X594" t="s" s="0">
        <v>82</v>
      </c>
      <c r="Y594" t="s" s="0">
        <v>82</v>
      </c>
      <c r="Z594" t="s" s="0">
        <v>94</v>
      </c>
      <c r="AA594" t="s" s="0">
        <v>95</v>
      </c>
      <c r="AB594" t="s" s="0">
        <v>82</v>
      </c>
      <c r="AC594" t="s" s="0">
        <v>82</v>
      </c>
      <c r="AD594" t="s" s="0">
        <v>82</v>
      </c>
      <c r="AE594" t="s" s="0">
        <v>82</v>
      </c>
      <c r="AF594" t="s" s="0">
        <v>82</v>
      </c>
      <c r="AG594" t="s" s="0">
        <v>13867</v>
      </c>
      <c r="AH594" t="s" s="0">
        <v>13868</v>
      </c>
      <c r="AI594" t="s" s="0">
        <v>13869</v>
      </c>
      <c r="AJ594" t="s" s="0">
        <v>13870</v>
      </c>
      <c r="AK594" t="s" s="0">
        <v>82</v>
      </c>
      <c r="AL594" t="s" s="0">
        <v>1502</v>
      </c>
      <c r="AM594" t="s" s="0">
        <v>273</v>
      </c>
      <c r="AN594" t="s" s="0">
        <v>1658</v>
      </c>
      <c r="AO594" t="s" s="0">
        <v>78</v>
      </c>
      <c r="AP594" t="s" s="0">
        <v>136</v>
      </c>
      <c r="AQ594" t="s" s="0">
        <v>1710</v>
      </c>
      <c r="AR594" t="s" s="0">
        <v>1711</v>
      </c>
      <c r="AS594" t="s" s="0">
        <v>13871</v>
      </c>
      <c r="AT594" t="s" s="0">
        <v>82</v>
      </c>
      <c r="AU594" t="s" s="0">
        <v>1809</v>
      </c>
      <c r="AV594" t="s" s="0">
        <v>82</v>
      </c>
      <c r="AW594" t="s" s="0">
        <v>1810</v>
      </c>
      <c r="AX594" t="s" s="0">
        <v>1811</v>
      </c>
      <c r="AY594" t="s" s="0">
        <v>11321</v>
      </c>
      <c r="AZ594" t="s" s="0">
        <v>1035</v>
      </c>
      <c r="BA594" t="s" s="0">
        <v>136</v>
      </c>
      <c r="BB594" t="s" s="0">
        <v>136</v>
      </c>
      <c r="BC594" t="s" s="0">
        <v>82</v>
      </c>
      <c r="BD594" t="s" s="0">
        <v>82</v>
      </c>
      <c r="BE594" t="s" s="0">
        <v>82</v>
      </c>
      <c r="BF594" t="s" s="0">
        <v>82</v>
      </c>
      <c r="BG594" t="s" s="0">
        <v>82</v>
      </c>
      <c r="BH594" t="s" s="0">
        <v>82</v>
      </c>
      <c r="BI594" t="s" s="0">
        <v>13872</v>
      </c>
      <c r="BJ594" t="s" s="0">
        <v>13873</v>
      </c>
      <c r="BK594" t="s" s="1181">
        <f>HYPERLINK("http://dx.doi.org/10.2196/15932","http://dx.doi.org/10.2196/15932")</f>
        <v>13874</v>
      </c>
      <c r="BL594" t="s" s="0">
        <v>82</v>
      </c>
      <c r="BM594" t="s" s="0">
        <v>82</v>
      </c>
      <c r="BN594" t="s" s="0">
        <v>323</v>
      </c>
      <c r="BO594" t="s" s="0">
        <v>1815</v>
      </c>
      <c r="BP594" t="s" s="0">
        <v>1815</v>
      </c>
      <c r="BQ594" t="s" s="0">
        <v>13875</v>
      </c>
      <c r="BR594" t="s" s="0">
        <v>13876</v>
      </c>
      <c r="BS594" t="s" s="0">
        <v>13877</v>
      </c>
      <c r="BT594" t="s" s="1182">
        <f>HYPERLINK("https://www.webofscience.com/wos/woscc/full-record/WOS:000565159200015","View Record in Web of Science")</f>
        <v>120</v>
      </c>
      <c r="BU594" t="s" s="0">
        <v>121</v>
      </c>
      <c r="BV594" t="s" s="0">
        <v>82</v>
      </c>
      <c r="BW594" t="s" s="0">
        <v>82</v>
      </c>
      <c r="BX594" t="s" s="0">
        <v>122</v>
      </c>
    </row>
    <row r="595">
      <c r="A595" t="s" s="0">
        <v>447</v>
      </c>
      <c r="B595" t="s" s="0">
        <v>78</v>
      </c>
      <c r="C595" t="s" s="0">
        <v>831</v>
      </c>
      <c r="D595" t="s" s="0">
        <v>78</v>
      </c>
      <c r="E595" t="s" s="0">
        <v>13878</v>
      </c>
      <c r="F595" t="s" s="0">
        <v>13879</v>
      </c>
      <c r="G595" t="s" s="0">
        <v>13880</v>
      </c>
      <c r="H595" t="s" s="0">
        <v>82</v>
      </c>
      <c r="I595" t="s" s="0">
        <v>83</v>
      </c>
      <c r="J595" t="s" s="0">
        <v>13881</v>
      </c>
      <c r="K595" t="s" s="0">
        <v>13882</v>
      </c>
      <c r="L595" t="s" s="0">
        <v>13883</v>
      </c>
      <c r="M595" t="s" s="0">
        <v>13884</v>
      </c>
      <c r="N595" t="s" s="0">
        <v>13885</v>
      </c>
      <c r="O595" t="s" s="0">
        <v>13886</v>
      </c>
      <c r="P595" t="s" s="0">
        <v>13887</v>
      </c>
      <c r="Q595" t="s" s="0">
        <v>91</v>
      </c>
      <c r="R595" t="s" s="0">
        <v>82</v>
      </c>
      <c r="S595" t="s" s="0">
        <v>82</v>
      </c>
      <c r="T595" t="s" s="0">
        <v>82</v>
      </c>
      <c r="U595" t="s" s="0">
        <v>82</v>
      </c>
      <c r="V595" t="s" s="0">
        <v>13888</v>
      </c>
      <c r="W595" t="s" s="0">
        <v>13889</v>
      </c>
      <c r="X595" t="s" s="0">
        <v>82</v>
      </c>
      <c r="Y595" t="s" s="0">
        <v>82</v>
      </c>
      <c r="Z595" t="s" s="0">
        <v>94</v>
      </c>
      <c r="AA595" t="s" s="0">
        <v>95</v>
      </c>
      <c r="AB595" t="s" s="0">
        <v>82</v>
      </c>
      <c r="AC595" t="s" s="0">
        <v>82</v>
      </c>
      <c r="AD595" t="s" s="0">
        <v>82</v>
      </c>
      <c r="AE595" t="s" s="0">
        <v>82</v>
      </c>
      <c r="AF595" t="s" s="0">
        <v>82</v>
      </c>
      <c r="AG595" t="s" s="0">
        <v>82</v>
      </c>
      <c r="AH595" t="s" s="0">
        <v>13890</v>
      </c>
      <c r="AI595" t="s" s="0">
        <v>13891</v>
      </c>
      <c r="AJ595" t="s" s="0">
        <v>13892</v>
      </c>
      <c r="AK595" t="s" s="0">
        <v>82</v>
      </c>
      <c r="AL595" t="s" s="0">
        <v>374</v>
      </c>
      <c r="AM595" t="s" s="0">
        <v>1478</v>
      </c>
      <c r="AN595" t="s" s="0">
        <v>3031</v>
      </c>
      <c r="AO595" t="s" s="0">
        <v>77</v>
      </c>
      <c r="AP595" t="s" s="0">
        <v>257</v>
      </c>
      <c r="AQ595" t="s" s="0">
        <v>633</v>
      </c>
      <c r="AR595" t="s" s="0">
        <v>634</v>
      </c>
      <c r="AS595" t="s" s="0">
        <v>635</v>
      </c>
      <c r="AT595" t="s" s="0">
        <v>13893</v>
      </c>
      <c r="AU595" t="s" s="0">
        <v>82</v>
      </c>
      <c r="AV595" t="s" s="0">
        <v>82</v>
      </c>
      <c r="AW595" t="s" s="0">
        <v>13894</v>
      </c>
      <c r="AX595" t="s" s="0">
        <v>13895</v>
      </c>
      <c r="AY595" t="s" s="0">
        <v>13896</v>
      </c>
      <c r="AZ595" t="s" s="0">
        <v>4301</v>
      </c>
      <c r="BA595" t="s" s="0">
        <v>447</v>
      </c>
      <c r="BB595" t="s" s="0">
        <v>319</v>
      </c>
      <c r="BC595" t="s" s="0">
        <v>82</v>
      </c>
      <c r="BD595" t="s" s="0">
        <v>82</v>
      </c>
      <c r="BE595" t="s" s="0">
        <v>82</v>
      </c>
      <c r="BF595" t="s" s="0">
        <v>82</v>
      </c>
      <c r="BG595" t="s" s="0">
        <v>13897</v>
      </c>
      <c r="BH595" t="s" s="0">
        <v>5461</v>
      </c>
      <c r="BI595" t="s" s="0">
        <v>82</v>
      </c>
      <c r="BJ595" t="s" s="0">
        <v>13898</v>
      </c>
      <c r="BK595" t="s" s="1183">
        <f>HYPERLINK("http://dx.doi.org/10.1038/s41551-018-0265-3","http://dx.doi.org/10.1038/s41551-018-0265-3")</f>
        <v>13899</v>
      </c>
      <c r="BL595" t="s" s="0">
        <v>82</v>
      </c>
      <c r="BM595" t="s" s="0">
        <v>82</v>
      </c>
      <c r="BN595" t="s" s="0">
        <v>319</v>
      </c>
      <c r="BO595" t="s" s="0">
        <v>2762</v>
      </c>
      <c r="BP595" t="s" s="0">
        <v>2763</v>
      </c>
      <c r="BQ595" t="s" s="0">
        <v>13900</v>
      </c>
      <c r="BR595" t="s" s="0">
        <v>13901</v>
      </c>
      <c r="BS595" t="s" s="0">
        <v>13902</v>
      </c>
      <c r="BT595" t="s" s="1184">
        <f>HYPERLINK("https://www.webofscience.com/wos/woscc/full-record/WOS:000444282800011","View Record in Web of Science")</f>
        <v>120</v>
      </c>
      <c r="BU595" t="s" s="0">
        <v>1265</v>
      </c>
      <c r="BV595" t="s" s="0">
        <v>82</v>
      </c>
      <c r="BW595" t="s" s="0">
        <v>82</v>
      </c>
      <c r="BX595" t="s" s="0">
        <v>122</v>
      </c>
    </row>
    <row r="596">
      <c r="A596" t="s" s="0">
        <v>77</v>
      </c>
      <c r="B596" t="s" s="0">
        <v>78</v>
      </c>
      <c r="C596" t="s" s="0">
        <v>101</v>
      </c>
      <c r="D596" t="s" s="0">
        <v>78</v>
      </c>
      <c r="E596" t="s" s="0">
        <v>13903</v>
      </c>
      <c r="F596" t="s" s="0">
        <v>13904</v>
      </c>
      <c r="G596" t="s" s="0">
        <v>13905</v>
      </c>
      <c r="H596" t="s" s="0">
        <v>82</v>
      </c>
      <c r="I596" t="s" s="0">
        <v>83</v>
      </c>
      <c r="J596" t="s" s="0">
        <v>13906</v>
      </c>
      <c r="K596" t="s" s="0">
        <v>13907</v>
      </c>
      <c r="L596" t="s" s="0">
        <v>13908</v>
      </c>
      <c r="M596" t="s" s="0">
        <v>13909</v>
      </c>
      <c r="N596" t="s" s="0">
        <v>13910</v>
      </c>
      <c r="O596" t="s" s="0">
        <v>13911</v>
      </c>
      <c r="P596" t="s" s="0">
        <v>13912</v>
      </c>
      <c r="Q596" t="s" s="0">
        <v>91</v>
      </c>
      <c r="R596" t="s" s="0">
        <v>82</v>
      </c>
      <c r="S596" t="s" s="0">
        <v>82</v>
      </c>
      <c r="T596" t="s" s="0">
        <v>82</v>
      </c>
      <c r="U596" t="s" s="0">
        <v>82</v>
      </c>
      <c r="V596" t="s" s="0">
        <v>13913</v>
      </c>
      <c r="W596" t="s" s="0">
        <v>13914</v>
      </c>
      <c r="X596" t="s" s="0">
        <v>82</v>
      </c>
      <c r="Y596" t="s" s="0">
        <v>82</v>
      </c>
      <c r="Z596" t="s" s="0">
        <v>94</v>
      </c>
      <c r="AA596" t="s" s="0">
        <v>95</v>
      </c>
      <c r="AB596" t="s" s="0">
        <v>82</v>
      </c>
      <c r="AC596" t="s" s="0">
        <v>82</v>
      </c>
      <c r="AD596" t="s" s="0">
        <v>82</v>
      </c>
      <c r="AE596" t="s" s="0">
        <v>82</v>
      </c>
      <c r="AF596" t="s" s="0">
        <v>82</v>
      </c>
      <c r="AG596" t="s" s="0">
        <v>13915</v>
      </c>
      <c r="AH596" t="s" s="0">
        <v>13916</v>
      </c>
      <c r="AI596" t="s" s="0">
        <v>13917</v>
      </c>
      <c r="AJ596" t="s" s="0">
        <v>82</v>
      </c>
      <c r="AK596" t="s" s="0">
        <v>82</v>
      </c>
      <c r="AL596" t="s" s="0">
        <v>685</v>
      </c>
      <c r="AM596" t="s" s="0">
        <v>148</v>
      </c>
      <c r="AN596" t="s" s="0">
        <v>1186</v>
      </c>
      <c r="AO596" t="s" s="0">
        <v>77</v>
      </c>
      <c r="AP596" t="s" s="0">
        <v>245</v>
      </c>
      <c r="AQ596" t="s" s="0">
        <v>8277</v>
      </c>
      <c r="AR596" t="s" s="0">
        <v>833</v>
      </c>
      <c r="AS596" t="s" s="0">
        <v>8278</v>
      </c>
      <c r="AT596" t="s" s="0">
        <v>13918</v>
      </c>
      <c r="AU596" t="s" s="0">
        <v>13919</v>
      </c>
      <c r="AV596" t="s" s="0">
        <v>82</v>
      </c>
      <c r="AW596" t="s" s="0">
        <v>13920</v>
      </c>
      <c r="AX596" t="s" s="0">
        <v>13921</v>
      </c>
      <c r="AY596" t="s" s="0">
        <v>668</v>
      </c>
      <c r="AZ596" t="s" s="0">
        <v>110</v>
      </c>
      <c r="BA596" t="s" s="0">
        <v>609</v>
      </c>
      <c r="BB596" t="s" s="0">
        <v>82</v>
      </c>
      <c r="BC596" t="s" s="0">
        <v>82</v>
      </c>
      <c r="BD596" t="s" s="0">
        <v>82</v>
      </c>
      <c r="BE596" t="s" s="0">
        <v>82</v>
      </c>
      <c r="BF596" t="s" s="0">
        <v>82</v>
      </c>
      <c r="BG596" t="s" s="0">
        <v>82</v>
      </c>
      <c r="BH596" t="s" s="0">
        <v>82</v>
      </c>
      <c r="BI596" t="s" s="0">
        <v>13922</v>
      </c>
      <c r="BJ596" t="s" s="0">
        <v>13923</v>
      </c>
      <c r="BK596" t="s" s="1185">
        <f>HYPERLINK("http://dx.doi.org/10.1016/j.jcrc.2023.154400","http://dx.doi.org/10.1016/j.jcrc.2023.154400")</f>
        <v>13924</v>
      </c>
      <c r="BL596" t="s" s="0">
        <v>82</v>
      </c>
      <c r="BM596" t="s" s="0">
        <v>7141</v>
      </c>
      <c r="BN596" t="s" s="0">
        <v>375</v>
      </c>
      <c r="BO596" t="s" s="0">
        <v>2920</v>
      </c>
      <c r="BP596" t="s" s="0">
        <v>355</v>
      </c>
      <c r="BQ596" t="s" s="0">
        <v>13925</v>
      </c>
      <c r="BR596" t="s" s="0">
        <v>13926</v>
      </c>
      <c r="BS596" t="s" s="0">
        <v>13927</v>
      </c>
      <c r="BT596" t="s" s="1186">
        <f>HYPERLINK("https://www.webofscience.com/wos/woscc/full-record/WOS:001170985800001","View Record in Web of Science")</f>
        <v>120</v>
      </c>
      <c r="BU596" t="s" s="0">
        <v>256</v>
      </c>
      <c r="BV596" t="s" s="0">
        <v>82</v>
      </c>
      <c r="BW596" t="s" s="0">
        <v>82</v>
      </c>
      <c r="BX596" t="s" s="0">
        <v>122</v>
      </c>
    </row>
    <row r="597">
      <c r="A597" t="s" s="0">
        <v>78</v>
      </c>
      <c r="B597" t="s" s="0">
        <v>78</v>
      </c>
      <c r="C597" t="s" s="0">
        <v>78</v>
      </c>
      <c r="D597" t="s" s="0">
        <v>78</v>
      </c>
      <c r="E597" t="s" s="0">
        <v>13928</v>
      </c>
      <c r="F597" t="s" s="0">
        <v>13929</v>
      </c>
      <c r="G597" t="s" s="0">
        <v>13930</v>
      </c>
      <c r="H597" t="s" s="0">
        <v>82</v>
      </c>
      <c r="I597" t="s" s="0">
        <v>589</v>
      </c>
      <c r="J597" t="s" s="0">
        <v>13931</v>
      </c>
      <c r="K597" t="s" s="0">
        <v>13932</v>
      </c>
      <c r="L597" t="s" s="0">
        <v>13933</v>
      </c>
      <c r="M597" t="s" s="0">
        <v>13934</v>
      </c>
      <c r="N597" t="s" s="0">
        <v>13935</v>
      </c>
      <c r="O597" t="s" s="0">
        <v>13936</v>
      </c>
      <c r="P597" t="s" s="0">
        <v>13937</v>
      </c>
      <c r="Q597" t="s" s="0">
        <v>91</v>
      </c>
      <c r="R597" t="s" s="0">
        <v>82</v>
      </c>
      <c r="S597" t="s" s="0">
        <v>82</v>
      </c>
      <c r="T597" t="s" s="0">
        <v>82</v>
      </c>
      <c r="U597" t="s" s="0">
        <v>82</v>
      </c>
      <c r="V597" t="s" s="0">
        <v>13938</v>
      </c>
      <c r="W597" t="s" s="0">
        <v>13939</v>
      </c>
      <c r="X597" t="s" s="0">
        <v>82</v>
      </c>
      <c r="Y597" t="s" s="0">
        <v>82</v>
      </c>
      <c r="Z597" t="s" s="0">
        <v>94</v>
      </c>
      <c r="AA597" t="s" s="0">
        <v>95</v>
      </c>
      <c r="AB597" t="s" s="0">
        <v>82</v>
      </c>
      <c r="AC597" t="s" s="0">
        <v>82</v>
      </c>
      <c r="AD597" t="s" s="0">
        <v>82</v>
      </c>
      <c r="AE597" t="s" s="0">
        <v>82</v>
      </c>
      <c r="AF597" t="s" s="0">
        <v>82</v>
      </c>
      <c r="AG597" t="s" s="0">
        <v>13940</v>
      </c>
      <c r="AH597" t="s" s="0">
        <v>13941</v>
      </c>
      <c r="AI597" t="s" s="0">
        <v>13942</v>
      </c>
      <c r="AJ597" t="s" s="0">
        <v>13943</v>
      </c>
      <c r="AK597" t="s" s="0">
        <v>82</v>
      </c>
      <c r="AL597" t="s" s="0">
        <v>1279</v>
      </c>
      <c r="AM597" t="s" s="0">
        <v>78</v>
      </c>
      <c r="AN597" t="s" s="0">
        <v>78</v>
      </c>
      <c r="AO597" t="s" s="0">
        <v>78</v>
      </c>
      <c r="AP597" t="s" s="0">
        <v>447</v>
      </c>
      <c r="AQ597" t="s" s="0">
        <v>2484</v>
      </c>
      <c r="AR597" t="s" s="0">
        <v>2485</v>
      </c>
      <c r="AS597" t="s" s="0">
        <v>2486</v>
      </c>
      <c r="AT597" t="s" s="0">
        <v>82</v>
      </c>
      <c r="AU597" t="s" s="0">
        <v>13944</v>
      </c>
      <c r="AV597" t="s" s="0">
        <v>82</v>
      </c>
      <c r="AW597" t="s" s="0">
        <v>13945</v>
      </c>
      <c r="AX597" t="s" s="0">
        <v>13946</v>
      </c>
      <c r="AY597" t="s" s="0">
        <v>13947</v>
      </c>
      <c r="AZ597" t="s" s="0">
        <v>110</v>
      </c>
      <c r="BA597" t="s" s="0">
        <v>149</v>
      </c>
      <c r="BB597" t="s" s="0">
        <v>82</v>
      </c>
      <c r="BC597" t="s" s="0">
        <v>82</v>
      </c>
      <c r="BD597" t="s" s="0">
        <v>82</v>
      </c>
      <c r="BE597" t="s" s="0">
        <v>82</v>
      </c>
      <c r="BF597" t="s" s="0">
        <v>82</v>
      </c>
      <c r="BG597" t="s" s="0">
        <v>82</v>
      </c>
      <c r="BH597" t="s" s="0">
        <v>82</v>
      </c>
      <c r="BI597" t="s" s="0">
        <v>13948</v>
      </c>
      <c r="BJ597" t="s" s="0">
        <v>13949</v>
      </c>
      <c r="BK597" t="s" s="1187">
        <f>HYPERLINK("http://dx.doi.org/10.3389/fpubh.2024.1413529","http://dx.doi.org/10.3389/fpubh.2024.1413529")</f>
        <v>13950</v>
      </c>
      <c r="BL597" t="s" s="0">
        <v>82</v>
      </c>
      <c r="BM597" t="s" s="0">
        <v>82</v>
      </c>
      <c r="BN597" t="s" s="0">
        <v>115</v>
      </c>
      <c r="BO597" t="s" s="0">
        <v>7435</v>
      </c>
      <c r="BP597" t="s" s="0">
        <v>7435</v>
      </c>
      <c r="BQ597" t="s" s="0">
        <v>13951</v>
      </c>
      <c r="BR597" t="s" s="0">
        <v>13952</v>
      </c>
      <c r="BS597" t="s" s="0">
        <v>13953</v>
      </c>
      <c r="BT597" t="s" s="1188">
        <f>HYPERLINK("https://www.webofscience.com/wos/woscc/full-record/WOS:001375624400001","View Record in Web of Science")</f>
        <v>120</v>
      </c>
      <c r="BU597" t="s" s="0">
        <v>1537</v>
      </c>
      <c r="BV597" t="s" s="0">
        <v>82</v>
      </c>
      <c r="BW597" t="s" s="0">
        <v>82</v>
      </c>
      <c r="BX597" t="s" s="0">
        <v>122</v>
      </c>
    </row>
    <row r="598">
      <c r="A598" t="s" s="0">
        <v>447</v>
      </c>
      <c r="B598" t="s" s="0">
        <v>78</v>
      </c>
      <c r="C598" t="s" s="0">
        <v>447</v>
      </c>
      <c r="D598" t="s" s="0">
        <v>78</v>
      </c>
      <c r="E598" t="s" s="0">
        <v>13954</v>
      </c>
      <c r="F598" t="s" s="0">
        <v>13955</v>
      </c>
      <c r="G598" t="s" s="0">
        <v>13956</v>
      </c>
      <c r="H598" t="s" s="0">
        <v>82</v>
      </c>
      <c r="I598" t="s" s="0">
        <v>83</v>
      </c>
      <c r="J598" t="s" s="0">
        <v>13957</v>
      </c>
      <c r="K598" t="s" s="0">
        <v>13958</v>
      </c>
      <c r="L598" t="s" s="0">
        <v>82</v>
      </c>
      <c r="M598" t="s" s="0">
        <v>82</v>
      </c>
      <c r="N598" t="s" s="0">
        <v>82</v>
      </c>
      <c r="O598" t="s" s="0">
        <v>13959</v>
      </c>
      <c r="P598" t="s" s="0">
        <v>13960</v>
      </c>
      <c r="Q598" t="s" s="0">
        <v>91</v>
      </c>
      <c r="R598" t="s" s="0">
        <v>82</v>
      </c>
      <c r="S598" t="s" s="0">
        <v>82</v>
      </c>
      <c r="T598" t="s" s="0">
        <v>82</v>
      </c>
      <c r="U598" t="s" s="0">
        <v>82</v>
      </c>
      <c r="V598" t="s" s="0">
        <v>13961</v>
      </c>
      <c r="W598" t="s" s="0">
        <v>2908</v>
      </c>
      <c r="X598" t="s" s="0">
        <v>82</v>
      </c>
      <c r="Y598" t="s" s="0">
        <v>82</v>
      </c>
      <c r="Z598" t="s" s="0">
        <v>94</v>
      </c>
      <c r="AA598" t="s" s="0">
        <v>95</v>
      </c>
      <c r="AB598" t="s" s="0">
        <v>82</v>
      </c>
      <c r="AC598" t="s" s="0">
        <v>82</v>
      </c>
      <c r="AD598" t="s" s="0">
        <v>82</v>
      </c>
      <c r="AE598" t="s" s="0">
        <v>82</v>
      </c>
      <c r="AF598" t="s" s="0">
        <v>82</v>
      </c>
      <c r="AG598" t="s" s="0">
        <v>13962</v>
      </c>
      <c r="AH598" t="s" s="0">
        <v>13963</v>
      </c>
      <c r="AI598" t="s" s="0">
        <v>13964</v>
      </c>
      <c r="AJ598" t="s" s="0">
        <v>82</v>
      </c>
      <c r="AK598" t="s" s="0">
        <v>82</v>
      </c>
      <c r="AL598" t="s" s="0">
        <v>399</v>
      </c>
      <c r="AM598" t="s" s="0">
        <v>319</v>
      </c>
      <c r="AN598" t="s" s="0">
        <v>323</v>
      </c>
      <c r="AO598" t="s" s="0">
        <v>78</v>
      </c>
      <c r="AP598" t="s" s="0">
        <v>101</v>
      </c>
      <c r="AQ598" t="s" s="0">
        <v>103</v>
      </c>
      <c r="AR598" t="s" s="0">
        <v>104</v>
      </c>
      <c r="AS598" t="s" s="0">
        <v>105</v>
      </c>
      <c r="AT598" t="s" s="0">
        <v>2912</v>
      </c>
      <c r="AU598" t="s" s="0">
        <v>2913</v>
      </c>
      <c r="AV598" t="s" s="0">
        <v>82</v>
      </c>
      <c r="AW598" t="s" s="0">
        <v>2914</v>
      </c>
      <c r="AX598" t="s" s="0">
        <v>2915</v>
      </c>
      <c r="AY598" t="s" s="0">
        <v>13965</v>
      </c>
      <c r="AZ598" t="s" s="0">
        <v>210</v>
      </c>
      <c r="BA598" t="s" s="0">
        <v>1780</v>
      </c>
      <c r="BB598" t="s" s="0">
        <v>77</v>
      </c>
      <c r="BC598" t="s" s="0">
        <v>82</v>
      </c>
      <c r="BD598" t="s" s="0">
        <v>82</v>
      </c>
      <c r="BE598" t="s" s="0">
        <v>82</v>
      </c>
      <c r="BF598" t="s" s="0">
        <v>82</v>
      </c>
      <c r="BG598" t="s" s="0">
        <v>82</v>
      </c>
      <c r="BH598" t="s" s="0">
        <v>82</v>
      </c>
      <c r="BI598" t="s" s="0">
        <v>632</v>
      </c>
      <c r="BJ598" t="s" s="0">
        <v>13966</v>
      </c>
      <c r="BK598" t="s" s="1189">
        <f>HYPERLINK("http://dx.doi.org/10.1186/s13054-023-04320-0","http://dx.doi.org/10.1186/s13054-023-04320-0")</f>
        <v>13967</v>
      </c>
      <c r="BL598" t="s" s="0">
        <v>82</v>
      </c>
      <c r="BM598" t="s" s="0">
        <v>82</v>
      </c>
      <c r="BN598" t="s" s="0">
        <v>115</v>
      </c>
      <c r="BO598" t="s" s="0">
        <v>2920</v>
      </c>
      <c r="BP598" t="s" s="0">
        <v>355</v>
      </c>
      <c r="BQ598" t="s" s="0">
        <v>13968</v>
      </c>
      <c r="BR598" t="s" s="0">
        <v>13969</v>
      </c>
      <c r="BS598" t="s" s="0">
        <v>13970</v>
      </c>
      <c r="BT598" t="s" s="1190">
        <f>HYPERLINK("https://www.webofscience.com/wos/woscc/full-record/WOS:000922860900002","View Record in Web of Science")</f>
        <v>120</v>
      </c>
      <c r="BU598" t="s" s="0">
        <v>121</v>
      </c>
      <c r="BV598" t="s" s="0">
        <v>82</v>
      </c>
      <c r="BW598" t="s" s="0">
        <v>82</v>
      </c>
      <c r="BX598" t="s" s="0">
        <v>122</v>
      </c>
    </row>
    <row r="599">
      <c r="A599" t="s" s="0">
        <v>78</v>
      </c>
      <c r="B599" t="s" s="0">
        <v>78</v>
      </c>
      <c r="C599" t="s" s="0">
        <v>138</v>
      </c>
      <c r="D599" t="s" s="0">
        <v>78</v>
      </c>
      <c r="E599" t="s" s="0">
        <v>13971</v>
      </c>
      <c r="F599" t="s" s="0">
        <v>13972</v>
      </c>
      <c r="G599" t="s" s="0">
        <v>13973</v>
      </c>
      <c r="H599" t="s" s="0">
        <v>82</v>
      </c>
      <c r="I599" t="s" s="0">
        <v>83</v>
      </c>
      <c r="J599" t="s" s="0">
        <v>13974</v>
      </c>
      <c r="K599" t="s" s="0">
        <v>13975</v>
      </c>
      <c r="L599" t="s" s="0">
        <v>13976</v>
      </c>
      <c r="M599" t="s" s="0">
        <v>13976</v>
      </c>
      <c r="N599" t="s" s="0">
        <v>13977</v>
      </c>
      <c r="O599" t="s" s="0">
        <v>13978</v>
      </c>
      <c r="P599" t="s" s="0">
        <v>13979</v>
      </c>
      <c r="Q599" t="s" s="0">
        <v>91</v>
      </c>
      <c r="R599" t="s" s="0">
        <v>82</v>
      </c>
      <c r="S599" t="s" s="0">
        <v>82</v>
      </c>
      <c r="T599" t="s" s="0">
        <v>82</v>
      </c>
      <c r="U599" t="s" s="0">
        <v>82</v>
      </c>
      <c r="V599" t="s" s="0">
        <v>13980</v>
      </c>
      <c r="W599" t="s" s="0">
        <v>269</v>
      </c>
      <c r="X599" t="s" s="0">
        <v>82</v>
      </c>
      <c r="Y599" t="s" s="0">
        <v>82</v>
      </c>
      <c r="Z599" t="s" s="0">
        <v>94</v>
      </c>
      <c r="AA599" t="s" s="0">
        <v>95</v>
      </c>
      <c r="AB599" t="s" s="0">
        <v>82</v>
      </c>
      <c r="AC599" t="s" s="0">
        <v>82</v>
      </c>
      <c r="AD599" t="s" s="0">
        <v>82</v>
      </c>
      <c r="AE599" t="s" s="0">
        <v>82</v>
      </c>
      <c r="AF599" t="s" s="0">
        <v>82</v>
      </c>
      <c r="AG599" t="s" s="0">
        <v>82</v>
      </c>
      <c r="AH599" t="s" s="0">
        <v>13981</v>
      </c>
      <c r="AI599" t="s" s="0">
        <v>13982</v>
      </c>
      <c r="AJ599" t="s" s="0">
        <v>82</v>
      </c>
      <c r="AK599" t="s" s="0">
        <v>82</v>
      </c>
      <c r="AL599" t="s" s="0">
        <v>1186</v>
      </c>
      <c r="AM599" t="s" s="0">
        <v>1320</v>
      </c>
      <c r="AN599" t="s" s="0">
        <v>148</v>
      </c>
      <c r="AO599" t="s" s="0">
        <v>78</v>
      </c>
      <c r="AP599" t="s" s="0">
        <v>447</v>
      </c>
      <c r="AQ599" t="s" s="0">
        <v>277</v>
      </c>
      <c r="AR599" t="s" s="0">
        <v>278</v>
      </c>
      <c r="AS599" t="s" s="0">
        <v>279</v>
      </c>
      <c r="AT599" t="s" s="0">
        <v>82</v>
      </c>
      <c r="AU599" t="s" s="0">
        <v>280</v>
      </c>
      <c r="AV599" t="s" s="0">
        <v>82</v>
      </c>
      <c r="AW599" t="s" s="0">
        <v>281</v>
      </c>
      <c r="AX599" t="s" s="0">
        <v>282</v>
      </c>
      <c r="AY599" t="s" s="0">
        <v>810</v>
      </c>
      <c r="AZ599" t="s" s="0">
        <v>210</v>
      </c>
      <c r="BA599" t="s" s="0">
        <v>221</v>
      </c>
      <c r="BB599" t="s" s="0">
        <v>138</v>
      </c>
      <c r="BC599" t="s" s="0">
        <v>82</v>
      </c>
      <c r="BD599" t="s" s="0">
        <v>82</v>
      </c>
      <c r="BE599" t="s" s="0">
        <v>82</v>
      </c>
      <c r="BF599" t="s" s="0">
        <v>82</v>
      </c>
      <c r="BG599" t="s" s="0">
        <v>13983</v>
      </c>
      <c r="BH599" t="s" s="0">
        <v>13984</v>
      </c>
      <c r="BI599" t="s" s="0">
        <v>82</v>
      </c>
      <c r="BJ599" t="s" s="0">
        <v>13985</v>
      </c>
      <c r="BK599" t="s" s="1191">
        <f>HYPERLINK("http://dx.doi.org/10.1016/S2589-7500(23)00067-5","http://dx.doi.org/10.1016/S2589-7500(23)00067-5")</f>
        <v>13986</v>
      </c>
      <c r="BL599" t="s" s="0">
        <v>82</v>
      </c>
      <c r="BM599" t="s" s="0">
        <v>82</v>
      </c>
      <c r="BN599" t="s" s="0">
        <v>137</v>
      </c>
      <c r="BO599" t="s" s="0">
        <v>289</v>
      </c>
      <c r="BP599" t="s" s="0">
        <v>290</v>
      </c>
      <c r="BQ599" t="s" s="0">
        <v>13987</v>
      </c>
      <c r="BR599" t="s" s="0">
        <v>13988</v>
      </c>
      <c r="BS599" t="s" s="0">
        <v>13989</v>
      </c>
      <c r="BT599" t="s" s="1192">
        <f>HYPERLINK("https://www.webofscience.com/wos/woscc/full-record/WOS:001734730300001","View Record in Web of Science")</f>
        <v>120</v>
      </c>
      <c r="BU599" t="s" s="0">
        <v>121</v>
      </c>
      <c r="BV599" t="s" s="0">
        <v>82</v>
      </c>
      <c r="BW599" t="s" s="0">
        <v>82</v>
      </c>
      <c r="BX599" t="s" s="0">
        <v>122</v>
      </c>
    </row>
    <row r="600">
      <c r="A600" t="s" s="0">
        <v>78</v>
      </c>
      <c r="B600" t="s" s="0">
        <v>78</v>
      </c>
      <c r="C600" t="s" s="0">
        <v>78</v>
      </c>
      <c r="D600" t="s" s="0">
        <v>78</v>
      </c>
      <c r="E600" t="s" s="0">
        <v>13990</v>
      </c>
      <c r="F600" t="s" s="0">
        <v>13991</v>
      </c>
      <c r="G600" t="s" s="0">
        <v>13992</v>
      </c>
      <c r="H600" t="s" s="0">
        <v>82</v>
      </c>
      <c r="I600" t="s" s="0">
        <v>589</v>
      </c>
      <c r="J600" t="s" s="0">
        <v>13993</v>
      </c>
      <c r="K600" t="s" s="0">
        <v>13994</v>
      </c>
      <c r="L600" t="s" s="0">
        <v>82</v>
      </c>
      <c r="M600" t="s" s="0">
        <v>82</v>
      </c>
      <c r="N600" t="s" s="0">
        <v>82</v>
      </c>
      <c r="O600" t="s" s="0">
        <v>13995</v>
      </c>
      <c r="P600" t="s" s="0">
        <v>13996</v>
      </c>
      <c r="Q600" t="s" s="0">
        <v>91</v>
      </c>
      <c r="R600" t="s" s="0">
        <v>82</v>
      </c>
      <c r="S600" t="s" s="0">
        <v>82</v>
      </c>
      <c r="T600" t="s" s="0">
        <v>82</v>
      </c>
      <c r="U600" t="s" s="0">
        <v>82</v>
      </c>
      <c r="V600" t="s" s="0">
        <v>13997</v>
      </c>
      <c r="W600" t="s" s="0">
        <v>13998</v>
      </c>
      <c r="X600" t="s" s="0">
        <v>82</v>
      </c>
      <c r="Y600" t="s" s="0">
        <v>82</v>
      </c>
      <c r="Z600" t="s" s="0">
        <v>94</v>
      </c>
      <c r="AA600" t="s" s="0">
        <v>95</v>
      </c>
      <c r="AB600" t="s" s="0">
        <v>82</v>
      </c>
      <c r="AC600" t="s" s="0">
        <v>82</v>
      </c>
      <c r="AD600" t="s" s="0">
        <v>82</v>
      </c>
      <c r="AE600" t="s" s="0">
        <v>82</v>
      </c>
      <c r="AF600" t="s" s="0">
        <v>82</v>
      </c>
      <c r="AG600" t="s" s="0">
        <v>13999</v>
      </c>
      <c r="AH600" t="s" s="0">
        <v>14000</v>
      </c>
      <c r="AI600" t="s" s="0">
        <v>14001</v>
      </c>
      <c r="AJ600" t="s" s="0">
        <v>82</v>
      </c>
      <c r="AK600" t="s" s="0">
        <v>82</v>
      </c>
      <c r="AL600" t="s" s="0">
        <v>276</v>
      </c>
      <c r="AM600" t="s" s="0">
        <v>78</v>
      </c>
      <c r="AN600" t="s" s="0">
        <v>78</v>
      </c>
      <c r="AO600" t="s" s="0">
        <v>78</v>
      </c>
      <c r="AP600" t="s" s="0">
        <v>78</v>
      </c>
      <c r="AQ600" t="s" s="0">
        <v>174</v>
      </c>
      <c r="AR600" t="s" s="0">
        <v>175</v>
      </c>
      <c r="AS600" t="s" s="0">
        <v>176</v>
      </c>
      <c r="AT600" t="s" s="0">
        <v>14002</v>
      </c>
      <c r="AU600" t="s" s="0">
        <v>14003</v>
      </c>
      <c r="AV600" t="s" s="0">
        <v>82</v>
      </c>
      <c r="AW600" t="s" s="0">
        <v>13998</v>
      </c>
      <c r="AX600" t="s" s="0">
        <v>14004</v>
      </c>
      <c r="AY600" t="s" s="0">
        <v>14005</v>
      </c>
      <c r="AZ600" t="s" s="0">
        <v>181</v>
      </c>
      <c r="BA600" t="s" s="0">
        <v>238</v>
      </c>
      <c r="BB600" t="s" s="0">
        <v>375</v>
      </c>
      <c r="BC600" t="s" s="0">
        <v>82</v>
      </c>
      <c r="BD600" t="s" s="0">
        <v>82</v>
      </c>
      <c r="BE600" t="s" s="0">
        <v>82</v>
      </c>
      <c r="BF600" t="s" s="0">
        <v>82</v>
      </c>
      <c r="BG600" t="s" s="0">
        <v>82</v>
      </c>
      <c r="BH600" t="s" s="0">
        <v>82</v>
      </c>
      <c r="BI600" t="s" s="0">
        <v>14006</v>
      </c>
      <c r="BJ600" t="s" s="0">
        <v>14007</v>
      </c>
      <c r="BK600" t="s" s="1193">
        <f>HYPERLINK("http://dx.doi.org/10.1002/pon.70528","http://dx.doi.org/10.1002/pon.70528")</f>
        <v>14008</v>
      </c>
      <c r="BL600" t="s" s="0">
        <v>82</v>
      </c>
      <c r="BM600" t="s" s="0">
        <v>82</v>
      </c>
      <c r="BN600" t="s" s="0">
        <v>831</v>
      </c>
      <c r="BO600" t="s" s="0">
        <v>14009</v>
      </c>
      <c r="BP600" t="s" s="0">
        <v>14010</v>
      </c>
      <c r="BQ600" t="s" s="0">
        <v>14011</v>
      </c>
      <c r="BR600" t="s" s="0">
        <v>14012</v>
      </c>
      <c r="BS600" t="s" s="0">
        <v>14013</v>
      </c>
      <c r="BT600" t="s" s="1194">
        <f>HYPERLINK("https://www.webofscience.com/wos/woscc/full-record/WOS:001797901900001","View Record in Web of Science")</f>
        <v>120</v>
      </c>
      <c r="BU600" t="s" s="0">
        <v>82</v>
      </c>
      <c r="BV600" t="s" s="0">
        <v>82</v>
      </c>
      <c r="BW600" t="s" s="0">
        <v>82</v>
      </c>
      <c r="BX600" t="s" s="0">
        <v>122</v>
      </c>
    </row>
    <row r="601">
      <c r="A601" t="s" s="0">
        <v>78</v>
      </c>
      <c r="B601" t="s" s="0">
        <v>78</v>
      </c>
      <c r="C601" t="s" s="0">
        <v>78</v>
      </c>
      <c r="D601" t="s" s="0">
        <v>78</v>
      </c>
      <c r="E601" t="s" s="0">
        <v>14014</v>
      </c>
      <c r="F601" t="s" s="0">
        <v>14015</v>
      </c>
      <c r="G601" t="s" s="0">
        <v>14016</v>
      </c>
      <c r="H601" t="s" s="0">
        <v>82</v>
      </c>
      <c r="I601" t="s" s="0">
        <v>83</v>
      </c>
      <c r="J601" t="s" s="0">
        <v>14017</v>
      </c>
      <c r="K601" t="s" s="0">
        <v>14018</v>
      </c>
      <c r="L601" t="s" s="0">
        <v>14019</v>
      </c>
      <c r="M601" t="s" s="0">
        <v>14020</v>
      </c>
      <c r="N601" t="s" s="0">
        <v>14021</v>
      </c>
      <c r="O601" t="s" s="0">
        <v>14022</v>
      </c>
      <c r="P601" t="s" s="0">
        <v>14023</v>
      </c>
      <c r="Q601" t="s" s="0">
        <v>91</v>
      </c>
      <c r="R601" t="s" s="0">
        <v>82</v>
      </c>
      <c r="S601" t="s" s="0">
        <v>82</v>
      </c>
      <c r="T601" t="s" s="0">
        <v>82</v>
      </c>
      <c r="U601" t="s" s="0">
        <v>82</v>
      </c>
      <c r="V601" t="s" s="0">
        <v>14024</v>
      </c>
      <c r="W601" t="s" s="0">
        <v>5574</v>
      </c>
      <c r="X601" t="s" s="0">
        <v>82</v>
      </c>
      <c r="Y601" t="s" s="0">
        <v>82</v>
      </c>
      <c r="Z601" t="s" s="0">
        <v>94</v>
      </c>
      <c r="AA601" t="s" s="0">
        <v>95</v>
      </c>
      <c r="AB601" t="s" s="0">
        <v>82</v>
      </c>
      <c r="AC601" t="s" s="0">
        <v>82</v>
      </c>
      <c r="AD601" t="s" s="0">
        <v>82</v>
      </c>
      <c r="AE601" t="s" s="0">
        <v>82</v>
      </c>
      <c r="AF601" t="s" s="0">
        <v>82</v>
      </c>
      <c r="AG601" t="s" s="0">
        <v>14025</v>
      </c>
      <c r="AH601" t="s" s="0">
        <v>14026</v>
      </c>
      <c r="AI601" t="s" s="0">
        <v>14027</v>
      </c>
      <c r="AJ601" t="s" s="0">
        <v>10276</v>
      </c>
      <c r="AK601" t="s" s="0">
        <v>82</v>
      </c>
      <c r="AL601" t="s" s="0">
        <v>1026</v>
      </c>
      <c r="AM601" t="s" s="0">
        <v>447</v>
      </c>
      <c r="AN601" t="s" s="0">
        <v>447</v>
      </c>
      <c r="AO601" t="s" s="0">
        <v>78</v>
      </c>
      <c r="AP601" t="s" s="0">
        <v>101</v>
      </c>
      <c r="AQ601" t="s" s="0">
        <v>575</v>
      </c>
      <c r="AR601" t="s" s="0">
        <v>104</v>
      </c>
      <c r="AS601" t="s" s="0">
        <v>576</v>
      </c>
      <c r="AT601" t="s" s="0">
        <v>5579</v>
      </c>
      <c r="AU601" t="s" s="0">
        <v>82</v>
      </c>
      <c r="AV601" t="s" s="0">
        <v>82</v>
      </c>
      <c r="AW601" t="s" s="0">
        <v>5574</v>
      </c>
      <c r="AX601" t="s" s="0">
        <v>5580</v>
      </c>
      <c r="AY601" t="s" s="0">
        <v>639</v>
      </c>
      <c r="AZ601" t="s" s="0">
        <v>147</v>
      </c>
      <c r="BA601" t="s" s="0">
        <v>349</v>
      </c>
      <c r="BB601" t="s" s="0">
        <v>101</v>
      </c>
      <c r="BC601" t="s" s="0">
        <v>82</v>
      </c>
      <c r="BD601" t="s" s="0">
        <v>82</v>
      </c>
      <c r="BE601" t="s" s="0">
        <v>82</v>
      </c>
      <c r="BF601" t="s" s="0">
        <v>82</v>
      </c>
      <c r="BG601" t="s" s="0">
        <v>82</v>
      </c>
      <c r="BH601" t="s" s="0">
        <v>82</v>
      </c>
      <c r="BI601" t="s" s="0">
        <v>14028</v>
      </c>
      <c r="BJ601" t="s" s="0">
        <v>14029</v>
      </c>
      <c r="BK601" t="s" s="1195">
        <f>HYPERLINK("http://dx.doi.org/10.1136/bmjopen-2024-098476","http://dx.doi.org/10.1136/bmjopen-2024-098476")</f>
        <v>14030</v>
      </c>
      <c r="BL601" t="s" s="0">
        <v>82</v>
      </c>
      <c r="BM601" t="s" s="0">
        <v>82</v>
      </c>
      <c r="BN601" t="s" s="0">
        <v>245</v>
      </c>
      <c r="BO601" t="s" s="0">
        <v>354</v>
      </c>
      <c r="BP601" t="s" s="0">
        <v>355</v>
      </c>
      <c r="BQ601" t="s" s="0">
        <v>14031</v>
      </c>
      <c r="BR601" t="s" s="0">
        <v>14032</v>
      </c>
      <c r="BS601" t="s" s="0">
        <v>14033</v>
      </c>
      <c r="BT601" t="s" s="1196">
        <f>HYPERLINK("https://www.webofscience.com/wos/woscc/full-record/WOS:001451908500001","View Record in Web of Science")</f>
        <v>120</v>
      </c>
      <c r="BU601" t="s" s="0">
        <v>121</v>
      </c>
      <c r="BV601" t="s" s="0">
        <v>82</v>
      </c>
      <c r="BW601" t="s" s="0">
        <v>82</v>
      </c>
      <c r="BX601" t="s" s="0">
        <v>122</v>
      </c>
    </row>
    <row r="602">
      <c r="A602" t="s" s="0">
        <v>101</v>
      </c>
      <c r="B602" t="s" s="0">
        <v>78</v>
      </c>
      <c r="C602" t="s" s="0">
        <v>138</v>
      </c>
      <c r="D602" t="s" s="0">
        <v>78</v>
      </c>
      <c r="E602" t="s" s="0">
        <v>14034</v>
      </c>
      <c r="F602" t="s" s="0">
        <v>14035</v>
      </c>
      <c r="G602" t="s" s="0">
        <v>14036</v>
      </c>
      <c r="H602" t="s" s="0">
        <v>82</v>
      </c>
      <c r="I602" t="s" s="0">
        <v>83</v>
      </c>
      <c r="J602" t="s" s="0">
        <v>14037</v>
      </c>
      <c r="K602" t="s" s="0">
        <v>14038</v>
      </c>
      <c r="L602" t="s" s="0">
        <v>14039</v>
      </c>
      <c r="M602" t="s" s="0">
        <v>14040</v>
      </c>
      <c r="N602" t="s" s="0">
        <v>14041</v>
      </c>
      <c r="O602" t="s" s="0">
        <v>14042</v>
      </c>
      <c r="P602" t="s" s="0">
        <v>14043</v>
      </c>
      <c r="Q602" t="s" s="0">
        <v>91</v>
      </c>
      <c r="R602" t="s" s="0">
        <v>82</v>
      </c>
      <c r="S602" t="s" s="0">
        <v>82</v>
      </c>
      <c r="T602" t="s" s="0">
        <v>82</v>
      </c>
      <c r="U602" t="s" s="0">
        <v>82</v>
      </c>
      <c r="V602" t="s" s="0">
        <v>14044</v>
      </c>
      <c r="W602" t="s" s="0">
        <v>8029</v>
      </c>
      <c r="X602" t="s" s="0">
        <v>82</v>
      </c>
      <c r="Y602" t="s" s="0">
        <v>82</v>
      </c>
      <c r="Z602" t="s" s="0">
        <v>94</v>
      </c>
      <c r="AA602" t="s" s="0">
        <v>95</v>
      </c>
      <c r="AB602" t="s" s="0">
        <v>82</v>
      </c>
      <c r="AC602" t="s" s="0">
        <v>82</v>
      </c>
      <c r="AD602" t="s" s="0">
        <v>82</v>
      </c>
      <c r="AE602" t="s" s="0">
        <v>82</v>
      </c>
      <c r="AF602" t="s" s="0">
        <v>82</v>
      </c>
      <c r="AG602" t="s" s="0">
        <v>14045</v>
      </c>
      <c r="AH602" t="s" s="0">
        <v>14046</v>
      </c>
      <c r="AI602" t="s" s="0">
        <v>14047</v>
      </c>
      <c r="AJ602" t="s" s="0">
        <v>14048</v>
      </c>
      <c r="AK602" t="s" s="0">
        <v>82</v>
      </c>
      <c r="AL602" t="s" s="0">
        <v>863</v>
      </c>
      <c r="AM602" t="s" s="0">
        <v>374</v>
      </c>
      <c r="AN602" t="s" s="0">
        <v>1526</v>
      </c>
      <c r="AO602" t="s" s="0">
        <v>77</v>
      </c>
      <c r="AP602" t="s" s="0">
        <v>319</v>
      </c>
      <c r="AQ602" t="s" s="0">
        <v>832</v>
      </c>
      <c r="AR602" t="s" s="0">
        <v>833</v>
      </c>
      <c r="AS602" t="s" s="0">
        <v>834</v>
      </c>
      <c r="AT602" t="s" s="0">
        <v>8033</v>
      </c>
      <c r="AU602" t="s" s="0">
        <v>8034</v>
      </c>
      <c r="AV602" t="s" s="0">
        <v>82</v>
      </c>
      <c r="AW602" t="s" s="0">
        <v>8035</v>
      </c>
      <c r="AX602" t="s" s="0">
        <v>8036</v>
      </c>
      <c r="AY602" t="s" s="0">
        <v>6452</v>
      </c>
      <c r="AZ602" t="s" s="0">
        <v>1035</v>
      </c>
      <c r="BA602" t="s" s="0">
        <v>14049</v>
      </c>
      <c r="BB602" t="s" s="0">
        <v>102</v>
      </c>
      <c r="BC602" t="s" s="0">
        <v>82</v>
      </c>
      <c r="BD602" t="s" s="0">
        <v>82</v>
      </c>
      <c r="BE602" t="s" s="0">
        <v>82</v>
      </c>
      <c r="BF602" t="s" s="0">
        <v>82</v>
      </c>
      <c r="BG602" t="s" s="0">
        <v>14050</v>
      </c>
      <c r="BH602" t="s" s="0">
        <v>14051</v>
      </c>
      <c r="BI602" t="s" s="0">
        <v>82</v>
      </c>
      <c r="BJ602" t="s" s="0">
        <v>14052</v>
      </c>
      <c r="BK602" t="s" s="1197">
        <f>HYPERLINK("http://dx.doi.org/10.1097/SLA.0000000000004132","http://dx.doi.org/10.1097/SLA.0000000000004132")</f>
        <v>14053</v>
      </c>
      <c r="BL602" t="s" s="0">
        <v>82</v>
      </c>
      <c r="BM602" t="s" s="0">
        <v>82</v>
      </c>
      <c r="BN602" t="s" s="0">
        <v>319</v>
      </c>
      <c r="BO602" t="s" s="0">
        <v>950</v>
      </c>
      <c r="BP602" t="s" s="0">
        <v>950</v>
      </c>
      <c r="BQ602" t="s" s="0">
        <v>14054</v>
      </c>
      <c r="BR602" t="s" s="0">
        <v>14055</v>
      </c>
      <c r="BS602" t="s" s="0">
        <v>14056</v>
      </c>
      <c r="BT602" t="s" s="1198">
        <f>HYPERLINK("https://www.webofscience.com/wos/woscc/full-record/WOS:000639399600014","View Record in Web of Science")</f>
        <v>120</v>
      </c>
      <c r="BU602" t="s" s="0">
        <v>1265</v>
      </c>
      <c r="BV602" t="s" s="0">
        <v>82</v>
      </c>
      <c r="BW602" t="s" s="0">
        <v>82</v>
      </c>
      <c r="BX602" t="s" s="0">
        <v>122</v>
      </c>
    </row>
    <row r="603">
      <c r="A603" t="s" s="0">
        <v>78</v>
      </c>
      <c r="B603" t="s" s="0">
        <v>78</v>
      </c>
      <c r="C603" t="s" s="0">
        <v>77</v>
      </c>
      <c r="D603" t="s" s="0">
        <v>78</v>
      </c>
      <c r="E603" t="s" s="0">
        <v>14057</v>
      </c>
      <c r="F603" t="s" s="0">
        <v>14058</v>
      </c>
      <c r="G603" t="s" s="0">
        <v>14059</v>
      </c>
      <c r="H603" t="s" s="0">
        <v>82</v>
      </c>
      <c r="I603" t="s" s="0">
        <v>83</v>
      </c>
      <c r="J603" t="s" s="0">
        <v>14060</v>
      </c>
      <c r="K603" t="s" s="0">
        <v>14061</v>
      </c>
      <c r="L603" t="s" s="0">
        <v>14062</v>
      </c>
      <c r="M603" t="s" s="0">
        <v>14063</v>
      </c>
      <c r="N603" t="s" s="0">
        <v>14064</v>
      </c>
      <c r="O603" t="s" s="0">
        <v>14065</v>
      </c>
      <c r="P603" t="s" s="0">
        <v>14066</v>
      </c>
      <c r="Q603" t="s" s="0">
        <v>91</v>
      </c>
      <c r="R603" t="s" s="0">
        <v>82</v>
      </c>
      <c r="S603" t="s" s="0">
        <v>82</v>
      </c>
      <c r="T603" t="s" s="0">
        <v>82</v>
      </c>
      <c r="U603" t="s" s="0">
        <v>82</v>
      </c>
      <c r="V603" t="s" s="0">
        <v>14067</v>
      </c>
      <c r="W603" t="s" s="0">
        <v>5574</v>
      </c>
      <c r="X603" t="s" s="0">
        <v>82</v>
      </c>
      <c r="Y603" t="s" s="0">
        <v>82</v>
      </c>
      <c r="Z603" t="s" s="0">
        <v>94</v>
      </c>
      <c r="AA603" t="s" s="0">
        <v>95</v>
      </c>
      <c r="AB603" t="s" s="0">
        <v>82</v>
      </c>
      <c r="AC603" t="s" s="0">
        <v>82</v>
      </c>
      <c r="AD603" t="s" s="0">
        <v>82</v>
      </c>
      <c r="AE603" t="s" s="0">
        <v>82</v>
      </c>
      <c r="AF603" t="s" s="0">
        <v>82</v>
      </c>
      <c r="AG603" t="s" s="0">
        <v>14068</v>
      </c>
      <c r="AH603" t="s" s="0">
        <v>14069</v>
      </c>
      <c r="AI603" t="s" s="0">
        <v>14070</v>
      </c>
      <c r="AJ603" t="s" s="0">
        <v>14071</v>
      </c>
      <c r="AK603" t="s" s="0">
        <v>82</v>
      </c>
      <c r="AL603" t="s" s="0">
        <v>745</v>
      </c>
      <c r="AM603" t="s" s="0">
        <v>77</v>
      </c>
      <c r="AN603" t="s" s="0">
        <v>101</v>
      </c>
      <c r="AO603" t="s" s="0">
        <v>78</v>
      </c>
      <c r="AP603" t="s" s="0">
        <v>102</v>
      </c>
      <c r="AQ603" t="s" s="0">
        <v>575</v>
      </c>
      <c r="AR603" t="s" s="0">
        <v>104</v>
      </c>
      <c r="AS603" t="s" s="0">
        <v>576</v>
      </c>
      <c r="AT603" t="s" s="0">
        <v>5579</v>
      </c>
      <c r="AU603" t="s" s="0">
        <v>82</v>
      </c>
      <c r="AV603" t="s" s="0">
        <v>82</v>
      </c>
      <c r="AW603" t="s" s="0">
        <v>5574</v>
      </c>
      <c r="AX603" t="s" s="0">
        <v>5580</v>
      </c>
      <c r="AY603" t="s" s="0">
        <v>11118</v>
      </c>
      <c r="AZ603" t="s" s="0">
        <v>147</v>
      </c>
      <c r="BA603" t="s" s="0">
        <v>349</v>
      </c>
      <c r="BB603" t="s" s="0">
        <v>77</v>
      </c>
      <c r="BC603" t="s" s="0">
        <v>82</v>
      </c>
      <c r="BD603" t="s" s="0">
        <v>82</v>
      </c>
      <c r="BE603" t="s" s="0">
        <v>82</v>
      </c>
      <c r="BF603" t="s" s="0">
        <v>82</v>
      </c>
      <c r="BG603" t="s" s="0">
        <v>82</v>
      </c>
      <c r="BH603" t="s" s="0">
        <v>82</v>
      </c>
      <c r="BI603" t="s" s="0">
        <v>14072</v>
      </c>
      <c r="BJ603" t="s" s="0">
        <v>14073</v>
      </c>
      <c r="BK603" t="s" s="1199">
        <f>HYPERLINK("http://dx.doi.org/10.1136/bmjopen-2024-091793","http://dx.doi.org/10.1136/bmjopen-2024-091793")</f>
        <v>14074</v>
      </c>
      <c r="BL603" t="s" s="0">
        <v>82</v>
      </c>
      <c r="BM603" t="s" s="0">
        <v>82</v>
      </c>
      <c r="BN603" t="s" s="0">
        <v>319</v>
      </c>
      <c r="BO603" t="s" s="0">
        <v>354</v>
      </c>
      <c r="BP603" t="s" s="0">
        <v>355</v>
      </c>
      <c r="BQ603" t="s" s="0">
        <v>14075</v>
      </c>
      <c r="BR603" t="s" s="0">
        <v>14076</v>
      </c>
      <c r="BS603" t="s" s="0">
        <v>14077</v>
      </c>
      <c r="BT603" t="s" s="1200">
        <f>HYPERLINK("https://www.webofscience.com/wos/woscc/full-record/WOS:001391507100001","View Record in Web of Science")</f>
        <v>120</v>
      </c>
      <c r="BU603" t="s" s="0">
        <v>121</v>
      </c>
      <c r="BV603" t="s" s="0">
        <v>82</v>
      </c>
      <c r="BW603" t="s" s="0">
        <v>82</v>
      </c>
      <c r="BX603" t="s" s="0">
        <v>122</v>
      </c>
    </row>
    <row r="604">
      <c r="A604" t="s" s="0">
        <v>78</v>
      </c>
      <c r="B604" t="s" s="0">
        <v>78</v>
      </c>
      <c r="C604" t="s" s="0">
        <v>102</v>
      </c>
      <c r="D604" t="s" s="0">
        <v>78</v>
      </c>
      <c r="E604" t="s" s="0">
        <v>14078</v>
      </c>
      <c r="F604" t="s" s="0">
        <v>14079</v>
      </c>
      <c r="G604" t="s" s="0">
        <v>14080</v>
      </c>
      <c r="H604" t="s" s="0">
        <v>82</v>
      </c>
      <c r="I604" t="s" s="0">
        <v>83</v>
      </c>
      <c r="J604" t="s" s="0">
        <v>14081</v>
      </c>
      <c r="K604" t="s" s="0">
        <v>14082</v>
      </c>
      <c r="L604" t="s" s="0">
        <v>14083</v>
      </c>
      <c r="M604" t="s" s="0">
        <v>14084</v>
      </c>
      <c r="N604" t="s" s="0">
        <v>14085</v>
      </c>
      <c r="O604" t="s" s="0">
        <v>14086</v>
      </c>
      <c r="P604" t="s" s="0">
        <v>14087</v>
      </c>
      <c r="Q604" t="s" s="0">
        <v>91</v>
      </c>
      <c r="R604" t="s" s="0">
        <v>82</v>
      </c>
      <c r="S604" t="s" s="0">
        <v>82</v>
      </c>
      <c r="T604" t="s" s="0">
        <v>82</v>
      </c>
      <c r="U604" t="s" s="0">
        <v>82</v>
      </c>
      <c r="V604" t="s" s="0">
        <v>14088</v>
      </c>
      <c r="W604" t="s" s="0">
        <v>543</v>
      </c>
      <c r="X604" t="s" s="0">
        <v>82</v>
      </c>
      <c r="Y604" t="s" s="0">
        <v>82</v>
      </c>
      <c r="Z604" t="s" s="0">
        <v>94</v>
      </c>
      <c r="AA604" t="s" s="0">
        <v>95</v>
      </c>
      <c r="AB604" t="s" s="0">
        <v>82</v>
      </c>
      <c r="AC604" t="s" s="0">
        <v>82</v>
      </c>
      <c r="AD604" t="s" s="0">
        <v>82</v>
      </c>
      <c r="AE604" t="s" s="0">
        <v>82</v>
      </c>
      <c r="AF604" t="s" s="0">
        <v>82</v>
      </c>
      <c r="AG604" t="s" s="0">
        <v>14089</v>
      </c>
      <c r="AH604" t="s" s="0">
        <v>14090</v>
      </c>
      <c r="AI604" t="s" s="0">
        <v>14091</v>
      </c>
      <c r="AJ604" t="s" s="0">
        <v>14092</v>
      </c>
      <c r="AK604" t="s" s="0">
        <v>82</v>
      </c>
      <c r="AL604" t="s" s="0">
        <v>201</v>
      </c>
      <c r="AM604" t="s" s="0">
        <v>319</v>
      </c>
      <c r="AN604" t="s" s="0">
        <v>245</v>
      </c>
      <c r="AO604" t="s" s="0">
        <v>77</v>
      </c>
      <c r="AP604" t="s" s="0">
        <v>102</v>
      </c>
      <c r="AQ604" t="s" s="0">
        <v>312</v>
      </c>
      <c r="AR604" t="s" s="0">
        <v>313</v>
      </c>
      <c r="AS604" t="s" s="0">
        <v>549</v>
      </c>
      <c r="AT604" t="s" s="0">
        <v>82</v>
      </c>
      <c r="AU604" t="s" s="0">
        <v>550</v>
      </c>
      <c r="AV604" t="s" s="0">
        <v>82</v>
      </c>
      <c r="AW604" t="s" s="0">
        <v>543</v>
      </c>
      <c r="AX604" t="s" s="0">
        <v>551</v>
      </c>
      <c r="AY604" t="s" s="0">
        <v>1631</v>
      </c>
      <c r="AZ604" t="s" s="0">
        <v>110</v>
      </c>
      <c r="BA604" t="s" s="0">
        <v>323</v>
      </c>
      <c r="BB604" t="s" s="0">
        <v>149</v>
      </c>
      <c r="BC604" t="s" s="0">
        <v>82</v>
      </c>
      <c r="BD604" t="s" s="0">
        <v>82</v>
      </c>
      <c r="BE604" t="s" s="0">
        <v>82</v>
      </c>
      <c r="BF604" t="s" s="0">
        <v>82</v>
      </c>
      <c r="BG604" t="s" s="0">
        <v>82</v>
      </c>
      <c r="BH604" t="s" s="0">
        <v>82</v>
      </c>
      <c r="BI604" t="s" s="0">
        <v>14093</v>
      </c>
      <c r="BJ604" t="s" s="0">
        <v>14094</v>
      </c>
      <c r="BK604" t="s" s="1201">
        <f>HYPERLINK("http://dx.doi.org/10.3390/diagnostics14121208","http://dx.doi.org/10.3390/diagnostics14121208")</f>
        <v>14095</v>
      </c>
      <c r="BL604" t="s" s="0">
        <v>82</v>
      </c>
      <c r="BM604" t="s" s="0">
        <v>82</v>
      </c>
      <c r="BN604" t="s" s="0">
        <v>149</v>
      </c>
      <c r="BO604" t="s" s="0">
        <v>354</v>
      </c>
      <c r="BP604" t="s" s="0">
        <v>355</v>
      </c>
      <c r="BQ604" t="s" s="0">
        <v>14096</v>
      </c>
      <c r="BR604" t="s" s="0">
        <v>14097</v>
      </c>
      <c r="BS604" t="s" s="0">
        <v>14098</v>
      </c>
      <c r="BT604" t="s" s="1202">
        <f>HYPERLINK("https://www.webofscience.com/wos/woscc/full-record/WOS:001254472000001","View Record in Web of Science")</f>
        <v>120</v>
      </c>
      <c r="BU604" t="s" s="0">
        <v>121</v>
      </c>
      <c r="BV604" t="s" s="0">
        <v>82</v>
      </c>
      <c r="BW604" t="s" s="0">
        <v>82</v>
      </c>
      <c r="BX604" t="s" s="0">
        <v>122</v>
      </c>
    </row>
    <row r="605">
      <c r="A605" t="s" s="0">
        <v>245</v>
      </c>
      <c r="B605" t="s" s="0">
        <v>78</v>
      </c>
      <c r="C605" t="s" s="0">
        <v>138</v>
      </c>
      <c r="D605" t="s" s="0">
        <v>78</v>
      </c>
      <c r="E605" t="s" s="0">
        <v>14099</v>
      </c>
      <c r="F605" t="s" s="0">
        <v>14100</v>
      </c>
      <c r="G605" t="s" s="0">
        <v>14101</v>
      </c>
      <c r="H605" t="s" s="0">
        <v>82</v>
      </c>
      <c r="I605" t="s" s="0">
        <v>83</v>
      </c>
      <c r="J605" t="s" s="0">
        <v>14102</v>
      </c>
      <c r="K605" t="s" s="0">
        <v>14103</v>
      </c>
      <c r="L605" t="s" s="0">
        <v>6609</v>
      </c>
      <c r="M605" t="s" s="0">
        <v>6610</v>
      </c>
      <c r="N605" t="s" s="0">
        <v>14104</v>
      </c>
      <c r="O605" t="s" s="0">
        <v>14105</v>
      </c>
      <c r="P605" t="s" s="0">
        <v>14106</v>
      </c>
      <c r="Q605" t="s" s="0">
        <v>91</v>
      </c>
      <c r="R605" t="s" s="0">
        <v>82</v>
      </c>
      <c r="S605" t="s" s="0">
        <v>14107</v>
      </c>
      <c r="T605" t="s" s="0">
        <v>82</v>
      </c>
      <c r="U605" t="s" s="0">
        <v>82</v>
      </c>
      <c r="V605" t="s" s="0">
        <v>14108</v>
      </c>
      <c r="W605" t="s" s="0">
        <v>269</v>
      </c>
      <c r="X605" t="s" s="0">
        <v>82</v>
      </c>
      <c r="Y605" t="s" s="0">
        <v>82</v>
      </c>
      <c r="Z605" t="s" s="0">
        <v>94</v>
      </c>
      <c r="AA605" t="s" s="0">
        <v>95</v>
      </c>
      <c r="AB605" t="s" s="0">
        <v>82</v>
      </c>
      <c r="AC605" t="s" s="0">
        <v>82</v>
      </c>
      <c r="AD605" t="s" s="0">
        <v>82</v>
      </c>
      <c r="AE605" t="s" s="0">
        <v>82</v>
      </c>
      <c r="AF605" t="s" s="0">
        <v>82</v>
      </c>
      <c r="AG605" t="s" s="0">
        <v>82</v>
      </c>
      <c r="AH605" t="s" s="0">
        <v>14109</v>
      </c>
      <c r="AI605" t="s" s="0">
        <v>14110</v>
      </c>
      <c r="AJ605" t="s" s="0">
        <v>14111</v>
      </c>
      <c r="AK605" t="s" s="0">
        <v>82</v>
      </c>
      <c r="AL605" t="s" s="0">
        <v>1186</v>
      </c>
      <c r="AM605" t="s" s="0">
        <v>463</v>
      </c>
      <c r="AN605" t="s" s="0">
        <v>1091</v>
      </c>
      <c r="AO605" t="s" s="0">
        <v>149</v>
      </c>
      <c r="AP605" t="s" s="0">
        <v>1060</v>
      </c>
      <c r="AQ605" t="s" s="0">
        <v>277</v>
      </c>
      <c r="AR605" t="s" s="0">
        <v>278</v>
      </c>
      <c r="AS605" t="s" s="0">
        <v>279</v>
      </c>
      <c r="AT605" t="s" s="0">
        <v>82</v>
      </c>
      <c r="AU605" t="s" s="0">
        <v>280</v>
      </c>
      <c r="AV605" t="s" s="0">
        <v>82</v>
      </c>
      <c r="AW605" t="s" s="0">
        <v>281</v>
      </c>
      <c r="AX605" t="s" s="0">
        <v>282</v>
      </c>
      <c r="AY605" t="s" s="0">
        <v>668</v>
      </c>
      <c r="AZ605" t="s" s="0">
        <v>110</v>
      </c>
      <c r="BA605" t="s" s="0">
        <v>375</v>
      </c>
      <c r="BB605" t="s" s="0">
        <v>102</v>
      </c>
      <c r="BC605" t="s" s="0">
        <v>82</v>
      </c>
      <c r="BD605" t="s" s="0">
        <v>82</v>
      </c>
      <c r="BE605" t="s" s="0">
        <v>82</v>
      </c>
      <c r="BF605" t="s" s="0">
        <v>82</v>
      </c>
      <c r="BG605" t="s" s="0">
        <v>14112</v>
      </c>
      <c r="BH605" t="s" s="0">
        <v>14113</v>
      </c>
      <c r="BI605" t="s" s="0">
        <v>82</v>
      </c>
      <c r="BJ605" t="s" s="0">
        <v>14114</v>
      </c>
      <c r="BK605" t="s" s="1203">
        <f>HYPERLINK("http://dx.doi.org/10.1016/S2589-7500(23)00268-6","http://dx.doi.org/10.1016/S2589-7500(23)00268-6")</f>
        <v>14115</v>
      </c>
      <c r="BL605" t="s" s="0">
        <v>82</v>
      </c>
      <c r="BM605" t="s" s="0">
        <v>82</v>
      </c>
      <c r="BN605" t="s" s="0">
        <v>137</v>
      </c>
      <c r="BO605" t="s" s="0">
        <v>289</v>
      </c>
      <c r="BP605" t="s" s="0">
        <v>290</v>
      </c>
      <c r="BQ605" t="s" s="0">
        <v>14116</v>
      </c>
      <c r="BR605" t="s" s="0">
        <v>14117</v>
      </c>
      <c r="BS605" t="s" s="0">
        <v>14118</v>
      </c>
      <c r="BT605" t="s" s="1204">
        <f>HYPERLINK("https://www.webofscience.com/wos/woscc/full-record/WOS:001228530300001","View Record in Web of Science")</f>
        <v>120</v>
      </c>
      <c r="BU605" t="s" s="0">
        <v>1008</v>
      </c>
      <c r="BV605" t="s" s="0">
        <v>82</v>
      </c>
      <c r="BW605" t="s" s="0">
        <v>82</v>
      </c>
      <c r="BX605" t="s" s="0">
        <v>122</v>
      </c>
    </row>
    <row r="606">
      <c r="A606" t="s" s="0">
        <v>78</v>
      </c>
      <c r="B606" t="s" s="0">
        <v>78</v>
      </c>
      <c r="C606" t="s" s="0">
        <v>78</v>
      </c>
      <c r="D606" t="s" s="0">
        <v>78</v>
      </c>
      <c r="E606" t="s" s="0">
        <v>14119</v>
      </c>
      <c r="F606" t="s" s="0">
        <v>14120</v>
      </c>
      <c r="G606" t="s" s="0">
        <v>14121</v>
      </c>
      <c r="H606" t="s" s="0">
        <v>82</v>
      </c>
      <c r="I606" t="s" s="0">
        <v>83</v>
      </c>
      <c r="J606" t="s" s="0">
        <v>14122</v>
      </c>
      <c r="K606" t="s" s="0">
        <v>14123</v>
      </c>
      <c r="L606" t="s" s="0">
        <v>82</v>
      </c>
      <c r="M606" t="s" s="0">
        <v>82</v>
      </c>
      <c r="N606" t="s" s="0">
        <v>82</v>
      </c>
      <c r="O606" t="s" s="0">
        <v>14124</v>
      </c>
      <c r="P606" t="s" s="0">
        <v>14125</v>
      </c>
      <c r="Q606" t="s" s="0">
        <v>91</v>
      </c>
      <c r="R606" t="s" s="0">
        <v>82</v>
      </c>
      <c r="S606" t="s" s="0">
        <v>82</v>
      </c>
      <c r="T606" t="s" s="0">
        <v>82</v>
      </c>
      <c r="U606" t="s" s="0">
        <v>82</v>
      </c>
      <c r="V606" t="s" s="0">
        <v>14126</v>
      </c>
      <c r="W606" t="s" s="0">
        <v>2480</v>
      </c>
      <c r="X606" t="s" s="0">
        <v>82</v>
      </c>
      <c r="Y606" t="s" s="0">
        <v>82</v>
      </c>
      <c r="Z606" t="s" s="0">
        <v>94</v>
      </c>
      <c r="AA606" t="s" s="0">
        <v>95</v>
      </c>
      <c r="AB606" t="s" s="0">
        <v>82</v>
      </c>
      <c r="AC606" t="s" s="0">
        <v>82</v>
      </c>
      <c r="AD606" t="s" s="0">
        <v>82</v>
      </c>
      <c r="AE606" t="s" s="0">
        <v>82</v>
      </c>
      <c r="AF606" t="s" s="0">
        <v>82</v>
      </c>
      <c r="AG606" t="s" s="0">
        <v>14127</v>
      </c>
      <c r="AH606" t="s" s="0">
        <v>14128</v>
      </c>
      <c r="AI606" t="s" s="0">
        <v>14129</v>
      </c>
      <c r="AJ606" t="s" s="0">
        <v>82</v>
      </c>
      <c r="AK606" t="s" s="0">
        <v>82</v>
      </c>
      <c r="AL606" t="s" s="0">
        <v>353</v>
      </c>
      <c r="AM606" t="s" s="0">
        <v>78</v>
      </c>
      <c r="AN606" t="s" s="0">
        <v>78</v>
      </c>
      <c r="AO606" t="s" s="0">
        <v>78</v>
      </c>
      <c r="AP606" t="s" s="0">
        <v>78</v>
      </c>
      <c r="AQ606" t="s" s="0">
        <v>2484</v>
      </c>
      <c r="AR606" t="s" s="0">
        <v>2485</v>
      </c>
      <c r="AS606" t="s" s="0">
        <v>2486</v>
      </c>
      <c r="AT606" t="s" s="0">
        <v>2487</v>
      </c>
      <c r="AU606" t="s" s="0">
        <v>82</v>
      </c>
      <c r="AV606" t="s" s="0">
        <v>82</v>
      </c>
      <c r="AW606" t="s" s="0">
        <v>2488</v>
      </c>
      <c r="AX606" t="s" s="0">
        <v>2489</v>
      </c>
      <c r="AY606" t="s" s="0">
        <v>2758</v>
      </c>
      <c r="AZ606" t="s" s="0">
        <v>181</v>
      </c>
      <c r="BA606" t="s" s="0">
        <v>239</v>
      </c>
      <c r="BB606" t="s" s="0">
        <v>82</v>
      </c>
      <c r="BC606" t="s" s="0">
        <v>82</v>
      </c>
      <c r="BD606" t="s" s="0">
        <v>82</v>
      </c>
      <c r="BE606" t="s" s="0">
        <v>82</v>
      </c>
      <c r="BF606" t="s" s="0">
        <v>82</v>
      </c>
      <c r="BG606" t="s" s="0">
        <v>82</v>
      </c>
      <c r="BH606" t="s" s="0">
        <v>82</v>
      </c>
      <c r="BI606" t="s" s="0">
        <v>14130</v>
      </c>
      <c r="BJ606" t="s" s="0">
        <v>14131</v>
      </c>
      <c r="BK606" t="s" s="1205">
        <f>HYPERLINK("http://dx.doi.org/10.3389/fendo.2026.1809473","http://dx.doi.org/10.3389/fendo.2026.1809473")</f>
        <v>14132</v>
      </c>
      <c r="BL606" t="s" s="0">
        <v>82</v>
      </c>
      <c r="BM606" t="s" s="0">
        <v>1003</v>
      </c>
      <c r="BN606" t="s" s="0">
        <v>136</v>
      </c>
      <c r="BO606" t="s" s="0">
        <v>697</v>
      </c>
      <c r="BP606" t="s" s="0">
        <v>697</v>
      </c>
      <c r="BQ606" t="s" s="0">
        <v>14133</v>
      </c>
      <c r="BR606" t="s" s="0">
        <v>14134</v>
      </c>
      <c r="BS606" t="s" s="0">
        <v>14135</v>
      </c>
      <c r="BT606" t="s" s="1206">
        <f>HYPERLINK("https://www.webofscience.com/wos/woscc/full-record/WOS:001772411700001","View Record in Web of Science")</f>
        <v>120</v>
      </c>
      <c r="BU606" t="s" s="0">
        <v>121</v>
      </c>
      <c r="BV606" t="s" s="0">
        <v>82</v>
      </c>
      <c r="BW606" t="s" s="0">
        <v>82</v>
      </c>
      <c r="BX606" t="s" s="0">
        <v>122</v>
      </c>
    </row>
    <row r="607">
      <c r="A607" t="s" s="0">
        <v>77</v>
      </c>
      <c r="B607" t="s" s="0">
        <v>78</v>
      </c>
      <c r="C607" t="s" s="0">
        <v>375</v>
      </c>
      <c r="D607" t="s" s="0">
        <v>78</v>
      </c>
      <c r="E607" t="s" s="0">
        <v>14136</v>
      </c>
      <c r="F607" t="s" s="0">
        <v>14137</v>
      </c>
      <c r="G607" t="s" s="0">
        <v>14138</v>
      </c>
      <c r="H607" t="s" s="0">
        <v>82</v>
      </c>
      <c r="I607" t="s" s="0">
        <v>83</v>
      </c>
      <c r="J607" t="s" s="0">
        <v>14139</v>
      </c>
      <c r="K607" t="s" s="0">
        <v>13677</v>
      </c>
      <c r="L607" t="s" s="0">
        <v>82</v>
      </c>
      <c r="M607" t="s" s="0">
        <v>82</v>
      </c>
      <c r="N607" t="s" s="0">
        <v>82</v>
      </c>
      <c r="O607" t="s" s="0">
        <v>14140</v>
      </c>
      <c r="P607" t="s" s="0">
        <v>14141</v>
      </c>
      <c r="Q607" t="s" s="0">
        <v>91</v>
      </c>
      <c r="R607" t="s" s="0">
        <v>82</v>
      </c>
      <c r="S607" t="s" s="0">
        <v>82</v>
      </c>
      <c r="T607" t="s" s="0">
        <v>82</v>
      </c>
      <c r="U607" t="s" s="0">
        <v>82</v>
      </c>
      <c r="V607" t="s" s="0">
        <v>14142</v>
      </c>
      <c r="W607" t="s" s="0">
        <v>7015</v>
      </c>
      <c r="X607" t="s" s="0">
        <v>82</v>
      </c>
      <c r="Y607" t="s" s="0">
        <v>82</v>
      </c>
      <c r="Z607" t="s" s="0">
        <v>94</v>
      </c>
      <c r="AA607" t="s" s="0">
        <v>95</v>
      </c>
      <c r="AB607" t="s" s="0">
        <v>82</v>
      </c>
      <c r="AC607" t="s" s="0">
        <v>82</v>
      </c>
      <c r="AD607" t="s" s="0">
        <v>82</v>
      </c>
      <c r="AE607" t="s" s="0">
        <v>82</v>
      </c>
      <c r="AF607" t="s" s="0">
        <v>82</v>
      </c>
      <c r="AG607" t="s" s="0">
        <v>14143</v>
      </c>
      <c r="AH607" t="s" s="0">
        <v>14144</v>
      </c>
      <c r="AI607" t="s" s="0">
        <v>9429</v>
      </c>
      <c r="AJ607" t="s" s="0">
        <v>14145</v>
      </c>
      <c r="AK607" t="s" s="0">
        <v>82</v>
      </c>
      <c r="AL607" t="s" s="0">
        <v>2192</v>
      </c>
      <c r="AM607" t="s" s="0">
        <v>311</v>
      </c>
      <c r="AN607" t="s" s="0">
        <v>1502</v>
      </c>
      <c r="AO607" t="s" s="0">
        <v>78</v>
      </c>
      <c r="AP607" t="s" s="0">
        <v>138</v>
      </c>
      <c r="AQ607" t="s" s="0">
        <v>202</v>
      </c>
      <c r="AR607" t="s" s="0">
        <v>203</v>
      </c>
      <c r="AS607" t="s" s="0">
        <v>7020</v>
      </c>
      <c r="AT607" t="s" s="0">
        <v>7021</v>
      </c>
      <c r="AU607" t="s" s="0">
        <v>7022</v>
      </c>
      <c r="AV607" t="s" s="0">
        <v>82</v>
      </c>
      <c r="AW607" t="s" s="0">
        <v>7023</v>
      </c>
      <c r="AX607" t="s" s="0">
        <v>7024</v>
      </c>
      <c r="AY607" t="s" s="0">
        <v>977</v>
      </c>
      <c r="AZ607" t="s" s="0">
        <v>408</v>
      </c>
      <c r="BA607" t="s" s="0">
        <v>148</v>
      </c>
      <c r="BB607" t="s" s="0">
        <v>138</v>
      </c>
      <c r="BC607" t="s" s="0">
        <v>82</v>
      </c>
      <c r="BD607" t="s" s="0">
        <v>82</v>
      </c>
      <c r="BE607" t="s" s="0">
        <v>82</v>
      </c>
      <c r="BF607" t="s" s="0">
        <v>82</v>
      </c>
      <c r="BG607" t="s" s="0">
        <v>14146</v>
      </c>
      <c r="BH607" t="s" s="0">
        <v>14147</v>
      </c>
      <c r="BI607" t="s" s="0">
        <v>82</v>
      </c>
      <c r="BJ607" t="s" s="0">
        <v>14148</v>
      </c>
      <c r="BK607" t="s" s="1207">
        <f>HYPERLINK("http://dx.doi.org/10.1016/j.spinee.2022.02.009","http://dx.doi.org/10.1016/j.spinee.2022.02.009")</f>
        <v>14149</v>
      </c>
      <c r="BL607" t="s" s="0">
        <v>82</v>
      </c>
      <c r="BM607" t="s" s="0">
        <v>82</v>
      </c>
      <c r="BN607" t="s" s="0">
        <v>149</v>
      </c>
      <c r="BO607" t="s" s="0">
        <v>2062</v>
      </c>
      <c r="BP607" t="s" s="0">
        <v>2063</v>
      </c>
      <c r="BQ607" t="s" s="0">
        <v>14150</v>
      </c>
      <c r="BR607" t="s" s="0">
        <v>14151</v>
      </c>
      <c r="BS607" t="s" s="0">
        <v>14152</v>
      </c>
      <c r="BT607" t="s" s="1208">
        <f>HYPERLINK("https://www.webofscience.com/wos/woscc/full-record/WOS:000817045100007","View Record in Web of Science")</f>
        <v>120</v>
      </c>
      <c r="BU607" t="s" s="0">
        <v>1265</v>
      </c>
      <c r="BV607" t="s" s="0">
        <v>82</v>
      </c>
      <c r="BW607" t="s" s="0">
        <v>82</v>
      </c>
      <c r="BX607" t="s" s="0">
        <v>122</v>
      </c>
    </row>
    <row r="608">
      <c r="A608" t="s" s="0">
        <v>78</v>
      </c>
      <c r="B608" t="s" s="0">
        <v>78</v>
      </c>
      <c r="C608" t="s" s="0">
        <v>78</v>
      </c>
      <c r="D608" t="s" s="0">
        <v>78</v>
      </c>
      <c r="E608" t="s" s="0">
        <v>14153</v>
      </c>
      <c r="F608" t="s" s="0">
        <v>14154</v>
      </c>
      <c r="G608" t="s" s="0">
        <v>14155</v>
      </c>
      <c r="H608" t="s" s="0">
        <v>82</v>
      </c>
      <c r="I608" t="s" s="0">
        <v>589</v>
      </c>
      <c r="J608" t="s" s="0">
        <v>14156</v>
      </c>
      <c r="K608" t="s" s="0">
        <v>14157</v>
      </c>
      <c r="L608" t="s" s="0">
        <v>14158</v>
      </c>
      <c r="M608" t="s" s="0">
        <v>14159</v>
      </c>
      <c r="N608" t="s" s="0">
        <v>14160</v>
      </c>
      <c r="O608" t="s" s="0">
        <v>14161</v>
      </c>
      <c r="P608" t="s" s="0">
        <v>14162</v>
      </c>
      <c r="Q608" t="s" s="0">
        <v>91</v>
      </c>
      <c r="R608" t="s" s="0">
        <v>82</v>
      </c>
      <c r="S608" t="s" s="0">
        <v>82</v>
      </c>
      <c r="T608" t="s" s="0">
        <v>82</v>
      </c>
      <c r="U608" t="s" s="0">
        <v>82</v>
      </c>
      <c r="V608" t="s" s="0">
        <v>14163</v>
      </c>
      <c r="W608" t="s" s="0">
        <v>14164</v>
      </c>
      <c r="X608" t="s" s="0">
        <v>82</v>
      </c>
      <c r="Y608" t="s" s="0">
        <v>82</v>
      </c>
      <c r="Z608" t="s" s="0">
        <v>94</v>
      </c>
      <c r="AA608" t="s" s="0">
        <v>95</v>
      </c>
      <c r="AB608" t="s" s="0">
        <v>82</v>
      </c>
      <c r="AC608" t="s" s="0">
        <v>82</v>
      </c>
      <c r="AD608" t="s" s="0">
        <v>82</v>
      </c>
      <c r="AE608" t="s" s="0">
        <v>82</v>
      </c>
      <c r="AF608" t="s" s="0">
        <v>82</v>
      </c>
      <c r="AG608" t="s" s="0">
        <v>14165</v>
      </c>
      <c r="AH608" t="s" s="0">
        <v>14166</v>
      </c>
      <c r="AI608" t="s" s="0">
        <v>82</v>
      </c>
      <c r="AJ608" t="s" s="0">
        <v>82</v>
      </c>
      <c r="AK608" t="s" s="0">
        <v>82</v>
      </c>
      <c r="AL608" t="s" s="0">
        <v>4998</v>
      </c>
      <c r="AM608" t="s" s="0">
        <v>447</v>
      </c>
      <c r="AN608" t="s" s="0">
        <v>447</v>
      </c>
      <c r="AO608" t="s" s="0">
        <v>245</v>
      </c>
      <c r="AP608" t="s" s="0">
        <v>245</v>
      </c>
      <c r="AQ608" t="s" s="0">
        <v>14167</v>
      </c>
      <c r="AR608" t="s" s="0">
        <v>14168</v>
      </c>
      <c r="AS608" t="s" s="0">
        <v>14169</v>
      </c>
      <c r="AT608" t="s" s="0">
        <v>14170</v>
      </c>
      <c r="AU608" t="s" s="0">
        <v>14171</v>
      </c>
      <c r="AV608" t="s" s="0">
        <v>82</v>
      </c>
      <c r="AW608" t="s" s="0">
        <v>14172</v>
      </c>
      <c r="AX608" t="s" s="0">
        <v>14173</v>
      </c>
      <c r="AY608" t="s" s="0">
        <v>181</v>
      </c>
      <c r="AZ608" t="s" s="0">
        <v>181</v>
      </c>
      <c r="BA608" t="s" s="0">
        <v>640</v>
      </c>
      <c r="BB608" t="s" s="0">
        <v>82</v>
      </c>
      <c r="BC608" t="s" s="0">
        <v>82</v>
      </c>
      <c r="BD608" t="s" s="0">
        <v>82</v>
      </c>
      <c r="BE608" t="s" s="0">
        <v>82</v>
      </c>
      <c r="BF608" t="s" s="0">
        <v>82</v>
      </c>
      <c r="BG608" t="s" s="0">
        <v>82</v>
      </c>
      <c r="BH608" t="s" s="0">
        <v>82</v>
      </c>
      <c r="BI608" t="s" s="0">
        <v>14174</v>
      </c>
      <c r="BJ608" t="s" s="0">
        <v>14175</v>
      </c>
      <c r="BK608" t="s" s="1209">
        <f>HYPERLINK("http://dx.doi.org/10.7189/jogh.16.04031","http://dx.doi.org/10.7189/jogh.16.04031")</f>
        <v>14176</v>
      </c>
      <c r="BL608" t="s" s="0">
        <v>82</v>
      </c>
      <c r="BM608" t="s" s="0">
        <v>82</v>
      </c>
      <c r="BN608" t="s" s="0">
        <v>349</v>
      </c>
      <c r="BO608" t="s" s="0">
        <v>7435</v>
      </c>
      <c r="BP608" t="s" s="0">
        <v>7435</v>
      </c>
      <c r="BQ608" t="s" s="0">
        <v>14177</v>
      </c>
      <c r="BR608" t="s" s="0">
        <v>14178</v>
      </c>
      <c r="BS608" t="s" s="0">
        <v>14179</v>
      </c>
      <c r="BT608" t="s" s="1210">
        <f>HYPERLINK("https://www.webofscience.com/wos/woscc/full-record/WOS:001667434600001","View Record in Web of Science")</f>
        <v>120</v>
      </c>
      <c r="BU608" t="s" s="0">
        <v>121</v>
      </c>
      <c r="BV608" t="s" s="0">
        <v>82</v>
      </c>
      <c r="BW608" t="s" s="0">
        <v>82</v>
      </c>
      <c r="BX608" t="s" s="0">
        <v>122</v>
      </c>
    </row>
    <row r="609">
      <c r="A609" t="s" s="0">
        <v>78</v>
      </c>
      <c r="B609" t="s" s="0">
        <v>78</v>
      </c>
      <c r="C609" t="s" s="0">
        <v>78</v>
      </c>
      <c r="D609" t="s" s="0">
        <v>78</v>
      </c>
      <c r="E609" t="s" s="0">
        <v>14180</v>
      </c>
      <c r="F609" t="s" s="0">
        <v>14181</v>
      </c>
      <c r="G609" t="s" s="0">
        <v>14182</v>
      </c>
      <c r="H609" t="s" s="0">
        <v>82</v>
      </c>
      <c r="I609" t="s" s="0">
        <v>83</v>
      </c>
      <c r="J609" t="s" s="0">
        <v>14183</v>
      </c>
      <c r="K609" t="s" s="0">
        <v>14184</v>
      </c>
      <c r="L609" t="s" s="0">
        <v>82</v>
      </c>
      <c r="M609" t="s" s="0">
        <v>82</v>
      </c>
      <c r="N609" t="s" s="0">
        <v>82</v>
      </c>
      <c r="O609" t="s" s="0">
        <v>14185</v>
      </c>
      <c r="P609" t="s" s="0">
        <v>14186</v>
      </c>
      <c r="Q609" t="s" s="0">
        <v>91</v>
      </c>
      <c r="R609" t="s" s="0">
        <v>82</v>
      </c>
      <c r="S609" t="s" s="0">
        <v>82</v>
      </c>
      <c r="T609" t="s" s="0">
        <v>82</v>
      </c>
      <c r="U609" t="s" s="0">
        <v>82</v>
      </c>
      <c r="V609" t="s" s="0">
        <v>14187</v>
      </c>
      <c r="W609" t="s" s="0">
        <v>3565</v>
      </c>
      <c r="X609" t="s" s="0">
        <v>82</v>
      </c>
      <c r="Y609" t="s" s="0">
        <v>82</v>
      </c>
      <c r="Z609" t="s" s="0">
        <v>94</v>
      </c>
      <c r="AA609" t="s" s="0">
        <v>95</v>
      </c>
      <c r="AB609" t="s" s="0">
        <v>82</v>
      </c>
      <c r="AC609" t="s" s="0">
        <v>82</v>
      </c>
      <c r="AD609" t="s" s="0">
        <v>82</v>
      </c>
      <c r="AE609" t="s" s="0">
        <v>82</v>
      </c>
      <c r="AF609" t="s" s="0">
        <v>82</v>
      </c>
      <c r="AG609" t="s" s="0">
        <v>14188</v>
      </c>
      <c r="AH609" t="s" s="0">
        <v>14189</v>
      </c>
      <c r="AI609" t="s" s="0">
        <v>82</v>
      </c>
      <c r="AJ609" t="s" s="0">
        <v>82</v>
      </c>
      <c r="AK609" t="s" s="0">
        <v>82</v>
      </c>
      <c r="AL609" t="s" s="0">
        <v>353</v>
      </c>
      <c r="AM609" t="s" s="0">
        <v>78</v>
      </c>
      <c r="AN609" t="s" s="0">
        <v>78</v>
      </c>
      <c r="AO609" t="s" s="0">
        <v>77</v>
      </c>
      <c r="AP609" t="s" s="0">
        <v>77</v>
      </c>
      <c r="AQ609" t="s" s="0">
        <v>2484</v>
      </c>
      <c r="AR609" t="s" s="0">
        <v>2485</v>
      </c>
      <c r="AS609" t="s" s="0">
        <v>2486</v>
      </c>
      <c r="AT609" t="s" s="0">
        <v>82</v>
      </c>
      <c r="AU609" t="s" s="0">
        <v>3568</v>
      </c>
      <c r="AV609" t="s" s="0">
        <v>82</v>
      </c>
      <c r="AW609" t="s" s="0">
        <v>3569</v>
      </c>
      <c r="AX609" t="s" s="0">
        <v>3570</v>
      </c>
      <c r="AY609" t="s" s="0">
        <v>14190</v>
      </c>
      <c r="AZ609" t="s" s="0">
        <v>181</v>
      </c>
      <c r="BA609" t="s" s="0">
        <v>115</v>
      </c>
      <c r="BB609" t="s" s="0">
        <v>82</v>
      </c>
      <c r="BC609" t="s" s="0">
        <v>82</v>
      </c>
      <c r="BD609" t="s" s="0">
        <v>82</v>
      </c>
      <c r="BE609" t="s" s="0">
        <v>82</v>
      </c>
      <c r="BF609" t="s" s="0">
        <v>82</v>
      </c>
      <c r="BG609" t="s" s="0">
        <v>82</v>
      </c>
      <c r="BH609" t="s" s="0">
        <v>82</v>
      </c>
      <c r="BI609" t="s" s="0">
        <v>14191</v>
      </c>
      <c r="BJ609" t="s" s="0">
        <v>14192</v>
      </c>
      <c r="BK609" t="s" s="1211">
        <f>HYPERLINK("http://dx.doi.org/10.3389/fmed.2026.1806672","http://dx.doi.org/10.3389/fmed.2026.1806672")</f>
        <v>14193</v>
      </c>
      <c r="BL609" t="s" s="0">
        <v>82</v>
      </c>
      <c r="BM609" t="s" s="0">
        <v>1003</v>
      </c>
      <c r="BN609" t="s" s="0">
        <v>149</v>
      </c>
      <c r="BO609" t="s" s="0">
        <v>354</v>
      </c>
      <c r="BP609" t="s" s="0">
        <v>355</v>
      </c>
      <c r="BQ609" t="s" s="0">
        <v>14194</v>
      </c>
      <c r="BR609" t="s" s="0">
        <v>14195</v>
      </c>
      <c r="BS609" t="s" s="0">
        <v>14196</v>
      </c>
      <c r="BT609" t="s" s="1212">
        <f>HYPERLINK("https://www.webofscience.com/wos/woscc/full-record/WOS:001770961800001","View Record in Web of Science")</f>
        <v>120</v>
      </c>
      <c r="BU609" t="s" s="0">
        <v>121</v>
      </c>
      <c r="BV609" t="s" s="0">
        <v>82</v>
      </c>
      <c r="BW609" t="s" s="0">
        <v>82</v>
      </c>
      <c r="BX609" t="s" s="0">
        <v>122</v>
      </c>
    </row>
    <row r="610">
      <c r="A610" t="s" s="0">
        <v>78</v>
      </c>
      <c r="B610" t="s" s="0">
        <v>78</v>
      </c>
      <c r="C610" t="s" s="0">
        <v>78</v>
      </c>
      <c r="D610" t="s" s="0">
        <v>78</v>
      </c>
      <c r="E610" t="s" s="0">
        <v>14197</v>
      </c>
      <c r="F610" t="s" s="0">
        <v>14198</v>
      </c>
      <c r="G610" t="s" s="0">
        <v>14199</v>
      </c>
      <c r="H610" t="s" s="0">
        <v>82</v>
      </c>
      <c r="I610" t="s" s="0">
        <v>83</v>
      </c>
      <c r="J610" t="s" s="0">
        <v>14200</v>
      </c>
      <c r="K610" t="s" s="0">
        <v>14201</v>
      </c>
      <c r="L610" t="s" s="0">
        <v>14202</v>
      </c>
      <c r="M610" t="s" s="0">
        <v>14203</v>
      </c>
      <c r="N610" t="s" s="0">
        <v>14204</v>
      </c>
      <c r="O610" t="s" s="0">
        <v>14205</v>
      </c>
      <c r="P610" t="s" s="0">
        <v>14206</v>
      </c>
      <c r="Q610" t="s" s="0">
        <v>91</v>
      </c>
      <c r="R610" t="s" s="0">
        <v>82</v>
      </c>
      <c r="S610" t="s" s="0">
        <v>82</v>
      </c>
      <c r="T610" t="s" s="0">
        <v>82</v>
      </c>
      <c r="U610" t="s" s="0">
        <v>82</v>
      </c>
      <c r="V610" t="s" s="0">
        <v>14207</v>
      </c>
      <c r="W610" t="s" s="0">
        <v>543</v>
      </c>
      <c r="X610" t="s" s="0">
        <v>82</v>
      </c>
      <c r="Y610" t="s" s="0">
        <v>82</v>
      </c>
      <c r="Z610" t="s" s="0">
        <v>94</v>
      </c>
      <c r="AA610" t="s" s="0">
        <v>95</v>
      </c>
      <c r="AB610" t="s" s="0">
        <v>82</v>
      </c>
      <c r="AC610" t="s" s="0">
        <v>82</v>
      </c>
      <c r="AD610" t="s" s="0">
        <v>82</v>
      </c>
      <c r="AE610" t="s" s="0">
        <v>82</v>
      </c>
      <c r="AF610" t="s" s="0">
        <v>82</v>
      </c>
      <c r="AG610" t="s" s="0">
        <v>14208</v>
      </c>
      <c r="AH610" t="s" s="0">
        <v>2344</v>
      </c>
      <c r="AI610" t="s" s="0">
        <v>82</v>
      </c>
      <c r="AJ610" t="s" s="0">
        <v>82</v>
      </c>
      <c r="AK610" t="s" s="0">
        <v>82</v>
      </c>
      <c r="AL610" t="s" s="0">
        <v>173</v>
      </c>
      <c r="AM610" t="s" s="0">
        <v>78</v>
      </c>
      <c r="AN610" t="s" s="0">
        <v>78</v>
      </c>
      <c r="AO610" t="s" s="0">
        <v>78</v>
      </c>
      <c r="AP610" t="s" s="0">
        <v>78</v>
      </c>
      <c r="AQ610" t="s" s="0">
        <v>312</v>
      </c>
      <c r="AR610" t="s" s="0">
        <v>313</v>
      </c>
      <c r="AS610" t="s" s="0">
        <v>314</v>
      </c>
      <c r="AT610" t="s" s="0">
        <v>82</v>
      </c>
      <c r="AU610" t="s" s="0">
        <v>550</v>
      </c>
      <c r="AV610" t="s" s="0">
        <v>82</v>
      </c>
      <c r="AW610" t="s" s="0">
        <v>543</v>
      </c>
      <c r="AX610" t="s" s="0">
        <v>551</v>
      </c>
      <c r="AY610" t="s" s="0">
        <v>9353</v>
      </c>
      <c r="AZ610" t="s" s="0">
        <v>181</v>
      </c>
      <c r="BA610" t="s" s="0">
        <v>640</v>
      </c>
      <c r="BB610" t="s" s="0">
        <v>323</v>
      </c>
      <c r="BC610" t="s" s="0">
        <v>82</v>
      </c>
      <c r="BD610" t="s" s="0">
        <v>82</v>
      </c>
      <c r="BE610" t="s" s="0">
        <v>82</v>
      </c>
      <c r="BF610" t="s" s="0">
        <v>82</v>
      </c>
      <c r="BG610" t="s" s="0">
        <v>82</v>
      </c>
      <c r="BH610" t="s" s="0">
        <v>82</v>
      </c>
      <c r="BI610" t="s" s="0">
        <v>14209</v>
      </c>
      <c r="BJ610" t="s" s="0">
        <v>14210</v>
      </c>
      <c r="BK610" t="s" s="1213">
        <f>HYPERLINK("http://dx.doi.org/10.3390/diagnostics16142227","http://dx.doi.org/10.3390/diagnostics16142227")</f>
        <v>14211</v>
      </c>
      <c r="BL610" t="s" s="0">
        <v>82</v>
      </c>
      <c r="BM610" t="s" s="0">
        <v>82</v>
      </c>
      <c r="BN610" t="s" s="0">
        <v>323</v>
      </c>
      <c r="BO610" t="s" s="0">
        <v>354</v>
      </c>
      <c r="BP610" t="s" s="0">
        <v>355</v>
      </c>
      <c r="BQ610" t="s" s="0">
        <v>14212</v>
      </c>
      <c r="BR610" t="s" s="0">
        <v>14213</v>
      </c>
      <c r="BS610" t="s" s="0">
        <v>14214</v>
      </c>
      <c r="BT610" t="s" s="1214">
        <f>HYPERLINK("https://www.webofscience.com/wos/woscc/full-record/WOS:001833257900001","View Record in Web of Science")</f>
        <v>120</v>
      </c>
      <c r="BU610" t="s" s="0">
        <v>121</v>
      </c>
      <c r="BV610" t="s" s="0">
        <v>82</v>
      </c>
      <c r="BW610" t="s" s="0">
        <v>82</v>
      </c>
      <c r="BX610" t="s" s="0">
        <v>122</v>
      </c>
    </row>
    <row r="611">
      <c r="A611" t="s" s="0">
        <v>78</v>
      </c>
      <c r="B611" t="s" s="0">
        <v>78</v>
      </c>
      <c r="C611" t="s" s="0">
        <v>78</v>
      </c>
      <c r="D611" t="s" s="0">
        <v>78</v>
      </c>
      <c r="E611" t="s" s="0">
        <v>14215</v>
      </c>
      <c r="F611" t="s" s="0">
        <v>14216</v>
      </c>
      <c r="G611" t="s" s="0">
        <v>14217</v>
      </c>
      <c r="H611" t="s" s="0">
        <v>82</v>
      </c>
      <c r="I611" t="s" s="0">
        <v>589</v>
      </c>
      <c r="J611" t="s" s="0">
        <v>14218</v>
      </c>
      <c r="K611" t="s" s="0">
        <v>14219</v>
      </c>
      <c r="L611" t="s" s="0">
        <v>14220</v>
      </c>
      <c r="M611" t="s" s="0">
        <v>14221</v>
      </c>
      <c r="N611" t="s" s="0">
        <v>14222</v>
      </c>
      <c r="O611" t="s" s="0">
        <v>14223</v>
      </c>
      <c r="P611" t="s" s="0">
        <v>14224</v>
      </c>
      <c r="Q611" t="s" s="0">
        <v>91</v>
      </c>
      <c r="R611" t="s" s="0">
        <v>82</v>
      </c>
      <c r="S611" t="s" s="0">
        <v>82</v>
      </c>
      <c r="T611" t="s" s="0">
        <v>82</v>
      </c>
      <c r="U611" t="s" s="0">
        <v>82</v>
      </c>
      <c r="V611" t="s" s="0">
        <v>14225</v>
      </c>
      <c r="W611" t="s" s="0">
        <v>14226</v>
      </c>
      <c r="X611" t="s" s="0">
        <v>82</v>
      </c>
      <c r="Y611" t="s" s="0">
        <v>82</v>
      </c>
      <c r="Z611" t="s" s="0">
        <v>94</v>
      </c>
      <c r="AA611" t="s" s="0">
        <v>95</v>
      </c>
      <c r="AB611" t="s" s="0">
        <v>82</v>
      </c>
      <c r="AC611" t="s" s="0">
        <v>82</v>
      </c>
      <c r="AD611" t="s" s="0">
        <v>82</v>
      </c>
      <c r="AE611" t="s" s="0">
        <v>82</v>
      </c>
      <c r="AF611" t="s" s="0">
        <v>82</v>
      </c>
      <c r="AG611" t="s" s="0">
        <v>14227</v>
      </c>
      <c r="AH611" t="s" s="0">
        <v>14228</v>
      </c>
      <c r="AI611" t="s" s="0">
        <v>14229</v>
      </c>
      <c r="AJ611" t="s" s="0">
        <v>14230</v>
      </c>
      <c r="AK611" t="s" s="0">
        <v>82</v>
      </c>
      <c r="AL611" t="s" s="0">
        <v>463</v>
      </c>
      <c r="AM611" t="s" s="0">
        <v>102</v>
      </c>
      <c r="AN611" t="s" s="0">
        <v>221</v>
      </c>
      <c r="AO611" t="s" s="0">
        <v>78</v>
      </c>
      <c r="AP611" t="s" s="0">
        <v>245</v>
      </c>
      <c r="AQ611" t="s" s="0">
        <v>1445</v>
      </c>
      <c r="AR611" t="s" s="0">
        <v>492</v>
      </c>
      <c r="AS611" t="s" s="0">
        <v>1446</v>
      </c>
      <c r="AT611" t="s" s="0">
        <v>14231</v>
      </c>
      <c r="AU611" t="s" s="0">
        <v>14232</v>
      </c>
      <c r="AV611" t="s" s="0">
        <v>82</v>
      </c>
      <c r="AW611" t="s" s="0">
        <v>14233</v>
      </c>
      <c r="AX611" t="s" s="0">
        <v>14234</v>
      </c>
      <c r="AY611" t="s" s="0">
        <v>250</v>
      </c>
      <c r="AZ611" t="s" s="0">
        <v>110</v>
      </c>
      <c r="BA611" t="s" s="0">
        <v>945</v>
      </c>
      <c r="BB611" t="s" s="0">
        <v>82</v>
      </c>
      <c r="BC611" t="s" s="0">
        <v>82</v>
      </c>
      <c r="BD611" t="s" s="0">
        <v>82</v>
      </c>
      <c r="BE611" t="s" s="0">
        <v>82</v>
      </c>
      <c r="BF611" t="s" s="0">
        <v>82</v>
      </c>
      <c r="BG611" t="s" s="0">
        <v>14235</v>
      </c>
      <c r="BH611" t="s" s="0">
        <v>14236</v>
      </c>
      <c r="BI611" t="s" s="0">
        <v>82</v>
      </c>
      <c r="BJ611" t="s" s="0">
        <v>14237</v>
      </c>
      <c r="BK611" t="s" s="1215">
        <f>HYPERLINK("http://dx.doi.org/10.1016/j.jpsychires.2024.06.003","http://dx.doi.org/10.1016/j.jpsychires.2024.06.003")</f>
        <v>14238</v>
      </c>
      <c r="BL611" t="s" s="0">
        <v>82</v>
      </c>
      <c r="BM611" t="s" s="0">
        <v>1196</v>
      </c>
      <c r="BN611" t="s" s="0">
        <v>245</v>
      </c>
      <c r="BO611" t="s" s="0">
        <v>4625</v>
      </c>
      <c r="BP611" t="s" s="0">
        <v>4625</v>
      </c>
      <c r="BQ611" t="s" s="0">
        <v>14239</v>
      </c>
      <c r="BR611" t="s" s="0">
        <v>14240</v>
      </c>
      <c r="BS611" t="s" s="0">
        <v>14241</v>
      </c>
      <c r="BT611" t="s" s="1216">
        <f>HYPERLINK("https://www.webofscience.com/wos/woscc/full-record/WOS:001272370700001","View Record in Web of Science")</f>
        <v>120</v>
      </c>
      <c r="BU611" t="s" s="0">
        <v>82</v>
      </c>
      <c r="BV611" t="s" s="0">
        <v>82</v>
      </c>
      <c r="BW611" t="s" s="0">
        <v>82</v>
      </c>
      <c r="BX611" t="s" s="0">
        <v>122</v>
      </c>
    </row>
    <row r="612">
      <c r="A612" t="s" s="0">
        <v>78</v>
      </c>
      <c r="B612" t="s" s="0">
        <v>78</v>
      </c>
      <c r="C612" t="s" s="0">
        <v>101</v>
      </c>
      <c r="D612" t="s" s="0">
        <v>78</v>
      </c>
      <c r="E612" t="s" s="0">
        <v>14242</v>
      </c>
      <c r="F612" t="s" s="0">
        <v>14243</v>
      </c>
      <c r="G612" t="s" s="0">
        <v>14244</v>
      </c>
      <c r="H612" t="s" s="0">
        <v>82</v>
      </c>
      <c r="I612" t="s" s="0">
        <v>83</v>
      </c>
      <c r="J612" t="s" s="0">
        <v>14245</v>
      </c>
      <c r="K612" t="s" s="0">
        <v>14246</v>
      </c>
      <c r="L612" t="s" s="0">
        <v>82</v>
      </c>
      <c r="M612" t="s" s="0">
        <v>82</v>
      </c>
      <c r="N612" t="s" s="0">
        <v>82</v>
      </c>
      <c r="O612" t="s" s="0">
        <v>14247</v>
      </c>
      <c r="P612" t="s" s="0">
        <v>14248</v>
      </c>
      <c r="Q612" t="s" s="0">
        <v>91</v>
      </c>
      <c r="R612" t="s" s="0">
        <v>82</v>
      </c>
      <c r="S612" t="s" s="0">
        <v>82</v>
      </c>
      <c r="T612" t="s" s="0">
        <v>82</v>
      </c>
      <c r="U612" t="s" s="0">
        <v>82</v>
      </c>
      <c r="V612" t="s" s="0">
        <v>14249</v>
      </c>
      <c r="W612" t="s" s="0">
        <v>2908</v>
      </c>
      <c r="X612" t="s" s="0">
        <v>82</v>
      </c>
      <c r="Y612" t="s" s="0">
        <v>82</v>
      </c>
      <c r="Z612" t="s" s="0">
        <v>94</v>
      </c>
      <c r="AA612" t="s" s="0">
        <v>95</v>
      </c>
      <c r="AB612" t="s" s="0">
        <v>82</v>
      </c>
      <c r="AC612" t="s" s="0">
        <v>82</v>
      </c>
      <c r="AD612" t="s" s="0">
        <v>82</v>
      </c>
      <c r="AE612" t="s" s="0">
        <v>82</v>
      </c>
      <c r="AF612" t="s" s="0">
        <v>82</v>
      </c>
      <c r="AG612" t="s" s="0">
        <v>14250</v>
      </c>
      <c r="AH612" t="s" s="0">
        <v>82</v>
      </c>
      <c r="AI612" t="s" s="0">
        <v>14251</v>
      </c>
      <c r="AJ612" t="s" s="0">
        <v>14252</v>
      </c>
      <c r="AK612" t="s" s="0">
        <v>82</v>
      </c>
      <c r="AL612" t="s" s="0">
        <v>1186</v>
      </c>
      <c r="AM612" t="s" s="0">
        <v>319</v>
      </c>
      <c r="AN612" t="s" s="0">
        <v>319</v>
      </c>
      <c r="AO612" t="s" s="0">
        <v>78</v>
      </c>
      <c r="AP612" t="s" s="0">
        <v>149</v>
      </c>
      <c r="AQ612" t="s" s="0">
        <v>103</v>
      </c>
      <c r="AR612" t="s" s="0">
        <v>104</v>
      </c>
      <c r="AS612" t="s" s="0">
        <v>105</v>
      </c>
      <c r="AT612" t="s" s="0">
        <v>2912</v>
      </c>
      <c r="AU612" t="s" s="0">
        <v>2913</v>
      </c>
      <c r="AV612" t="s" s="0">
        <v>82</v>
      </c>
      <c r="AW612" t="s" s="0">
        <v>2914</v>
      </c>
      <c r="AX612" t="s" s="0">
        <v>2915</v>
      </c>
      <c r="AY612" t="s" s="0">
        <v>14253</v>
      </c>
      <c r="AZ612" t="s" s="0">
        <v>110</v>
      </c>
      <c r="BA612" t="s" s="0">
        <v>399</v>
      </c>
      <c r="BB612" t="s" s="0">
        <v>77</v>
      </c>
      <c r="BC612" t="s" s="0">
        <v>82</v>
      </c>
      <c r="BD612" t="s" s="0">
        <v>82</v>
      </c>
      <c r="BE612" t="s" s="0">
        <v>82</v>
      </c>
      <c r="BF612" t="s" s="0">
        <v>82</v>
      </c>
      <c r="BG612" t="s" s="0">
        <v>82</v>
      </c>
      <c r="BH612" t="s" s="0">
        <v>82</v>
      </c>
      <c r="BI612" t="s" s="0">
        <v>14254</v>
      </c>
      <c r="BJ612" t="s" s="0">
        <v>14255</v>
      </c>
      <c r="BK612" t="s" s="1217">
        <f>HYPERLINK("http://dx.doi.org/10.1186/s13054-024-04954-8","http://dx.doi.org/10.1186/s13054-024-04954-8")</f>
        <v>14256</v>
      </c>
      <c r="BL612" t="s" s="0">
        <v>82</v>
      </c>
      <c r="BM612" t="s" s="0">
        <v>82</v>
      </c>
      <c r="BN612" t="s" s="0">
        <v>245</v>
      </c>
      <c r="BO612" t="s" s="0">
        <v>2920</v>
      </c>
      <c r="BP612" t="s" s="0">
        <v>355</v>
      </c>
      <c r="BQ612" t="s" s="0">
        <v>14257</v>
      </c>
      <c r="BR612" t="s" s="0">
        <v>14258</v>
      </c>
      <c r="BS612" t="s" s="0">
        <v>14259</v>
      </c>
      <c r="BT612" t="s" s="1218">
        <f>HYPERLINK("https://www.webofscience.com/wos/woscc/full-record/WOS:001238679700001","View Record in Web of Science")</f>
        <v>120</v>
      </c>
      <c r="BU612" t="s" s="0">
        <v>121</v>
      </c>
      <c r="BV612" t="s" s="0">
        <v>82</v>
      </c>
      <c r="BW612" t="s" s="0">
        <v>82</v>
      </c>
      <c r="BX612" t="s" s="0">
        <v>122</v>
      </c>
    </row>
    <row r="613">
      <c r="A613" t="s" s="0">
        <v>77</v>
      </c>
      <c r="B613" t="s" s="0">
        <v>78</v>
      </c>
      <c r="C613" t="s" s="0">
        <v>77</v>
      </c>
      <c r="D613" t="s" s="0">
        <v>78</v>
      </c>
      <c r="E613" t="s" s="0">
        <v>14260</v>
      </c>
      <c r="F613" t="s" s="0">
        <v>14261</v>
      </c>
      <c r="G613" t="s" s="0">
        <v>14262</v>
      </c>
      <c r="H613" t="s" s="0">
        <v>82</v>
      </c>
      <c r="I613" t="s" s="0">
        <v>83</v>
      </c>
      <c r="J613" t="s" s="0">
        <v>14263</v>
      </c>
      <c r="K613" t="s" s="0">
        <v>14264</v>
      </c>
      <c r="L613" t="s" s="0">
        <v>14265</v>
      </c>
      <c r="M613" t="s" s="0">
        <v>14266</v>
      </c>
      <c r="N613" t="s" s="0">
        <v>14267</v>
      </c>
      <c r="O613" t="s" s="0">
        <v>14268</v>
      </c>
      <c r="P613" t="s" s="0">
        <v>14269</v>
      </c>
      <c r="Q613" t="s" s="0">
        <v>91</v>
      </c>
      <c r="R613" t="s" s="0">
        <v>82</v>
      </c>
      <c r="S613" t="s" s="0">
        <v>82</v>
      </c>
      <c r="T613" t="s" s="0">
        <v>82</v>
      </c>
      <c r="U613" t="s" s="0">
        <v>82</v>
      </c>
      <c r="V613" t="s" s="0">
        <v>14270</v>
      </c>
      <c r="W613" t="s" s="0">
        <v>12136</v>
      </c>
      <c r="X613" t="s" s="0">
        <v>82</v>
      </c>
      <c r="Y613" t="s" s="0">
        <v>82</v>
      </c>
      <c r="Z613" t="s" s="0">
        <v>94</v>
      </c>
      <c r="AA613" t="s" s="0">
        <v>95</v>
      </c>
      <c r="AB613" t="s" s="0">
        <v>82</v>
      </c>
      <c r="AC613" t="s" s="0">
        <v>82</v>
      </c>
      <c r="AD613" t="s" s="0">
        <v>82</v>
      </c>
      <c r="AE613" t="s" s="0">
        <v>82</v>
      </c>
      <c r="AF613" t="s" s="0">
        <v>82</v>
      </c>
      <c r="AG613" t="s" s="0">
        <v>14271</v>
      </c>
      <c r="AH613" t="s" s="0">
        <v>14272</v>
      </c>
      <c r="AI613" t="s" s="0">
        <v>14273</v>
      </c>
      <c r="AJ613" t="s" s="0">
        <v>14274</v>
      </c>
      <c r="AK613" t="s" s="0">
        <v>82</v>
      </c>
      <c r="AL613" t="s" s="0">
        <v>399</v>
      </c>
      <c r="AM613" t="s" s="0">
        <v>136</v>
      </c>
      <c r="AN613" t="s" s="0">
        <v>319</v>
      </c>
      <c r="AO613" t="s" s="0">
        <v>77</v>
      </c>
      <c r="AP613" t="s" s="0">
        <v>136</v>
      </c>
      <c r="AQ613" t="s" s="0">
        <v>12141</v>
      </c>
      <c r="AR613" t="s" s="0">
        <v>1134</v>
      </c>
      <c r="AS613" t="s" s="0">
        <v>12142</v>
      </c>
      <c r="AT613" t="s" s="0">
        <v>12143</v>
      </c>
      <c r="AU613" t="s" s="0">
        <v>12144</v>
      </c>
      <c r="AV613" t="s" s="0">
        <v>82</v>
      </c>
      <c r="AW613" t="s" s="0">
        <v>12145</v>
      </c>
      <c r="AX613" t="s" s="0">
        <v>12146</v>
      </c>
      <c r="AY613" t="s" s="0">
        <v>1191</v>
      </c>
      <c r="AZ613" t="s" s="0">
        <v>147</v>
      </c>
      <c r="BA613" t="s" s="0">
        <v>353</v>
      </c>
      <c r="BB613" t="s" s="0">
        <v>77</v>
      </c>
      <c r="BC613" t="s" s="0">
        <v>82</v>
      </c>
      <c r="BD613" t="s" s="0">
        <v>82</v>
      </c>
      <c r="BE613" t="s" s="0">
        <v>82</v>
      </c>
      <c r="BF613" t="s" s="0">
        <v>82</v>
      </c>
      <c r="BG613" t="s" s="0">
        <v>276</v>
      </c>
      <c r="BH613" t="s" s="0">
        <v>4685</v>
      </c>
      <c r="BI613" t="s" s="0">
        <v>82</v>
      </c>
      <c r="BJ613" t="s" s="0">
        <v>14275</v>
      </c>
      <c r="BK613" t="s" s="1219">
        <f>HYPERLINK("http://dx.doi.org/10.3348/kjr.2024.0653","http://dx.doi.org/10.3348/kjr.2024.0653")</f>
        <v>14276</v>
      </c>
      <c r="BL613" t="s" s="0">
        <v>82</v>
      </c>
      <c r="BM613" t="s" s="0">
        <v>82</v>
      </c>
      <c r="BN613" t="s" s="0">
        <v>137</v>
      </c>
      <c r="BO613" t="s" s="0">
        <v>414</v>
      </c>
      <c r="BP613" t="s" s="0">
        <v>414</v>
      </c>
      <c r="BQ613" t="s" s="0">
        <v>14277</v>
      </c>
      <c r="BR613" t="s" s="0">
        <v>14278</v>
      </c>
      <c r="BS613" t="s" s="0">
        <v>14279</v>
      </c>
      <c r="BT613" t="s" s="1220">
        <f>HYPERLINK("https://www.webofscience.com/wos/woscc/full-record/WOS:001390274300007","View Record in Web of Science")</f>
        <v>120</v>
      </c>
      <c r="BU613" t="s" s="0">
        <v>256</v>
      </c>
      <c r="BV613" t="s" s="0">
        <v>82</v>
      </c>
      <c r="BW613" t="s" s="0">
        <v>82</v>
      </c>
      <c r="BX613" t="s" s="0">
        <v>122</v>
      </c>
    </row>
    <row r="614">
      <c r="A614" t="s" s="0">
        <v>78</v>
      </c>
      <c r="B614" t="s" s="0">
        <v>78</v>
      </c>
      <c r="C614" t="s" s="0">
        <v>78</v>
      </c>
      <c r="D614" t="s" s="0">
        <v>78</v>
      </c>
      <c r="E614" t="s" s="0">
        <v>14280</v>
      </c>
      <c r="F614" t="s" s="0">
        <v>14281</v>
      </c>
      <c r="G614" t="s" s="0">
        <v>14282</v>
      </c>
      <c r="H614" t="s" s="0">
        <v>82</v>
      </c>
      <c r="I614" t="s" s="0">
        <v>83</v>
      </c>
      <c r="J614" t="s" s="0">
        <v>14283</v>
      </c>
      <c r="K614" t="s" s="0">
        <v>14284</v>
      </c>
      <c r="L614" t="s" s="0">
        <v>82</v>
      </c>
      <c r="M614" t="s" s="0">
        <v>82</v>
      </c>
      <c r="N614" t="s" s="0">
        <v>82</v>
      </c>
      <c r="O614" t="s" s="0">
        <v>14285</v>
      </c>
      <c r="P614" t="s" s="0">
        <v>82</v>
      </c>
      <c r="Q614" t="s" s="0">
        <v>91</v>
      </c>
      <c r="R614" t="s" s="0">
        <v>82</v>
      </c>
      <c r="S614" t="s" s="0">
        <v>82</v>
      </c>
      <c r="T614" t="s" s="0">
        <v>82</v>
      </c>
      <c r="U614" t="s" s="0">
        <v>82</v>
      </c>
      <c r="V614" t="s" s="0">
        <v>14286</v>
      </c>
      <c r="W614" t="s" s="0">
        <v>14287</v>
      </c>
      <c r="X614" t="s" s="0">
        <v>82</v>
      </c>
      <c r="Y614" t="s" s="0">
        <v>82</v>
      </c>
      <c r="Z614" t="s" s="0">
        <v>94</v>
      </c>
      <c r="AA614" t="s" s="0">
        <v>95</v>
      </c>
      <c r="AB614" t="s" s="0">
        <v>82</v>
      </c>
      <c r="AC614" t="s" s="0">
        <v>82</v>
      </c>
      <c r="AD614" t="s" s="0">
        <v>82</v>
      </c>
      <c r="AE614" t="s" s="0">
        <v>82</v>
      </c>
      <c r="AF614" t="s" s="0">
        <v>82</v>
      </c>
      <c r="AG614" t="s" s="0">
        <v>14288</v>
      </c>
      <c r="AH614" t="s" s="0">
        <v>82</v>
      </c>
      <c r="AI614" t="s" s="0">
        <v>82</v>
      </c>
      <c r="AJ614" t="s" s="0">
        <v>14289</v>
      </c>
      <c r="AK614" t="s" s="0">
        <v>82</v>
      </c>
      <c r="AL614" t="s" s="0">
        <v>685</v>
      </c>
      <c r="AM614" t="s" s="0">
        <v>78</v>
      </c>
      <c r="AN614" t="s" s="0">
        <v>78</v>
      </c>
      <c r="AO614" t="s" s="0">
        <v>78</v>
      </c>
      <c r="AP614" t="s" s="0">
        <v>78</v>
      </c>
      <c r="AQ614" t="s" s="0">
        <v>277</v>
      </c>
      <c r="AR614" t="s" s="0">
        <v>278</v>
      </c>
      <c r="AS614" t="s" s="0">
        <v>279</v>
      </c>
      <c r="AT614" t="s" s="0">
        <v>14290</v>
      </c>
      <c r="AU614" t="s" s="0">
        <v>14291</v>
      </c>
      <c r="AV614" t="s" s="0">
        <v>82</v>
      </c>
      <c r="AW614" t="s" s="0">
        <v>14292</v>
      </c>
      <c r="AX614" t="s" s="0">
        <v>14293</v>
      </c>
      <c r="AY614" t="s" s="0">
        <v>4711</v>
      </c>
      <c r="AZ614" t="s" s="0">
        <v>181</v>
      </c>
      <c r="BA614" t="s" s="0">
        <v>3031</v>
      </c>
      <c r="BB614" t="s" s="0">
        <v>82</v>
      </c>
      <c r="BC614" t="s" s="0">
        <v>82</v>
      </c>
      <c r="BD614" t="s" s="0">
        <v>82</v>
      </c>
      <c r="BE614" t="s" s="0">
        <v>82</v>
      </c>
      <c r="BF614" t="s" s="0">
        <v>82</v>
      </c>
      <c r="BG614" t="s" s="0">
        <v>82</v>
      </c>
      <c r="BH614" t="s" s="0">
        <v>82</v>
      </c>
      <c r="BI614" t="s" s="0">
        <v>14294</v>
      </c>
      <c r="BJ614" t="s" s="0">
        <v>14295</v>
      </c>
      <c r="BK614" t="s" s="1221">
        <f>HYPERLINK("http://dx.doi.org/10.1016/j.pdpdt.2026.105600","http://dx.doi.org/10.1016/j.pdpdt.2026.105600")</f>
        <v>14296</v>
      </c>
      <c r="BL614" t="s" s="0">
        <v>82</v>
      </c>
      <c r="BM614" t="s" s="0">
        <v>82</v>
      </c>
      <c r="BN614" t="s" s="0">
        <v>154</v>
      </c>
      <c r="BO614" t="s" s="0">
        <v>4833</v>
      </c>
      <c r="BP614" t="s" s="0">
        <v>4833</v>
      </c>
      <c r="BQ614" t="s" s="0">
        <v>14297</v>
      </c>
      <c r="BR614" t="s" s="0">
        <v>14298</v>
      </c>
      <c r="BS614" t="s" s="0">
        <v>14299</v>
      </c>
      <c r="BT614" t="s" s="1222">
        <f>HYPERLINK("https://www.webofscience.com/wos/woscc/full-record/WOS:001851275500001","View Record in Web of Science")</f>
        <v>120</v>
      </c>
      <c r="BU614" t="s" s="0">
        <v>1008</v>
      </c>
      <c r="BV614" t="s" s="0">
        <v>82</v>
      </c>
      <c r="BW614" t="s" s="0">
        <v>82</v>
      </c>
      <c r="BX614" t="s" s="0">
        <v>122</v>
      </c>
    </row>
    <row r="615">
      <c r="A615" t="s" s="0">
        <v>78</v>
      </c>
      <c r="B615" t="s" s="0">
        <v>78</v>
      </c>
      <c r="C615" t="s" s="0">
        <v>447</v>
      </c>
      <c r="D615" t="s" s="0">
        <v>78</v>
      </c>
      <c r="E615" t="s" s="0">
        <v>14300</v>
      </c>
      <c r="F615" t="s" s="0">
        <v>14301</v>
      </c>
      <c r="G615" t="s" s="0">
        <v>14302</v>
      </c>
      <c r="H615" t="s" s="0">
        <v>82</v>
      </c>
      <c r="I615" t="s" s="0">
        <v>83</v>
      </c>
      <c r="J615" t="s" s="0">
        <v>14303</v>
      </c>
      <c r="K615" t="s" s="0">
        <v>14304</v>
      </c>
      <c r="L615" t="s" s="0">
        <v>82</v>
      </c>
      <c r="M615" t="s" s="0">
        <v>82</v>
      </c>
      <c r="N615" t="s" s="0">
        <v>82</v>
      </c>
      <c r="O615" t="s" s="0">
        <v>14305</v>
      </c>
      <c r="P615" t="s" s="0">
        <v>14306</v>
      </c>
      <c r="Q615" t="s" s="0">
        <v>91</v>
      </c>
      <c r="R615" t="s" s="0">
        <v>82</v>
      </c>
      <c r="S615" t="s" s="0">
        <v>82</v>
      </c>
      <c r="T615" t="s" s="0">
        <v>82</v>
      </c>
      <c r="U615" t="s" s="0">
        <v>82</v>
      </c>
      <c r="V615" t="s" s="0">
        <v>14307</v>
      </c>
      <c r="W615" t="s" s="0">
        <v>14308</v>
      </c>
      <c r="X615" t="s" s="0">
        <v>82</v>
      </c>
      <c r="Y615" t="s" s="0">
        <v>82</v>
      </c>
      <c r="Z615" t="s" s="0">
        <v>94</v>
      </c>
      <c r="AA615" t="s" s="0">
        <v>95</v>
      </c>
      <c r="AB615" t="s" s="0">
        <v>82</v>
      </c>
      <c r="AC615" t="s" s="0">
        <v>82</v>
      </c>
      <c r="AD615" t="s" s="0">
        <v>82</v>
      </c>
      <c r="AE615" t="s" s="0">
        <v>82</v>
      </c>
      <c r="AF615" t="s" s="0">
        <v>82</v>
      </c>
      <c r="AG615" t="s" s="0">
        <v>14309</v>
      </c>
      <c r="AH615" t="s" s="0">
        <v>14310</v>
      </c>
      <c r="AI615" t="s" s="0">
        <v>14311</v>
      </c>
      <c r="AJ615" t="s" s="0">
        <v>82</v>
      </c>
      <c r="AK615" t="s" s="0">
        <v>82</v>
      </c>
      <c r="AL615" t="s" s="0">
        <v>311</v>
      </c>
      <c r="AM615" t="s" s="0">
        <v>101</v>
      </c>
      <c r="AN615" t="s" s="0">
        <v>101</v>
      </c>
      <c r="AO615" t="s" s="0">
        <v>78</v>
      </c>
      <c r="AP615" t="s" s="0">
        <v>78</v>
      </c>
      <c r="AQ615" t="s" s="0">
        <v>2484</v>
      </c>
      <c r="AR615" t="s" s="0">
        <v>2485</v>
      </c>
      <c r="AS615" t="s" s="0">
        <v>2486</v>
      </c>
      <c r="AT615" t="s" s="0">
        <v>14312</v>
      </c>
      <c r="AU615" t="s" s="0">
        <v>82</v>
      </c>
      <c r="AV615" t="s" s="0">
        <v>82</v>
      </c>
      <c r="AW615" t="s" s="0">
        <v>14313</v>
      </c>
      <c r="AX615" t="s" s="0">
        <v>14314</v>
      </c>
      <c r="AY615" t="s" s="0">
        <v>9984</v>
      </c>
      <c r="AZ615" t="s" s="0">
        <v>147</v>
      </c>
      <c r="BA615" t="s" s="0">
        <v>640</v>
      </c>
      <c r="BB615" t="s" s="0">
        <v>82</v>
      </c>
      <c r="BC615" t="s" s="0">
        <v>82</v>
      </c>
      <c r="BD615" t="s" s="0">
        <v>82</v>
      </c>
      <c r="BE615" t="s" s="0">
        <v>82</v>
      </c>
      <c r="BF615" t="s" s="0">
        <v>82</v>
      </c>
      <c r="BG615" t="s" s="0">
        <v>82</v>
      </c>
      <c r="BH615" t="s" s="0">
        <v>82</v>
      </c>
      <c r="BI615" t="s" s="0">
        <v>14315</v>
      </c>
      <c r="BJ615" t="s" s="0">
        <v>14316</v>
      </c>
      <c r="BK615" t="s" s="1223">
        <f>HYPERLINK("http://dx.doi.org/10.3389/fimmu.2025.1609183","http://dx.doi.org/10.3389/fimmu.2025.1609183")</f>
        <v>14317</v>
      </c>
      <c r="BL615" t="s" s="0">
        <v>82</v>
      </c>
      <c r="BM615" t="s" s="0">
        <v>82</v>
      </c>
      <c r="BN615" t="s" s="0">
        <v>323</v>
      </c>
      <c r="BO615" t="s" s="0">
        <v>2864</v>
      </c>
      <c r="BP615" t="s" s="0">
        <v>2864</v>
      </c>
      <c r="BQ615" t="s" s="0">
        <v>14318</v>
      </c>
      <c r="BR615" t="s" s="0">
        <v>14319</v>
      </c>
      <c r="BS615" t="s" s="0">
        <v>14320</v>
      </c>
      <c r="BT615" t="s" s="1224">
        <f>HYPERLINK("https://www.webofscience.com/wos/woscc/full-record/WOS:001530515100001","View Record in Web of Science")</f>
        <v>120</v>
      </c>
      <c r="BU615" t="s" s="0">
        <v>121</v>
      </c>
      <c r="BV615" t="s" s="0">
        <v>82</v>
      </c>
      <c r="BW615" t="s" s="0">
        <v>82</v>
      </c>
      <c r="BX615" t="s" s="0">
        <v>122</v>
      </c>
    </row>
    <row r="616">
      <c r="A616" t="s" s="0">
        <v>78</v>
      </c>
      <c r="B616" t="s" s="0">
        <v>78</v>
      </c>
      <c r="C616" t="s" s="0">
        <v>78</v>
      </c>
      <c r="D616" t="s" s="0">
        <v>78</v>
      </c>
      <c r="E616" t="s" s="0">
        <v>14321</v>
      </c>
      <c r="F616" t="s" s="0">
        <v>14322</v>
      </c>
      <c r="G616" t="s" s="0">
        <v>14323</v>
      </c>
      <c r="H616" t="s" s="0">
        <v>82</v>
      </c>
      <c r="I616" t="s" s="0">
        <v>83</v>
      </c>
      <c r="J616" t="s" s="0">
        <v>14324</v>
      </c>
      <c r="K616" t="s" s="0">
        <v>14325</v>
      </c>
      <c r="L616" t="s" s="0">
        <v>14326</v>
      </c>
      <c r="M616" t="s" s="0">
        <v>14327</v>
      </c>
      <c r="N616" t="s" s="0">
        <v>14328</v>
      </c>
      <c r="O616" t="s" s="0">
        <v>14329</v>
      </c>
      <c r="P616" t="s" s="0">
        <v>14330</v>
      </c>
      <c r="Q616" t="s" s="0">
        <v>91</v>
      </c>
      <c r="R616" t="s" s="0">
        <v>82</v>
      </c>
      <c r="S616" t="s" s="0">
        <v>82</v>
      </c>
      <c r="T616" t="s" s="0">
        <v>82</v>
      </c>
      <c r="U616" t="s" s="0">
        <v>82</v>
      </c>
      <c r="V616" t="s" s="0">
        <v>14331</v>
      </c>
      <c r="W616" t="s" s="0">
        <v>14332</v>
      </c>
      <c r="X616" t="s" s="0">
        <v>82</v>
      </c>
      <c r="Y616" t="s" s="0">
        <v>82</v>
      </c>
      <c r="Z616" t="s" s="0">
        <v>94</v>
      </c>
      <c r="AA616" t="s" s="0">
        <v>95</v>
      </c>
      <c r="AB616" t="s" s="0">
        <v>82</v>
      </c>
      <c r="AC616" t="s" s="0">
        <v>82</v>
      </c>
      <c r="AD616" t="s" s="0">
        <v>82</v>
      </c>
      <c r="AE616" t="s" s="0">
        <v>82</v>
      </c>
      <c r="AF616" t="s" s="0">
        <v>82</v>
      </c>
      <c r="AG616" t="s" s="0">
        <v>14333</v>
      </c>
      <c r="AH616" t="s" s="0">
        <v>14334</v>
      </c>
      <c r="AI616" t="s" s="0">
        <v>82</v>
      </c>
      <c r="AJ616" t="s" s="0">
        <v>14335</v>
      </c>
      <c r="AK616" t="s" s="0">
        <v>82</v>
      </c>
      <c r="AL616" t="s" s="0">
        <v>273</v>
      </c>
      <c r="AM616" t="s" s="0">
        <v>77</v>
      </c>
      <c r="AN616" t="s" s="0">
        <v>77</v>
      </c>
      <c r="AO616" t="s" s="0">
        <v>447</v>
      </c>
      <c r="AP616" t="s" s="0">
        <v>102</v>
      </c>
      <c r="AQ616" t="s" s="0">
        <v>2884</v>
      </c>
      <c r="AR616" t="s" s="0">
        <v>687</v>
      </c>
      <c r="AS616" t="s" s="0">
        <v>14336</v>
      </c>
      <c r="AT616" t="s" s="0">
        <v>14337</v>
      </c>
      <c r="AU616" t="s" s="0">
        <v>14338</v>
      </c>
      <c r="AV616" t="s" s="0">
        <v>82</v>
      </c>
      <c r="AW616" t="s" s="0">
        <v>14339</v>
      </c>
      <c r="AX616" t="s" s="0">
        <v>14340</v>
      </c>
      <c r="AY616" t="s" s="0">
        <v>14341</v>
      </c>
      <c r="AZ616" t="s" s="0">
        <v>147</v>
      </c>
      <c r="BA616" t="s" s="0">
        <v>4661</v>
      </c>
      <c r="BB616" t="s" s="0">
        <v>831</v>
      </c>
      <c r="BC616" t="s" s="0">
        <v>82</v>
      </c>
      <c r="BD616" t="s" s="0">
        <v>82</v>
      </c>
      <c r="BE616" t="s" s="0">
        <v>82</v>
      </c>
      <c r="BF616" t="s" s="0">
        <v>82</v>
      </c>
      <c r="BG616" t="s" s="0">
        <v>82</v>
      </c>
      <c r="BH616" t="s" s="0">
        <v>82</v>
      </c>
      <c r="BI616" t="s" s="0">
        <v>14342</v>
      </c>
      <c r="BJ616" t="s" s="0">
        <v>14343</v>
      </c>
      <c r="BK616" t="s" s="1225">
        <f>HYPERLINK("http://dx.doi.org/10.1088/1361-6560/ae110d","http://dx.doi.org/10.1088/1361-6560/ae110d")</f>
        <v>14344</v>
      </c>
      <c r="BL616" t="s" s="0">
        <v>82</v>
      </c>
      <c r="BM616" t="s" s="0">
        <v>82</v>
      </c>
      <c r="BN616" t="s" s="0">
        <v>115</v>
      </c>
      <c r="BO616" t="s" s="0">
        <v>14345</v>
      </c>
      <c r="BP616" t="s" s="0">
        <v>14346</v>
      </c>
      <c r="BQ616" t="s" s="0">
        <v>14347</v>
      </c>
      <c r="BR616" t="s" s="0">
        <v>14348</v>
      </c>
      <c r="BS616" t="s" s="0">
        <v>14349</v>
      </c>
      <c r="BT616" t="s" s="1226">
        <f>HYPERLINK("https://www.webofscience.com/wos/woscc/full-record/WOS:001598221500001","View Record in Web of Science")</f>
        <v>120</v>
      </c>
      <c r="BU616" t="s" s="0">
        <v>159</v>
      </c>
      <c r="BV616" t="s" s="0">
        <v>82</v>
      </c>
      <c r="BW616" t="s" s="0">
        <v>82</v>
      </c>
      <c r="BX616" t="s" s="0">
        <v>122</v>
      </c>
    </row>
    <row r="617">
      <c r="A617" t="s" s="0">
        <v>77</v>
      </c>
      <c r="B617" t="s" s="0">
        <v>78</v>
      </c>
      <c r="C617" t="s" s="0">
        <v>375</v>
      </c>
      <c r="D617" t="s" s="0">
        <v>78</v>
      </c>
      <c r="E617" t="s" s="0">
        <v>14350</v>
      </c>
      <c r="F617" t="s" s="0">
        <v>14351</v>
      </c>
      <c r="G617" t="s" s="0">
        <v>14352</v>
      </c>
      <c r="H617" t="s" s="0">
        <v>82</v>
      </c>
      <c r="I617" t="s" s="0">
        <v>83</v>
      </c>
      <c r="J617" t="s" s="0">
        <v>14353</v>
      </c>
      <c r="K617" t="s" s="0">
        <v>14354</v>
      </c>
      <c r="L617" t="s" s="0">
        <v>14355</v>
      </c>
      <c r="M617" t="s" s="0">
        <v>14356</v>
      </c>
      <c r="N617" t="s" s="0">
        <v>14357</v>
      </c>
      <c r="O617" t="s" s="0">
        <v>14358</v>
      </c>
      <c r="P617" t="s" s="0">
        <v>14359</v>
      </c>
      <c r="Q617" t="s" s="0">
        <v>91</v>
      </c>
      <c r="R617" t="s" s="0">
        <v>82</v>
      </c>
      <c r="S617" t="s" s="0">
        <v>82</v>
      </c>
      <c r="T617" t="s" s="0">
        <v>82</v>
      </c>
      <c r="U617" t="s" s="0">
        <v>82</v>
      </c>
      <c r="V617" t="s" s="0">
        <v>14360</v>
      </c>
      <c r="W617" t="s" s="0">
        <v>543</v>
      </c>
      <c r="X617" t="s" s="0">
        <v>82</v>
      </c>
      <c r="Y617" t="s" s="0">
        <v>82</v>
      </c>
      <c r="Z617" t="s" s="0">
        <v>94</v>
      </c>
      <c r="AA617" t="s" s="0">
        <v>95</v>
      </c>
      <c r="AB617" t="s" s="0">
        <v>82</v>
      </c>
      <c r="AC617" t="s" s="0">
        <v>82</v>
      </c>
      <c r="AD617" t="s" s="0">
        <v>82</v>
      </c>
      <c r="AE617" t="s" s="0">
        <v>82</v>
      </c>
      <c r="AF617" t="s" s="0">
        <v>82</v>
      </c>
      <c r="AG617" t="s" s="0">
        <v>14361</v>
      </c>
      <c r="AH617" t="s" s="0">
        <v>82</v>
      </c>
      <c r="AI617" t="s" s="0">
        <v>14362</v>
      </c>
      <c r="AJ617" t="s" s="0">
        <v>14363</v>
      </c>
      <c r="AK617" t="s" s="0">
        <v>82</v>
      </c>
      <c r="AL617" t="s" s="0">
        <v>1161</v>
      </c>
      <c r="AM617" t="s" s="0">
        <v>399</v>
      </c>
      <c r="AN617" t="s" s="0">
        <v>548</v>
      </c>
      <c r="AO617" t="s" s="0">
        <v>78</v>
      </c>
      <c r="AP617" t="s" s="0">
        <v>319</v>
      </c>
      <c r="AQ617" t="s" s="0">
        <v>312</v>
      </c>
      <c r="AR617" t="s" s="0">
        <v>313</v>
      </c>
      <c r="AS617" t="s" s="0">
        <v>314</v>
      </c>
      <c r="AT617" t="s" s="0">
        <v>82</v>
      </c>
      <c r="AU617" t="s" s="0">
        <v>550</v>
      </c>
      <c r="AV617" t="s" s="0">
        <v>82</v>
      </c>
      <c r="AW617" t="s" s="0">
        <v>543</v>
      </c>
      <c r="AX617" t="s" s="0">
        <v>551</v>
      </c>
      <c r="AY617" t="s" s="0">
        <v>3805</v>
      </c>
      <c r="AZ617" t="s" s="0">
        <v>525</v>
      </c>
      <c r="BA617" t="s" s="0">
        <v>137</v>
      </c>
      <c r="BB617" t="s" s="0">
        <v>102</v>
      </c>
      <c r="BC617" t="s" s="0">
        <v>82</v>
      </c>
      <c r="BD617" t="s" s="0">
        <v>82</v>
      </c>
      <c r="BE617" t="s" s="0">
        <v>82</v>
      </c>
      <c r="BF617" t="s" s="0">
        <v>82</v>
      </c>
      <c r="BG617" t="s" s="0">
        <v>82</v>
      </c>
      <c r="BH617" t="s" s="0">
        <v>82</v>
      </c>
      <c r="BI617" t="s" s="0">
        <v>14364</v>
      </c>
      <c r="BJ617" t="s" s="0">
        <v>14365</v>
      </c>
      <c r="BK617" t="s" s="1227">
        <f>HYPERLINK("http://dx.doi.org/10.3390/diagnostics11040675","http://dx.doi.org/10.3390/diagnostics11040675")</f>
        <v>14366</v>
      </c>
      <c r="BL617" t="s" s="0">
        <v>82</v>
      </c>
      <c r="BM617" t="s" s="0">
        <v>82</v>
      </c>
      <c r="BN617" t="s" s="0">
        <v>245</v>
      </c>
      <c r="BO617" t="s" s="0">
        <v>354</v>
      </c>
      <c r="BP617" t="s" s="0">
        <v>355</v>
      </c>
      <c r="BQ617" t="s" s="0">
        <v>14367</v>
      </c>
      <c r="BR617" t="s" s="0">
        <v>14368</v>
      </c>
      <c r="BS617" t="s" s="0">
        <v>14369</v>
      </c>
      <c r="BT617" t="s" s="1228">
        <f>HYPERLINK("https://www.webofscience.com/wos/woscc/full-record/WOS:000642996400001","View Record in Web of Science")</f>
        <v>120</v>
      </c>
      <c r="BU617" t="s" s="0">
        <v>121</v>
      </c>
      <c r="BV617" t="s" s="0">
        <v>82</v>
      </c>
      <c r="BW617" t="s" s="0">
        <v>82</v>
      </c>
      <c r="BX617" t="s" s="0">
        <v>122</v>
      </c>
    </row>
    <row r="618">
      <c r="A618" t="s" s="0">
        <v>78</v>
      </c>
      <c r="B618" t="s" s="0">
        <v>78</v>
      </c>
      <c r="C618" t="s" s="0">
        <v>78</v>
      </c>
      <c r="D618" t="s" s="0">
        <v>78</v>
      </c>
      <c r="E618" t="s" s="0">
        <v>14370</v>
      </c>
      <c r="F618" t="s" s="0">
        <v>14371</v>
      </c>
      <c r="G618" t="s" s="0">
        <v>14372</v>
      </c>
      <c r="H618" t="s" s="0">
        <v>82</v>
      </c>
      <c r="I618" t="s" s="0">
        <v>297</v>
      </c>
      <c r="J618" t="s" s="0">
        <v>14373</v>
      </c>
      <c r="K618" t="s" s="0">
        <v>14374</v>
      </c>
      <c r="L618" t="s" s="0">
        <v>14375</v>
      </c>
      <c r="M618" t="s" s="0">
        <v>14376</v>
      </c>
      <c r="N618" t="s" s="0">
        <v>14377</v>
      </c>
      <c r="O618" t="s" s="0">
        <v>14378</v>
      </c>
      <c r="P618" t="s" s="0">
        <v>14379</v>
      </c>
      <c r="Q618" t="s" s="0">
        <v>91</v>
      </c>
      <c r="R618" t="s" s="0">
        <v>82</v>
      </c>
      <c r="S618" t="s" s="0">
        <v>82</v>
      </c>
      <c r="T618" t="s" s="0">
        <v>82</v>
      </c>
      <c r="U618" t="s" s="0">
        <v>82</v>
      </c>
      <c r="V618" t="s" s="0">
        <v>14380</v>
      </c>
      <c r="W618" t="s" s="0">
        <v>1705</v>
      </c>
      <c r="X618" t="s" s="0">
        <v>82</v>
      </c>
      <c r="Y618" t="s" s="0">
        <v>82</v>
      </c>
      <c r="Z618" t="s" s="0">
        <v>94</v>
      </c>
      <c r="AA618" t="s" s="0">
        <v>95</v>
      </c>
      <c r="AB618" t="s" s="0">
        <v>82</v>
      </c>
      <c r="AC618" t="s" s="0">
        <v>82</v>
      </c>
      <c r="AD618" t="s" s="0">
        <v>82</v>
      </c>
      <c r="AE618" t="s" s="0">
        <v>82</v>
      </c>
      <c r="AF618" t="s" s="0">
        <v>82</v>
      </c>
      <c r="AG618" t="s" s="0">
        <v>14381</v>
      </c>
      <c r="AH618" t="s" s="0">
        <v>14382</v>
      </c>
      <c r="AI618" t="s" s="0">
        <v>14383</v>
      </c>
      <c r="AJ618" t="s" s="0">
        <v>14384</v>
      </c>
      <c r="AK618" t="s" s="0">
        <v>82</v>
      </c>
      <c r="AL618" t="s" s="0">
        <v>640</v>
      </c>
      <c r="AM618" t="s" s="0">
        <v>101</v>
      </c>
      <c r="AN618" t="s" s="0">
        <v>101</v>
      </c>
      <c r="AO618" t="s" s="0">
        <v>78</v>
      </c>
      <c r="AP618" t="s" s="0">
        <v>77</v>
      </c>
      <c r="AQ618" t="s" s="0">
        <v>1710</v>
      </c>
      <c r="AR618" t="s" s="0">
        <v>1711</v>
      </c>
      <c r="AS618" t="s" s="0">
        <v>1712</v>
      </c>
      <c r="AT618" t="s" s="0">
        <v>1713</v>
      </c>
      <c r="AU618" t="s" s="0">
        <v>82</v>
      </c>
      <c r="AV618" t="s" s="0">
        <v>82</v>
      </c>
      <c r="AW618" t="s" s="0">
        <v>1714</v>
      </c>
      <c r="AX618" t="s" s="0">
        <v>1715</v>
      </c>
      <c r="AY618" t="s" s="0">
        <v>210</v>
      </c>
      <c r="AZ618" t="s" s="0">
        <v>210</v>
      </c>
      <c r="BA618" t="s" s="0">
        <v>149</v>
      </c>
      <c r="BB618" t="s" s="0">
        <v>82</v>
      </c>
      <c r="BC618" t="s" s="0">
        <v>82</v>
      </c>
      <c r="BD618" t="s" s="0">
        <v>82</v>
      </c>
      <c r="BE618" t="s" s="0">
        <v>82</v>
      </c>
      <c r="BF618" t="s" s="0">
        <v>82</v>
      </c>
      <c r="BG618" t="s" s="0">
        <v>82</v>
      </c>
      <c r="BH618" t="s" s="0">
        <v>82</v>
      </c>
      <c r="BI618" t="s" s="0">
        <v>14385</v>
      </c>
      <c r="BJ618" t="s" s="0">
        <v>14386</v>
      </c>
      <c r="BK618" t="s" s="1229">
        <f>HYPERLINK("http://dx.doi.org/10.2196/44650","http://dx.doi.org/10.2196/44650")</f>
        <v>14387</v>
      </c>
      <c r="BL618" t="s" s="0">
        <v>82</v>
      </c>
      <c r="BM618" t="s" s="0">
        <v>82</v>
      </c>
      <c r="BN618" t="s" s="0">
        <v>245</v>
      </c>
      <c r="BO618" t="s" s="0">
        <v>1720</v>
      </c>
      <c r="BP618" t="s" s="0">
        <v>1720</v>
      </c>
      <c r="BQ618" t="s" s="0">
        <v>14388</v>
      </c>
      <c r="BR618" t="s" s="0">
        <v>14389</v>
      </c>
      <c r="BS618" t="s" s="0">
        <v>14390</v>
      </c>
      <c r="BT618" t="s" s="1230">
        <f>HYPERLINK("https://www.webofscience.com/wos/woscc/full-record/WOS:001015233200010","View Record in Web of Science")</f>
        <v>120</v>
      </c>
      <c r="BU618" t="s" s="0">
        <v>121</v>
      </c>
      <c r="BV618" t="s" s="0">
        <v>82</v>
      </c>
      <c r="BW618" t="s" s="0">
        <v>82</v>
      </c>
      <c r="BX618" t="s" s="0">
        <v>122</v>
      </c>
    </row>
    <row r="619">
      <c r="A619" t="s" s="0">
        <v>78</v>
      </c>
      <c r="B619" t="s" s="0">
        <v>78</v>
      </c>
      <c r="C619" t="s" s="0">
        <v>77</v>
      </c>
      <c r="D619" t="s" s="0">
        <v>78</v>
      </c>
      <c r="E619" t="s" s="0">
        <v>14391</v>
      </c>
      <c r="F619" t="s" s="0">
        <v>14392</v>
      </c>
      <c r="G619" t="s" s="0">
        <v>14393</v>
      </c>
      <c r="H619" t="s" s="0">
        <v>82</v>
      </c>
      <c r="I619" t="s" s="0">
        <v>297</v>
      </c>
      <c r="J619" t="s" s="0">
        <v>14394</v>
      </c>
      <c r="K619" t="s" s="0">
        <v>14395</v>
      </c>
      <c r="L619" t="s" s="0">
        <v>14396</v>
      </c>
      <c r="M619" t="s" s="0">
        <v>14397</v>
      </c>
      <c r="N619" t="s" s="0">
        <v>14398</v>
      </c>
      <c r="O619" t="s" s="0">
        <v>14399</v>
      </c>
      <c r="P619" t="s" s="0">
        <v>14400</v>
      </c>
      <c r="Q619" t="s" s="0">
        <v>91</v>
      </c>
      <c r="R619" t="s" s="0">
        <v>82</v>
      </c>
      <c r="S619" t="s" s="0">
        <v>82</v>
      </c>
      <c r="T619" t="s" s="0">
        <v>82</v>
      </c>
      <c r="U619" t="s" s="0">
        <v>82</v>
      </c>
      <c r="V619" t="s" s="0">
        <v>14401</v>
      </c>
      <c r="W619" t="s" s="0">
        <v>14402</v>
      </c>
      <c r="X619" t="s" s="0">
        <v>82</v>
      </c>
      <c r="Y619" t="s" s="0">
        <v>82</v>
      </c>
      <c r="Z619" t="s" s="0">
        <v>94</v>
      </c>
      <c r="AA619" t="s" s="0">
        <v>95</v>
      </c>
      <c r="AB619" t="s" s="0">
        <v>82</v>
      </c>
      <c r="AC619" t="s" s="0">
        <v>82</v>
      </c>
      <c r="AD619" t="s" s="0">
        <v>82</v>
      </c>
      <c r="AE619" t="s" s="0">
        <v>82</v>
      </c>
      <c r="AF619" t="s" s="0">
        <v>82</v>
      </c>
      <c r="AG619" t="s" s="0">
        <v>14403</v>
      </c>
      <c r="AH619" t="s" s="0">
        <v>14404</v>
      </c>
      <c r="AI619" t="s" s="0">
        <v>14405</v>
      </c>
      <c r="AJ619" t="s" s="0">
        <v>82</v>
      </c>
      <c r="AK619" t="s" s="0">
        <v>82</v>
      </c>
      <c r="AL619" t="s" s="0">
        <v>863</v>
      </c>
      <c r="AM619" t="s" s="0">
        <v>77</v>
      </c>
      <c r="AN619" t="s" s="0">
        <v>77</v>
      </c>
      <c r="AO619" t="s" s="0">
        <v>447</v>
      </c>
      <c r="AP619" t="s" s="0">
        <v>447</v>
      </c>
      <c r="AQ619" t="s" s="0">
        <v>277</v>
      </c>
      <c r="AR619" t="s" s="0">
        <v>278</v>
      </c>
      <c r="AS619" t="s" s="0">
        <v>279</v>
      </c>
      <c r="AT619" t="s" s="0">
        <v>14406</v>
      </c>
      <c r="AU619" t="s" s="0">
        <v>14407</v>
      </c>
      <c r="AV619" t="s" s="0">
        <v>82</v>
      </c>
      <c r="AW619" t="s" s="0">
        <v>14408</v>
      </c>
      <c r="AX619" t="s" s="0">
        <v>14409</v>
      </c>
      <c r="AY619" t="s" s="0">
        <v>1365</v>
      </c>
      <c r="AZ619" t="s" s="0">
        <v>181</v>
      </c>
      <c r="BA619" t="s" s="0">
        <v>375</v>
      </c>
      <c r="BB619" t="s" s="0">
        <v>447</v>
      </c>
      <c r="BC619" t="s" s="0">
        <v>82</v>
      </c>
      <c r="BD619" t="s" s="0">
        <v>82</v>
      </c>
      <c r="BE619" t="s" s="0">
        <v>82</v>
      </c>
      <c r="BF619" t="s" s="0">
        <v>82</v>
      </c>
      <c r="BG619" t="s" s="0">
        <v>14410</v>
      </c>
      <c r="BH619" t="s" s="0">
        <v>13804</v>
      </c>
      <c r="BI619" t="s" s="0">
        <v>82</v>
      </c>
      <c r="BJ619" t="s" s="0">
        <v>14411</v>
      </c>
      <c r="BK619" t="s" s="1231">
        <f>HYPERLINK("http://dx.doi.org/10.1016/j.jointm.2025.10.010","http://dx.doi.org/10.1016/j.jointm.2025.10.010")</f>
        <v>14412</v>
      </c>
      <c r="BL619" t="s" s="0">
        <v>82</v>
      </c>
      <c r="BM619" t="s" s="0">
        <v>1365</v>
      </c>
      <c r="BN619" t="s" s="0">
        <v>245</v>
      </c>
      <c r="BO619" t="s" s="0">
        <v>2920</v>
      </c>
      <c r="BP619" t="s" s="0">
        <v>355</v>
      </c>
      <c r="BQ619" t="s" s="0">
        <v>14413</v>
      </c>
      <c r="BR619" t="s" s="0">
        <v>14414</v>
      </c>
      <c r="BS619" t="s" s="0">
        <v>14415</v>
      </c>
      <c r="BT619" t="s" s="1232">
        <f>HYPERLINK("https://www.webofscience.com/wos/woscc/full-record/WOS:001747141600001","View Record in Web of Science")</f>
        <v>120</v>
      </c>
      <c r="BU619" t="s" s="0">
        <v>121</v>
      </c>
      <c r="BV619" t="s" s="0">
        <v>82</v>
      </c>
      <c r="BW619" t="s" s="0">
        <v>82</v>
      </c>
      <c r="BX619" t="s" s="0">
        <v>122</v>
      </c>
    </row>
    <row r="620">
      <c r="A620" t="s" s="0">
        <v>77</v>
      </c>
      <c r="B620" t="s" s="0">
        <v>78</v>
      </c>
      <c r="C620" t="s" s="0">
        <v>101</v>
      </c>
      <c r="D620" t="s" s="0">
        <v>78</v>
      </c>
      <c r="E620" t="s" s="0">
        <v>14416</v>
      </c>
      <c r="F620" t="s" s="0">
        <v>14417</v>
      </c>
      <c r="G620" t="s" s="0">
        <v>14418</v>
      </c>
      <c r="H620" t="s" s="0">
        <v>82</v>
      </c>
      <c r="I620" t="s" s="0">
        <v>83</v>
      </c>
      <c r="J620" t="s" s="0">
        <v>14419</v>
      </c>
      <c r="K620" t="s" s="0">
        <v>14420</v>
      </c>
      <c r="L620" t="s" s="0">
        <v>6609</v>
      </c>
      <c r="M620" t="s" s="0">
        <v>6610</v>
      </c>
      <c r="N620" t="s" s="0">
        <v>14421</v>
      </c>
      <c r="O620" t="s" s="0">
        <v>14422</v>
      </c>
      <c r="P620" t="s" s="0">
        <v>4190</v>
      </c>
      <c r="Q620" t="s" s="0">
        <v>91</v>
      </c>
      <c r="R620" t="s" s="0">
        <v>82</v>
      </c>
      <c r="S620" t="s" s="0">
        <v>82</v>
      </c>
      <c r="T620" t="s" s="0">
        <v>82</v>
      </c>
      <c r="U620" t="s" s="0">
        <v>82</v>
      </c>
      <c r="V620" t="s" s="0">
        <v>14423</v>
      </c>
      <c r="W620" t="s" s="0">
        <v>14424</v>
      </c>
      <c r="X620" t="s" s="0">
        <v>82</v>
      </c>
      <c r="Y620" t="s" s="0">
        <v>82</v>
      </c>
      <c r="Z620" t="s" s="0">
        <v>94</v>
      </c>
      <c r="AA620" t="s" s="0">
        <v>95</v>
      </c>
      <c r="AB620" t="s" s="0">
        <v>82</v>
      </c>
      <c r="AC620" t="s" s="0">
        <v>82</v>
      </c>
      <c r="AD620" t="s" s="0">
        <v>82</v>
      </c>
      <c r="AE620" t="s" s="0">
        <v>82</v>
      </c>
      <c r="AF620" t="s" s="0">
        <v>82</v>
      </c>
      <c r="AG620" t="s" s="0">
        <v>14425</v>
      </c>
      <c r="AH620" t="s" s="0">
        <v>14426</v>
      </c>
      <c r="AI620" t="s" s="0">
        <v>14427</v>
      </c>
      <c r="AJ620" t="s" s="0">
        <v>14428</v>
      </c>
      <c r="AK620" t="s" s="0">
        <v>82</v>
      </c>
      <c r="AL620" t="s" s="0">
        <v>864</v>
      </c>
      <c r="AM620" t="s" s="0">
        <v>115</v>
      </c>
      <c r="AN620" t="s" s="0">
        <v>349</v>
      </c>
      <c r="AO620" t="s" s="0">
        <v>78</v>
      </c>
      <c r="AP620" t="s" s="0">
        <v>1780</v>
      </c>
      <c r="AQ620" t="s" s="0">
        <v>2051</v>
      </c>
      <c r="AR620" t="s" s="0">
        <v>203</v>
      </c>
      <c r="AS620" t="s" s="0">
        <v>2052</v>
      </c>
      <c r="AT620" t="s" s="0">
        <v>14429</v>
      </c>
      <c r="AU620" t="s" s="0">
        <v>14430</v>
      </c>
      <c r="AV620" t="s" s="0">
        <v>82</v>
      </c>
      <c r="AW620" t="s" s="0">
        <v>14431</v>
      </c>
      <c r="AX620" t="s" s="0">
        <v>14432</v>
      </c>
      <c r="AY620" t="s" s="0">
        <v>722</v>
      </c>
      <c r="AZ620" t="s" s="0">
        <v>210</v>
      </c>
      <c r="BA620" t="s" s="0">
        <v>548</v>
      </c>
      <c r="BB620" t="s" s="0">
        <v>447</v>
      </c>
      <c r="BC620" t="s" s="0">
        <v>82</v>
      </c>
      <c r="BD620" t="s" s="0">
        <v>82</v>
      </c>
      <c r="BE620" t="s" s="0">
        <v>82</v>
      </c>
      <c r="BF620" t="s" s="0">
        <v>82</v>
      </c>
      <c r="BG620" t="s" s="0">
        <v>82</v>
      </c>
      <c r="BH620" t="s" s="0">
        <v>82</v>
      </c>
      <c r="BI620" t="s" s="0">
        <v>1024</v>
      </c>
      <c r="BJ620" t="s" s="0">
        <v>14433</v>
      </c>
      <c r="BK620" t="s" s="1233">
        <f>HYPERLINK("http://dx.doi.org/10.1007/s00520-022-07570-w","http://dx.doi.org/10.1007/s00520-022-07570-w")</f>
        <v>14434</v>
      </c>
      <c r="BL620" t="s" s="0">
        <v>82</v>
      </c>
      <c r="BM620" t="s" s="0">
        <v>82</v>
      </c>
      <c r="BN620" t="s" s="0">
        <v>115</v>
      </c>
      <c r="BO620" t="s" s="0">
        <v>14435</v>
      </c>
      <c r="BP620" t="s" s="0">
        <v>14435</v>
      </c>
      <c r="BQ620" t="s" s="0">
        <v>14436</v>
      </c>
      <c r="BR620" t="s" s="0">
        <v>14437</v>
      </c>
      <c r="BS620" t="s" s="0">
        <v>14438</v>
      </c>
      <c r="BT620" t="s" s="1234">
        <f>HYPERLINK("https://www.webofscience.com/wos/woscc/full-record/WOS:000911901900002","View Record in Web of Science")</f>
        <v>120</v>
      </c>
      <c r="BU620" t="s" s="0">
        <v>82</v>
      </c>
      <c r="BV620" t="s" s="0">
        <v>82</v>
      </c>
      <c r="BW620" t="s" s="0">
        <v>82</v>
      </c>
      <c r="BX620" t="s" s="0">
        <v>122</v>
      </c>
    </row>
    <row r="621">
      <c r="A621" t="s" s="0">
        <v>78</v>
      </c>
      <c r="B621" t="s" s="0">
        <v>78</v>
      </c>
      <c r="C621" t="s" s="0">
        <v>78</v>
      </c>
      <c r="D621" t="s" s="0">
        <v>78</v>
      </c>
      <c r="E621" t="s" s="0">
        <v>14439</v>
      </c>
      <c r="F621" t="s" s="0">
        <v>14440</v>
      </c>
      <c r="G621" t="s" s="0">
        <v>14441</v>
      </c>
      <c r="H621" t="s" s="0">
        <v>82</v>
      </c>
      <c r="I621" t="s" s="0">
        <v>83</v>
      </c>
      <c r="J621" t="s" s="0">
        <v>14442</v>
      </c>
      <c r="K621" t="s" s="0">
        <v>14443</v>
      </c>
      <c r="L621" t="s" s="0">
        <v>14444</v>
      </c>
      <c r="M621" t="s" s="0">
        <v>14445</v>
      </c>
      <c r="N621" t="s" s="0">
        <v>14446</v>
      </c>
      <c r="O621" t="s" s="0">
        <v>14447</v>
      </c>
      <c r="P621" t="s" s="0">
        <v>14448</v>
      </c>
      <c r="Q621" t="s" s="0">
        <v>91</v>
      </c>
      <c r="R621" t="s" s="0">
        <v>82</v>
      </c>
      <c r="S621" t="s" s="0">
        <v>82</v>
      </c>
      <c r="T621" t="s" s="0">
        <v>82</v>
      </c>
      <c r="U621" t="s" s="0">
        <v>82</v>
      </c>
      <c r="V621" t="s" s="0">
        <v>14449</v>
      </c>
      <c r="W621" t="s" s="0">
        <v>7080</v>
      </c>
      <c r="X621" t="s" s="0">
        <v>82</v>
      </c>
      <c r="Y621" t="s" s="0">
        <v>82</v>
      </c>
      <c r="Z621" t="s" s="0">
        <v>94</v>
      </c>
      <c r="AA621" t="s" s="0">
        <v>95</v>
      </c>
      <c r="AB621" t="s" s="0">
        <v>82</v>
      </c>
      <c r="AC621" t="s" s="0">
        <v>82</v>
      </c>
      <c r="AD621" t="s" s="0">
        <v>82</v>
      </c>
      <c r="AE621" t="s" s="0">
        <v>82</v>
      </c>
      <c r="AF621" t="s" s="0">
        <v>82</v>
      </c>
      <c r="AG621" t="s" s="0">
        <v>14450</v>
      </c>
      <c r="AH621" t="s" s="0">
        <v>11179</v>
      </c>
      <c r="AI621" t="s" s="0">
        <v>14451</v>
      </c>
      <c r="AJ621" t="s" s="0">
        <v>14452</v>
      </c>
      <c r="AK621" t="s" s="0">
        <v>82</v>
      </c>
      <c r="AL621" t="s" s="0">
        <v>238</v>
      </c>
      <c r="AM621" t="s" s="0">
        <v>447</v>
      </c>
      <c r="AN621" t="s" s="0">
        <v>447</v>
      </c>
      <c r="AO621" t="s" s="0">
        <v>78</v>
      </c>
      <c r="AP621" t="s" s="0">
        <v>323</v>
      </c>
      <c r="AQ621" t="s" s="0">
        <v>2346</v>
      </c>
      <c r="AR621" t="s" s="0">
        <v>7084</v>
      </c>
      <c r="AS621" t="s" s="0">
        <v>7085</v>
      </c>
      <c r="AT621" t="s" s="0">
        <v>7086</v>
      </c>
      <c r="AU621" t="s" s="0">
        <v>7087</v>
      </c>
      <c r="AV621" t="s" s="0">
        <v>82</v>
      </c>
      <c r="AW621" t="s" s="0">
        <v>7088</v>
      </c>
      <c r="AX621" t="s" s="0">
        <v>7089</v>
      </c>
      <c r="AY621" t="s" s="0">
        <v>804</v>
      </c>
      <c r="AZ621" t="s" s="0">
        <v>210</v>
      </c>
      <c r="BA621" t="s" s="0">
        <v>1161</v>
      </c>
      <c r="BB621" t="s" s="0">
        <v>319</v>
      </c>
      <c r="BC621" t="s" s="0">
        <v>82</v>
      </c>
      <c r="BD621" t="s" s="0">
        <v>82</v>
      </c>
      <c r="BE621" t="s" s="0">
        <v>82</v>
      </c>
      <c r="BF621" t="s" s="0">
        <v>82</v>
      </c>
      <c r="BG621" t="s" s="0">
        <v>82</v>
      </c>
      <c r="BH621" t="s" s="0">
        <v>82</v>
      </c>
      <c r="BI621" t="s" s="0">
        <v>9663</v>
      </c>
      <c r="BJ621" t="s" s="0">
        <v>14453</v>
      </c>
      <c r="BK621" t="s" s="1235">
        <f>HYPERLINK("http://dx.doi.org/10.31083/j.rcm2409265","http://dx.doi.org/10.31083/j.rcm2409265")</f>
        <v>14454</v>
      </c>
      <c r="BL621" t="s" s="0">
        <v>82</v>
      </c>
      <c r="BM621" t="s" s="0">
        <v>82</v>
      </c>
      <c r="BN621" t="s" s="0">
        <v>319</v>
      </c>
      <c r="BO621" t="s" s="0">
        <v>503</v>
      </c>
      <c r="BP621" t="s" s="0">
        <v>504</v>
      </c>
      <c r="BQ621" t="s" s="0">
        <v>14455</v>
      </c>
      <c r="BR621" t="s" s="0">
        <v>14456</v>
      </c>
      <c r="BS621" t="s" s="0">
        <v>14457</v>
      </c>
      <c r="BT621" t="s" s="1236">
        <f>HYPERLINK("https://www.webofscience.com/wos/woscc/full-record/WOS:001085096700018","View Record in Web of Science")</f>
        <v>120</v>
      </c>
      <c r="BU621" t="s" s="0">
        <v>121</v>
      </c>
      <c r="BV621" t="s" s="0">
        <v>82</v>
      </c>
      <c r="BW621" t="s" s="0">
        <v>82</v>
      </c>
      <c r="BX621" t="s" s="0">
        <v>122</v>
      </c>
    </row>
    <row r="622">
      <c r="A622" t="s" s="0">
        <v>78</v>
      </c>
      <c r="B622" t="s" s="0">
        <v>78</v>
      </c>
      <c r="C622" t="s" s="0">
        <v>78</v>
      </c>
      <c r="D622" t="s" s="0">
        <v>78</v>
      </c>
      <c r="E622" t="s" s="0">
        <v>14458</v>
      </c>
      <c r="F622" t="s" s="0">
        <v>14459</v>
      </c>
      <c r="G622" t="s" s="0">
        <v>14460</v>
      </c>
      <c r="H622" t="s" s="0">
        <v>82</v>
      </c>
      <c r="I622" t="s" s="0">
        <v>83</v>
      </c>
      <c r="J622" t="s" s="0">
        <v>14461</v>
      </c>
      <c r="K622" t="s" s="0">
        <v>14462</v>
      </c>
      <c r="L622" t="s" s="0">
        <v>14463</v>
      </c>
      <c r="M622" t="s" s="0">
        <v>6610</v>
      </c>
      <c r="N622" t="s" s="0">
        <v>14464</v>
      </c>
      <c r="O622" t="s" s="0">
        <v>14465</v>
      </c>
      <c r="P622" t="s" s="0">
        <v>14466</v>
      </c>
      <c r="Q622" t="s" s="0">
        <v>91</v>
      </c>
      <c r="R622" t="s" s="0">
        <v>82</v>
      </c>
      <c r="S622" t="s" s="0">
        <v>82</v>
      </c>
      <c r="T622" t="s" s="0">
        <v>82</v>
      </c>
      <c r="U622" t="s" s="0">
        <v>82</v>
      </c>
      <c r="V622" t="s" s="0">
        <v>14467</v>
      </c>
      <c r="W622" t="s" s="0">
        <v>394</v>
      </c>
      <c r="X622" t="s" s="0">
        <v>82</v>
      </c>
      <c r="Y622" t="s" s="0">
        <v>82</v>
      </c>
      <c r="Z622" t="s" s="0">
        <v>94</v>
      </c>
      <c r="AA622" t="s" s="0">
        <v>95</v>
      </c>
      <c r="AB622" t="s" s="0">
        <v>82</v>
      </c>
      <c r="AC622" t="s" s="0">
        <v>82</v>
      </c>
      <c r="AD622" t="s" s="0">
        <v>82</v>
      </c>
      <c r="AE622" t="s" s="0">
        <v>82</v>
      </c>
      <c r="AF622" t="s" s="0">
        <v>82</v>
      </c>
      <c r="AG622" t="s" s="0">
        <v>14468</v>
      </c>
      <c r="AH622" t="s" s="0">
        <v>14469</v>
      </c>
      <c r="AI622" t="s" s="0">
        <v>82</v>
      </c>
      <c r="AJ622" t="s" s="0">
        <v>82</v>
      </c>
      <c r="AK622" t="s" s="0">
        <v>82</v>
      </c>
      <c r="AL622" t="s" s="0">
        <v>1026</v>
      </c>
      <c r="AM622" t="s" s="0">
        <v>78</v>
      </c>
      <c r="AN622" t="s" s="0">
        <v>78</v>
      </c>
      <c r="AO622" t="s" s="0">
        <v>78</v>
      </c>
      <c r="AP622" t="s" s="0">
        <v>78</v>
      </c>
      <c r="AQ622" t="s" s="0">
        <v>400</v>
      </c>
      <c r="AR622" t="s" s="0">
        <v>401</v>
      </c>
      <c r="AS622" t="s" s="0">
        <v>402</v>
      </c>
      <c r="AT622" t="s" s="0">
        <v>403</v>
      </c>
      <c r="AU622" t="s" s="0">
        <v>404</v>
      </c>
      <c r="AV622" t="s" s="0">
        <v>82</v>
      </c>
      <c r="AW622" t="s" s="0">
        <v>405</v>
      </c>
      <c r="AX622" t="s" s="0">
        <v>406</v>
      </c>
      <c r="AY622" t="s" s="0">
        <v>14470</v>
      </c>
      <c r="AZ622" t="s" s="0">
        <v>181</v>
      </c>
      <c r="BA622" t="s" s="0">
        <v>10979</v>
      </c>
      <c r="BB622" t="s" s="0">
        <v>82</v>
      </c>
      <c r="BC622" t="s" s="0">
        <v>82</v>
      </c>
      <c r="BD622" t="s" s="0">
        <v>82</v>
      </c>
      <c r="BE622" t="s" s="0">
        <v>82</v>
      </c>
      <c r="BF622" t="s" s="0">
        <v>82</v>
      </c>
      <c r="BG622" t="s" s="0">
        <v>82</v>
      </c>
      <c r="BH622" t="s" s="0">
        <v>82</v>
      </c>
      <c r="BI622" t="s" s="0">
        <v>14471</v>
      </c>
      <c r="BJ622" t="s" s="0">
        <v>14472</v>
      </c>
      <c r="BK622" t="s" s="1237">
        <f>HYPERLINK("http://dx.doi.org/10.1016/j.ejrad.2026.113127","http://dx.doi.org/10.1016/j.ejrad.2026.113127")</f>
        <v>14473</v>
      </c>
      <c r="BL622" t="s" s="0">
        <v>82</v>
      </c>
      <c r="BM622" t="s" s="0">
        <v>82</v>
      </c>
      <c r="BN622" t="s" s="0">
        <v>319</v>
      </c>
      <c r="BO622" t="s" s="0">
        <v>414</v>
      </c>
      <c r="BP622" t="s" s="0">
        <v>414</v>
      </c>
      <c r="BQ622" t="s" s="0">
        <v>14474</v>
      </c>
      <c r="BR622" t="s" s="0">
        <v>14475</v>
      </c>
      <c r="BS622" t="s" s="0">
        <v>14476</v>
      </c>
      <c r="BT622" t="s" s="1238">
        <f>HYPERLINK("https://www.webofscience.com/wos/woscc/full-record/WOS:001843226400001","View Record in Web of Science")</f>
        <v>120</v>
      </c>
      <c r="BU622" t="s" s="0">
        <v>82</v>
      </c>
      <c r="BV622" t="s" s="0">
        <v>82</v>
      </c>
      <c r="BW622" t="s" s="0">
        <v>82</v>
      </c>
      <c r="BX622" t="s" s="0">
        <v>122</v>
      </c>
    </row>
    <row r="623">
      <c r="A623" t="s" s="0">
        <v>78</v>
      </c>
      <c r="B623" t="s" s="0">
        <v>78</v>
      </c>
      <c r="C623" t="s" s="0">
        <v>447</v>
      </c>
      <c r="D623" t="s" s="0">
        <v>78</v>
      </c>
      <c r="E623" t="s" s="0">
        <v>14477</v>
      </c>
      <c r="F623" t="s" s="0">
        <v>14478</v>
      </c>
      <c r="G623" t="s" s="0">
        <v>14479</v>
      </c>
      <c r="H623" t="s" s="0">
        <v>82</v>
      </c>
      <c r="I623" t="s" s="0">
        <v>83</v>
      </c>
      <c r="J623" t="s" s="0">
        <v>14480</v>
      </c>
      <c r="K623" t="s" s="0">
        <v>14481</v>
      </c>
      <c r="L623" t="s" s="0">
        <v>14482</v>
      </c>
      <c r="M623" t="s" s="0">
        <v>14482</v>
      </c>
      <c r="N623" t="s" s="0">
        <v>14483</v>
      </c>
      <c r="O623" t="s" s="0">
        <v>14484</v>
      </c>
      <c r="P623" t="s" s="0">
        <v>14485</v>
      </c>
      <c r="Q623" t="s" s="0">
        <v>91</v>
      </c>
      <c r="R623" t="s" s="0">
        <v>82</v>
      </c>
      <c r="S623" t="s" s="0">
        <v>82</v>
      </c>
      <c r="T623" t="s" s="0">
        <v>82</v>
      </c>
      <c r="U623" t="s" s="0">
        <v>82</v>
      </c>
      <c r="V623" t="s" s="0">
        <v>14486</v>
      </c>
      <c r="W623" t="s" s="0">
        <v>6124</v>
      </c>
      <c r="X623" t="s" s="0">
        <v>82</v>
      </c>
      <c r="Y623" t="s" s="0">
        <v>82</v>
      </c>
      <c r="Z623" t="s" s="0">
        <v>94</v>
      </c>
      <c r="AA623" t="s" s="0">
        <v>95</v>
      </c>
      <c r="AB623" t="s" s="0">
        <v>82</v>
      </c>
      <c r="AC623" t="s" s="0">
        <v>82</v>
      </c>
      <c r="AD623" t="s" s="0">
        <v>82</v>
      </c>
      <c r="AE623" t="s" s="0">
        <v>82</v>
      </c>
      <c r="AF623" t="s" s="0">
        <v>82</v>
      </c>
      <c r="AG623" t="s" s="0">
        <v>14487</v>
      </c>
      <c r="AH623" t="s" s="0">
        <v>14488</v>
      </c>
      <c r="AI623" t="s" s="0">
        <v>14489</v>
      </c>
      <c r="AJ623" t="s" s="0">
        <v>14490</v>
      </c>
      <c r="AK623" t="s" s="0">
        <v>82</v>
      </c>
      <c r="AL623" t="s" s="0">
        <v>374</v>
      </c>
      <c r="AM623" t="s" s="0">
        <v>375</v>
      </c>
      <c r="AN623" t="s" s="0">
        <v>375</v>
      </c>
      <c r="AO623" t="s" s="0">
        <v>78</v>
      </c>
      <c r="AP623" t="s" s="0">
        <v>102</v>
      </c>
      <c r="AQ623" t="s" s="0">
        <v>312</v>
      </c>
      <c r="AR623" t="s" s="0">
        <v>313</v>
      </c>
      <c r="AS623" t="s" s="0">
        <v>549</v>
      </c>
      <c r="AT623" t="s" s="0">
        <v>82</v>
      </c>
      <c r="AU623" t="s" s="0">
        <v>6129</v>
      </c>
      <c r="AV623" t="s" s="0">
        <v>82</v>
      </c>
      <c r="AW623" t="s" s="0">
        <v>6124</v>
      </c>
      <c r="AX623" t="s" s="0">
        <v>6130</v>
      </c>
      <c r="AY623" t="s" s="0">
        <v>1191</v>
      </c>
      <c r="AZ623" t="s" s="0">
        <v>147</v>
      </c>
      <c r="BA623" t="s" s="0">
        <v>239</v>
      </c>
      <c r="BB623" t="s" s="0">
        <v>447</v>
      </c>
      <c r="BC623" t="s" s="0">
        <v>82</v>
      </c>
      <c r="BD623" t="s" s="0">
        <v>82</v>
      </c>
      <c r="BE623" t="s" s="0">
        <v>82</v>
      </c>
      <c r="BF623" t="s" s="0">
        <v>82</v>
      </c>
      <c r="BG623" t="s" s="0">
        <v>82</v>
      </c>
      <c r="BH623" t="s" s="0">
        <v>82</v>
      </c>
      <c r="BI623" t="s" s="0">
        <v>14491</v>
      </c>
      <c r="BJ623" t="s" s="0">
        <v>14492</v>
      </c>
      <c r="BK623" t="s" s="1239">
        <f>HYPERLINK("http://dx.doi.org/10.3390/cancers17020331","http://dx.doi.org/10.3390/cancers17020331")</f>
        <v>14493</v>
      </c>
      <c r="BL623" t="s" s="0">
        <v>82</v>
      </c>
      <c r="BM623" t="s" s="0">
        <v>82</v>
      </c>
      <c r="BN623" t="s" s="0">
        <v>149</v>
      </c>
      <c r="BO623" t="s" s="0">
        <v>4833</v>
      </c>
      <c r="BP623" t="s" s="0">
        <v>4833</v>
      </c>
      <c r="BQ623" t="s" s="0">
        <v>14494</v>
      </c>
      <c r="BR623" t="s" s="0">
        <v>14495</v>
      </c>
      <c r="BS623" t="s" s="0">
        <v>14496</v>
      </c>
      <c r="BT623" t="s" s="1240">
        <f>HYPERLINK("https://www.webofscience.com/wos/woscc/full-record/WOS:001405686300001","View Record in Web of Science")</f>
        <v>120</v>
      </c>
      <c r="BU623" t="s" s="0">
        <v>121</v>
      </c>
      <c r="BV623" t="s" s="0">
        <v>82</v>
      </c>
      <c r="BW623" t="s" s="0">
        <v>82</v>
      </c>
      <c r="BX623" t="s" s="0">
        <v>122</v>
      </c>
    </row>
    <row r="624">
      <c r="A624" t="s" s="0">
        <v>78</v>
      </c>
      <c r="B624" t="s" s="0">
        <v>78</v>
      </c>
      <c r="C624" t="s" s="0">
        <v>319</v>
      </c>
      <c r="D624" t="s" s="0">
        <v>78</v>
      </c>
      <c r="E624" t="s" s="0">
        <v>14497</v>
      </c>
      <c r="F624" t="s" s="0">
        <v>14498</v>
      </c>
      <c r="G624" t="s" s="0">
        <v>14499</v>
      </c>
      <c r="H624" t="s" s="0">
        <v>82</v>
      </c>
      <c r="I624" t="s" s="0">
        <v>83</v>
      </c>
      <c r="J624" t="s" s="0">
        <v>14500</v>
      </c>
      <c r="K624" t="s" s="0">
        <v>14501</v>
      </c>
      <c r="L624" t="s" s="0">
        <v>14502</v>
      </c>
      <c r="M624" t="s" s="0">
        <v>14503</v>
      </c>
      <c r="N624" t="s" s="0">
        <v>14504</v>
      </c>
      <c r="O624" t="s" s="0">
        <v>14505</v>
      </c>
      <c r="P624" t="s" s="0">
        <v>14506</v>
      </c>
      <c r="Q624" t="s" s="0">
        <v>91</v>
      </c>
      <c r="R624" t="s" s="0">
        <v>82</v>
      </c>
      <c r="S624" t="s" s="0">
        <v>82</v>
      </c>
      <c r="T624" t="s" s="0">
        <v>82</v>
      </c>
      <c r="U624" t="s" s="0">
        <v>82</v>
      </c>
      <c r="V624" t="s" s="0">
        <v>14507</v>
      </c>
      <c r="W624" t="s" s="0">
        <v>340</v>
      </c>
      <c r="X624" t="s" s="0">
        <v>82</v>
      </c>
      <c r="Y624" t="s" s="0">
        <v>82</v>
      </c>
      <c r="Z624" t="s" s="0">
        <v>94</v>
      </c>
      <c r="AA624" t="s" s="0">
        <v>95</v>
      </c>
      <c r="AB624" t="s" s="0">
        <v>82</v>
      </c>
      <c r="AC624" t="s" s="0">
        <v>82</v>
      </c>
      <c r="AD624" t="s" s="0">
        <v>82</v>
      </c>
      <c r="AE624" t="s" s="0">
        <v>82</v>
      </c>
      <c r="AF624" t="s" s="0">
        <v>82</v>
      </c>
      <c r="AG624" t="s" s="0">
        <v>14508</v>
      </c>
      <c r="AH624" t="s" s="0">
        <v>14509</v>
      </c>
      <c r="AI624" t="s" s="0">
        <v>14510</v>
      </c>
      <c r="AJ624" t="s" s="0">
        <v>14511</v>
      </c>
      <c r="AK624" t="s" s="0">
        <v>82</v>
      </c>
      <c r="AL624" t="s" s="0">
        <v>154</v>
      </c>
      <c r="AM624" t="s" s="0">
        <v>238</v>
      </c>
      <c r="AN624" t="s" s="0">
        <v>238</v>
      </c>
      <c r="AO624" t="s" s="0">
        <v>78</v>
      </c>
      <c r="AP624" t="s" s="0">
        <v>102</v>
      </c>
      <c r="AQ624" t="s" s="0">
        <v>312</v>
      </c>
      <c r="AR624" t="s" s="0">
        <v>313</v>
      </c>
      <c r="AS624" t="s" s="0">
        <v>314</v>
      </c>
      <c r="AT624" t="s" s="0">
        <v>82</v>
      </c>
      <c r="AU624" t="s" s="0">
        <v>345</v>
      </c>
      <c r="AV624" t="s" s="0">
        <v>82</v>
      </c>
      <c r="AW624" t="s" s="0">
        <v>346</v>
      </c>
      <c r="AX624" t="s" s="0">
        <v>347</v>
      </c>
      <c r="AY624" t="s" s="0">
        <v>7719</v>
      </c>
      <c r="AZ624" t="s" s="0">
        <v>1035</v>
      </c>
      <c r="BA624" t="s" s="0">
        <v>319</v>
      </c>
      <c r="BB624" t="s" s="0">
        <v>375</v>
      </c>
      <c r="BC624" t="s" s="0">
        <v>82</v>
      </c>
      <c r="BD624" t="s" s="0">
        <v>82</v>
      </c>
      <c r="BE624" t="s" s="0">
        <v>82</v>
      </c>
      <c r="BF624" t="s" s="0">
        <v>82</v>
      </c>
      <c r="BG624" t="s" s="0">
        <v>82</v>
      </c>
      <c r="BH624" t="s" s="0">
        <v>82</v>
      </c>
      <c r="BI624" t="s" s="0">
        <v>11652</v>
      </c>
      <c r="BJ624" t="s" s="0">
        <v>14512</v>
      </c>
      <c r="BK624" t="s" s="1241">
        <f>HYPERLINK("http://dx.doi.org/10.3390/jcm9061981","http://dx.doi.org/10.3390/jcm9061981")</f>
        <v>14513</v>
      </c>
      <c r="BL624" t="s" s="0">
        <v>82</v>
      </c>
      <c r="BM624" t="s" s="0">
        <v>82</v>
      </c>
      <c r="BN624" t="s" s="0">
        <v>137</v>
      </c>
      <c r="BO624" t="s" s="0">
        <v>354</v>
      </c>
      <c r="BP624" t="s" s="0">
        <v>355</v>
      </c>
      <c r="BQ624" t="s" s="0">
        <v>14514</v>
      </c>
      <c r="BR624" t="s" s="0">
        <v>14515</v>
      </c>
      <c r="BS624" t="s" s="0">
        <v>14516</v>
      </c>
      <c r="BT624" t="s" s="1242">
        <f>HYPERLINK("https://www.webofscience.com/wos/woscc/full-record/WOS:000553871600001","View Record in Web of Science")</f>
        <v>120</v>
      </c>
      <c r="BU624" t="s" s="0">
        <v>121</v>
      </c>
      <c r="BV624" t="s" s="0">
        <v>82</v>
      </c>
      <c r="BW624" t="s" s="0">
        <v>82</v>
      </c>
      <c r="BX624" t="s" s="0">
        <v>122</v>
      </c>
    </row>
    <row r="625">
      <c r="A625" t="s" s="0">
        <v>78</v>
      </c>
      <c r="B625" t="s" s="0">
        <v>78</v>
      </c>
      <c r="C625" t="s" s="0">
        <v>78</v>
      </c>
      <c r="D625" t="s" s="0">
        <v>78</v>
      </c>
      <c r="E625" t="s" s="0">
        <v>14517</v>
      </c>
      <c r="F625" t="s" s="0">
        <v>14518</v>
      </c>
      <c r="G625" t="s" s="0">
        <v>14519</v>
      </c>
      <c r="H625" t="s" s="0">
        <v>82</v>
      </c>
      <c r="I625" t="s" s="0">
        <v>83</v>
      </c>
      <c r="J625" t="s" s="0">
        <v>14520</v>
      </c>
      <c r="K625" t="s" s="0">
        <v>14521</v>
      </c>
      <c r="L625" t="s" s="0">
        <v>14522</v>
      </c>
      <c r="M625" t="s" s="0">
        <v>14523</v>
      </c>
      <c r="N625" t="s" s="0">
        <v>14524</v>
      </c>
      <c r="O625" t="s" s="0">
        <v>14525</v>
      </c>
      <c r="P625" t="s" s="0">
        <v>9347</v>
      </c>
      <c r="Q625" t="s" s="0">
        <v>91</v>
      </c>
      <c r="R625" t="s" s="0">
        <v>82</v>
      </c>
      <c r="S625" t="s" s="0">
        <v>82</v>
      </c>
      <c r="T625" t="s" s="0">
        <v>82</v>
      </c>
      <c r="U625" t="s" s="0">
        <v>82</v>
      </c>
      <c r="V625" t="s" s="0">
        <v>14526</v>
      </c>
      <c r="W625" t="s" s="0">
        <v>8395</v>
      </c>
      <c r="X625" t="s" s="0">
        <v>82</v>
      </c>
      <c r="Y625" t="s" s="0">
        <v>82</v>
      </c>
      <c r="Z625" t="s" s="0">
        <v>94</v>
      </c>
      <c r="AA625" t="s" s="0">
        <v>95</v>
      </c>
      <c r="AB625" t="s" s="0">
        <v>82</v>
      </c>
      <c r="AC625" t="s" s="0">
        <v>82</v>
      </c>
      <c r="AD625" t="s" s="0">
        <v>82</v>
      </c>
      <c r="AE625" t="s" s="0">
        <v>82</v>
      </c>
      <c r="AF625" t="s" s="0">
        <v>82</v>
      </c>
      <c r="AG625" t="s" s="0">
        <v>14527</v>
      </c>
      <c r="AH625" t="s" s="0">
        <v>82</v>
      </c>
      <c r="AI625" t="s" s="0">
        <v>82</v>
      </c>
      <c r="AJ625" t="s" s="0">
        <v>82</v>
      </c>
      <c r="AK625" t="s" s="0">
        <v>82</v>
      </c>
      <c r="AL625" t="s" s="0">
        <v>344</v>
      </c>
      <c r="AM625" t="s" s="0">
        <v>78</v>
      </c>
      <c r="AN625" t="s" s="0">
        <v>78</v>
      </c>
      <c r="AO625" t="s" s="0">
        <v>78</v>
      </c>
      <c r="AP625" t="s" s="0">
        <v>78</v>
      </c>
      <c r="AQ625" t="s" s="0">
        <v>103</v>
      </c>
      <c r="AR625" t="s" s="0">
        <v>104</v>
      </c>
      <c r="AS625" t="s" s="0">
        <v>105</v>
      </c>
      <c r="AT625" t="s" s="0">
        <v>82</v>
      </c>
      <c r="AU625" t="s" s="0">
        <v>8400</v>
      </c>
      <c r="AV625" t="s" s="0">
        <v>82</v>
      </c>
      <c r="AW625" t="s" s="0">
        <v>8401</v>
      </c>
      <c r="AX625" t="s" s="0">
        <v>8402</v>
      </c>
      <c r="AY625" t="s" s="0">
        <v>14528</v>
      </c>
      <c r="AZ625" t="s" s="0">
        <v>181</v>
      </c>
      <c r="BA625" t="s" s="0">
        <v>353</v>
      </c>
      <c r="BB625" t="s" s="0">
        <v>77</v>
      </c>
      <c r="BC625" t="s" s="0">
        <v>82</v>
      </c>
      <c r="BD625" t="s" s="0">
        <v>82</v>
      </c>
      <c r="BE625" t="s" s="0">
        <v>82</v>
      </c>
      <c r="BF625" t="s" s="0">
        <v>82</v>
      </c>
      <c r="BG625" t="s" s="0">
        <v>82</v>
      </c>
      <c r="BH625" t="s" s="0">
        <v>82</v>
      </c>
      <c r="BI625" t="s" s="0">
        <v>14529</v>
      </c>
      <c r="BJ625" t="s" s="0">
        <v>14530</v>
      </c>
      <c r="BK625" t="s" s="1243">
        <f>HYPERLINK("http://dx.doi.org/10.1186/s12911-026-03616-9","http://dx.doi.org/10.1186/s12911-026-03616-9")</f>
        <v>14531</v>
      </c>
      <c r="BL625" t="s" s="0">
        <v>82</v>
      </c>
      <c r="BM625" t="s" s="0">
        <v>82</v>
      </c>
      <c r="BN625" t="s" s="0">
        <v>173</v>
      </c>
      <c r="BO625" t="s" s="0">
        <v>1815</v>
      </c>
      <c r="BP625" t="s" s="0">
        <v>1815</v>
      </c>
      <c r="BQ625" t="s" s="0">
        <v>14532</v>
      </c>
      <c r="BR625" t="s" s="0">
        <v>14533</v>
      </c>
      <c r="BS625" t="s" s="0">
        <v>14534</v>
      </c>
      <c r="BT625" t="s" s="1244">
        <f>HYPERLINK("https://www.webofscience.com/wos/woscc/full-record/WOS:001846135800001","View Record in Web of Science")</f>
        <v>120</v>
      </c>
      <c r="BU625" t="s" s="0">
        <v>1008</v>
      </c>
      <c r="BV625" t="s" s="0">
        <v>82</v>
      </c>
      <c r="BW625" t="s" s="0">
        <v>82</v>
      </c>
      <c r="BX625" t="s" s="0">
        <v>122</v>
      </c>
    </row>
    <row r="626">
      <c r="A626" t="s" s="0">
        <v>78</v>
      </c>
      <c r="B626" t="s" s="0">
        <v>78</v>
      </c>
      <c r="C626" t="s" s="0">
        <v>78</v>
      </c>
      <c r="D626" t="s" s="0">
        <v>78</v>
      </c>
      <c r="E626" t="s" s="0">
        <v>14535</v>
      </c>
      <c r="F626" t="s" s="0">
        <v>14536</v>
      </c>
      <c r="G626" t="s" s="0">
        <v>14537</v>
      </c>
      <c r="H626" t="s" s="0">
        <v>82</v>
      </c>
      <c r="I626" t="s" s="0">
        <v>83</v>
      </c>
      <c r="J626" t="s" s="0">
        <v>14538</v>
      </c>
      <c r="K626" t="s" s="0">
        <v>14539</v>
      </c>
      <c r="L626" t="s" s="0">
        <v>82</v>
      </c>
      <c r="M626" t="s" s="0">
        <v>82</v>
      </c>
      <c r="N626" t="s" s="0">
        <v>82</v>
      </c>
      <c r="O626" t="s" s="0">
        <v>14540</v>
      </c>
      <c r="P626" t="s" s="0">
        <v>14541</v>
      </c>
      <c r="Q626" t="s" s="0">
        <v>91</v>
      </c>
      <c r="R626" t="s" s="0">
        <v>82</v>
      </c>
      <c r="S626" t="s" s="0">
        <v>14542</v>
      </c>
      <c r="T626" t="s" s="0">
        <v>82</v>
      </c>
      <c r="U626" t="s" s="0">
        <v>82</v>
      </c>
      <c r="V626" t="s" s="0">
        <v>14543</v>
      </c>
      <c r="W626" t="s" s="0">
        <v>14544</v>
      </c>
      <c r="X626" t="s" s="0">
        <v>82</v>
      </c>
      <c r="Y626" t="s" s="0">
        <v>82</v>
      </c>
      <c r="Z626" t="s" s="0">
        <v>94</v>
      </c>
      <c r="AA626" t="s" s="0">
        <v>95</v>
      </c>
      <c r="AB626" t="s" s="0">
        <v>82</v>
      </c>
      <c r="AC626" t="s" s="0">
        <v>82</v>
      </c>
      <c r="AD626" t="s" s="0">
        <v>82</v>
      </c>
      <c r="AE626" t="s" s="0">
        <v>82</v>
      </c>
      <c r="AF626" t="s" s="0">
        <v>82</v>
      </c>
      <c r="AG626" t="s" s="0">
        <v>82</v>
      </c>
      <c r="AH626" t="s" s="0">
        <v>14545</v>
      </c>
      <c r="AI626" t="s" s="0">
        <v>14546</v>
      </c>
      <c r="AJ626" t="s" s="0">
        <v>14547</v>
      </c>
      <c r="AK626" t="s" s="0">
        <v>82</v>
      </c>
      <c r="AL626" t="s" s="0">
        <v>111</v>
      </c>
      <c r="AM626" t="s" s="0">
        <v>78</v>
      </c>
      <c r="AN626" t="s" s="0">
        <v>78</v>
      </c>
      <c r="AO626" t="s" s="0">
        <v>78</v>
      </c>
      <c r="AP626" t="s" s="0">
        <v>78</v>
      </c>
      <c r="AQ626" t="s" s="0">
        <v>14548</v>
      </c>
      <c r="AR626" t="s" s="0">
        <v>14549</v>
      </c>
      <c r="AS626" t="s" s="0">
        <v>14550</v>
      </c>
      <c r="AT626" t="s" s="0">
        <v>14551</v>
      </c>
      <c r="AU626" t="s" s="0">
        <v>82</v>
      </c>
      <c r="AV626" t="s" s="0">
        <v>82</v>
      </c>
      <c r="AW626" t="s" s="0">
        <v>14552</v>
      </c>
      <c r="AX626" t="s" s="0">
        <v>14553</v>
      </c>
      <c r="AY626" t="s" s="0">
        <v>4032</v>
      </c>
      <c r="AZ626" t="s" s="0">
        <v>110</v>
      </c>
      <c r="BA626" t="s" s="0">
        <v>5505</v>
      </c>
      <c r="BB626" t="s" s="0">
        <v>101</v>
      </c>
      <c r="BC626" t="s" s="0">
        <v>82</v>
      </c>
      <c r="BD626" t="s" s="0">
        <v>82</v>
      </c>
      <c r="BE626" t="s" s="0">
        <v>82</v>
      </c>
      <c r="BF626" t="s" s="0">
        <v>82</v>
      </c>
      <c r="BG626" t="s" s="0">
        <v>14554</v>
      </c>
      <c r="BH626" t="s" s="0">
        <v>8782</v>
      </c>
      <c r="BI626" t="s" s="0">
        <v>82</v>
      </c>
      <c r="BJ626" t="s" s="0">
        <v>14555</v>
      </c>
      <c r="BK626" t="s" s="1245">
        <f>HYPERLINK("http://dx.doi.org/10.52628/90.3.12636","http://dx.doi.org/10.52628/90.3.12636")</f>
        <v>14556</v>
      </c>
      <c r="BL626" t="s" s="0">
        <v>82</v>
      </c>
      <c r="BM626" t="s" s="0">
        <v>82</v>
      </c>
      <c r="BN626" t="s" s="0">
        <v>319</v>
      </c>
      <c r="BO626" t="s" s="0">
        <v>2964</v>
      </c>
      <c r="BP626" t="s" s="0">
        <v>2964</v>
      </c>
      <c r="BQ626" t="s" s="0">
        <v>14557</v>
      </c>
      <c r="BR626" t="s" s="0">
        <v>14558</v>
      </c>
      <c r="BS626" t="s" s="0">
        <v>14559</v>
      </c>
      <c r="BT626" t="s" s="1246">
        <f>HYPERLINK("https://www.webofscience.com/wos/woscc/full-record/WOS:001421064000016","View Record in Web of Science")</f>
        <v>120</v>
      </c>
      <c r="BU626" t="s" s="0">
        <v>14560</v>
      </c>
      <c r="BV626" t="s" s="0">
        <v>82</v>
      </c>
      <c r="BW626" t="s" s="0">
        <v>82</v>
      </c>
      <c r="BX626" t="s" s="0">
        <v>122</v>
      </c>
    </row>
    <row r="627">
      <c r="A627" t="s" s="0">
        <v>78</v>
      </c>
      <c r="B627" t="s" s="0">
        <v>78</v>
      </c>
      <c r="C627" t="s" s="0">
        <v>78</v>
      </c>
      <c r="D627" t="s" s="0">
        <v>78</v>
      </c>
      <c r="E627" t="s" s="0">
        <v>14561</v>
      </c>
      <c r="F627" t="s" s="0">
        <v>14562</v>
      </c>
      <c r="G627" t="s" s="0">
        <v>14563</v>
      </c>
      <c r="H627" t="s" s="0">
        <v>82</v>
      </c>
      <c r="I627" t="s" s="0">
        <v>83</v>
      </c>
      <c r="J627" t="s" s="0">
        <v>14564</v>
      </c>
      <c r="K627" t="s" s="0">
        <v>14565</v>
      </c>
      <c r="L627" t="s" s="0">
        <v>14566</v>
      </c>
      <c r="M627" t="s" s="0">
        <v>14567</v>
      </c>
      <c r="N627" t="s" s="0">
        <v>14568</v>
      </c>
      <c r="O627" t="s" s="0">
        <v>14569</v>
      </c>
      <c r="P627" t="s" s="0">
        <v>14570</v>
      </c>
      <c r="Q627" t="s" s="0">
        <v>91</v>
      </c>
      <c r="R627" t="s" s="0">
        <v>82</v>
      </c>
      <c r="S627" t="s" s="0">
        <v>82</v>
      </c>
      <c r="T627" t="s" s="0">
        <v>82</v>
      </c>
      <c r="U627" t="s" s="0">
        <v>82</v>
      </c>
      <c r="V627" t="s" s="0">
        <v>14571</v>
      </c>
      <c r="W627" t="s" s="0">
        <v>14572</v>
      </c>
      <c r="X627" t="s" s="0">
        <v>82</v>
      </c>
      <c r="Y627" t="s" s="0">
        <v>82</v>
      </c>
      <c r="Z627" t="s" s="0">
        <v>94</v>
      </c>
      <c r="AA627" t="s" s="0">
        <v>95</v>
      </c>
      <c r="AB627" t="s" s="0">
        <v>82</v>
      </c>
      <c r="AC627" t="s" s="0">
        <v>82</v>
      </c>
      <c r="AD627" t="s" s="0">
        <v>82</v>
      </c>
      <c r="AE627" t="s" s="0">
        <v>82</v>
      </c>
      <c r="AF627" t="s" s="0">
        <v>82</v>
      </c>
      <c r="AG627" t="s" s="0">
        <v>14573</v>
      </c>
      <c r="AH627" t="s" s="0">
        <v>82</v>
      </c>
      <c r="AI627" t="s" s="0">
        <v>14574</v>
      </c>
      <c r="AJ627" t="s" s="0">
        <v>14575</v>
      </c>
      <c r="AK627" t="s" s="0">
        <v>82</v>
      </c>
      <c r="AL627" t="s" s="0">
        <v>399</v>
      </c>
      <c r="AM627" t="s" s="0">
        <v>77</v>
      </c>
      <c r="AN627" t="s" s="0">
        <v>77</v>
      </c>
      <c r="AO627" t="s" s="0">
        <v>78</v>
      </c>
      <c r="AP627" t="s" s="0">
        <v>78</v>
      </c>
      <c r="AQ627" t="s" s="0">
        <v>174</v>
      </c>
      <c r="AR627" t="s" s="0">
        <v>175</v>
      </c>
      <c r="AS627" t="s" s="0">
        <v>176</v>
      </c>
      <c r="AT627" t="s" s="0">
        <v>14576</v>
      </c>
      <c r="AU627" t="s" s="0">
        <v>14577</v>
      </c>
      <c r="AV627" t="s" s="0">
        <v>82</v>
      </c>
      <c r="AW627" t="s" s="0">
        <v>14578</v>
      </c>
      <c r="AX627" t="s" s="0">
        <v>14579</v>
      </c>
      <c r="AY627" t="s" s="0">
        <v>1365</v>
      </c>
      <c r="AZ627" t="s" s="0">
        <v>181</v>
      </c>
      <c r="BA627" t="s" s="0">
        <v>1869</v>
      </c>
      <c r="BB627" t="s" s="0">
        <v>102</v>
      </c>
      <c r="BC627" t="s" s="0">
        <v>82</v>
      </c>
      <c r="BD627" t="s" s="0">
        <v>82</v>
      </c>
      <c r="BE627" t="s" s="0">
        <v>82</v>
      </c>
      <c r="BF627" t="s" s="0">
        <v>82</v>
      </c>
      <c r="BG627" t="s" s="0">
        <v>14580</v>
      </c>
      <c r="BH627" t="s" s="0">
        <v>6651</v>
      </c>
      <c r="BI627" t="s" s="0">
        <v>82</v>
      </c>
      <c r="BJ627" t="s" s="0">
        <v>14581</v>
      </c>
      <c r="BK627" t="s" s="1247">
        <f>HYPERLINK("http://dx.doi.org/10.1002/jmri.70200","http://dx.doi.org/10.1002/jmri.70200")</f>
        <v>14582</v>
      </c>
      <c r="BL627" t="s" s="0">
        <v>82</v>
      </c>
      <c r="BM627" t="s" s="0">
        <v>146</v>
      </c>
      <c r="BN627" t="s" s="0">
        <v>149</v>
      </c>
      <c r="BO627" t="s" s="0">
        <v>414</v>
      </c>
      <c r="BP627" t="s" s="0">
        <v>414</v>
      </c>
      <c r="BQ627" t="s" s="0">
        <v>14583</v>
      </c>
      <c r="BR627" t="s" s="0">
        <v>14584</v>
      </c>
      <c r="BS627" t="s" s="0">
        <v>14585</v>
      </c>
      <c r="BT627" t="s" s="1248">
        <f>HYPERLINK("https://www.webofscience.com/wos/woscc/full-record/WOS:001631937800001","View Record in Web of Science")</f>
        <v>120</v>
      </c>
      <c r="BU627" t="s" s="0">
        <v>82</v>
      </c>
      <c r="BV627" t="s" s="0">
        <v>82</v>
      </c>
      <c r="BW627" t="s" s="0">
        <v>82</v>
      </c>
      <c r="BX627" t="s" s="0">
        <v>122</v>
      </c>
    </row>
    <row r="628">
      <c r="A628" t="s" s="0">
        <v>77</v>
      </c>
      <c r="B628" t="s" s="0">
        <v>78</v>
      </c>
      <c r="C628" t="s" s="0">
        <v>78</v>
      </c>
      <c r="D628" t="s" s="0">
        <v>77</v>
      </c>
      <c r="E628" t="s" s="0">
        <v>14586</v>
      </c>
      <c r="F628" t="s" s="0">
        <v>14587</v>
      </c>
      <c r="G628" t="s" s="0">
        <v>14588</v>
      </c>
      <c r="H628" t="s" s="0">
        <v>82</v>
      </c>
      <c r="I628" t="s" s="0">
        <v>83</v>
      </c>
      <c r="J628" t="s" s="0">
        <v>14589</v>
      </c>
      <c r="K628" t="s" s="0">
        <v>14590</v>
      </c>
      <c r="L628" t="s" s="0">
        <v>14591</v>
      </c>
      <c r="M628" t="s" s="0">
        <v>14592</v>
      </c>
      <c r="N628" t="s" s="0">
        <v>14593</v>
      </c>
      <c r="O628" t="s" s="0">
        <v>14594</v>
      </c>
      <c r="P628" t="s" s="0">
        <v>14595</v>
      </c>
      <c r="Q628" t="s" s="0">
        <v>91</v>
      </c>
      <c r="R628" t="s" s="0">
        <v>82</v>
      </c>
      <c r="S628" t="s" s="0">
        <v>82</v>
      </c>
      <c r="T628" t="s" s="0">
        <v>82</v>
      </c>
      <c r="U628" t="s" s="0">
        <v>82</v>
      </c>
      <c r="V628" t="s" s="0">
        <v>14596</v>
      </c>
      <c r="W628" t="s" s="0">
        <v>13048</v>
      </c>
      <c r="X628" t="s" s="0">
        <v>82</v>
      </c>
      <c r="Y628" t="s" s="0">
        <v>82</v>
      </c>
      <c r="Z628" t="s" s="0">
        <v>94</v>
      </c>
      <c r="AA628" t="s" s="0">
        <v>95</v>
      </c>
      <c r="AB628" t="s" s="0">
        <v>82</v>
      </c>
      <c r="AC628" t="s" s="0">
        <v>82</v>
      </c>
      <c r="AD628" t="s" s="0">
        <v>82</v>
      </c>
      <c r="AE628" t="s" s="0">
        <v>82</v>
      </c>
      <c r="AF628" t="s" s="0">
        <v>82</v>
      </c>
      <c r="AG628" t="s" s="0">
        <v>14597</v>
      </c>
      <c r="AH628" t="s" s="0">
        <v>14598</v>
      </c>
      <c r="AI628" t="s" s="0">
        <v>14599</v>
      </c>
      <c r="AJ628" t="s" s="0">
        <v>14600</v>
      </c>
      <c r="AK628" t="s" s="0">
        <v>82</v>
      </c>
      <c r="AL628" t="s" s="0">
        <v>828</v>
      </c>
      <c r="AM628" t="s" s="0">
        <v>319</v>
      </c>
      <c r="AN628" t="s" s="0">
        <v>149</v>
      </c>
      <c r="AO628" t="s" s="0">
        <v>77</v>
      </c>
      <c r="AP628" t="s" s="0">
        <v>136</v>
      </c>
      <c r="AQ628" t="s" s="0">
        <v>2051</v>
      </c>
      <c r="AR628" t="s" s="0">
        <v>203</v>
      </c>
      <c r="AS628" t="s" s="0">
        <v>2052</v>
      </c>
      <c r="AT628" t="s" s="0">
        <v>13053</v>
      </c>
      <c r="AU628" t="s" s="0">
        <v>13054</v>
      </c>
      <c r="AV628" t="s" s="0">
        <v>82</v>
      </c>
      <c r="AW628" t="s" s="0">
        <v>13055</v>
      </c>
      <c r="AX628" t="s" s="0">
        <v>13056</v>
      </c>
      <c r="AY628" t="s" s="0">
        <v>552</v>
      </c>
      <c r="AZ628" t="s" s="0">
        <v>210</v>
      </c>
      <c r="BA628" t="s" s="0">
        <v>7293</v>
      </c>
      <c r="BB628" t="s" s="0">
        <v>239</v>
      </c>
      <c r="BC628" t="s" s="0">
        <v>82</v>
      </c>
      <c r="BD628" t="s" s="0">
        <v>82</v>
      </c>
      <c r="BE628" t="s" s="0">
        <v>82</v>
      </c>
      <c r="BF628" t="s" s="0">
        <v>82</v>
      </c>
      <c r="BG628" t="s" s="0">
        <v>14601</v>
      </c>
      <c r="BH628" t="s" s="0">
        <v>14602</v>
      </c>
      <c r="BI628" t="s" s="0">
        <v>82</v>
      </c>
      <c r="BJ628" t="s" s="0">
        <v>14603</v>
      </c>
      <c r="BK628" t="s" s="1249">
        <f>HYPERLINK("http://dx.doi.org/10.1007/s00432-023-05339-0","http://dx.doi.org/10.1007/s00432-023-05339-0")</f>
        <v>14604</v>
      </c>
      <c r="BL628" t="s" s="0">
        <v>82</v>
      </c>
      <c r="BM628" t="s" s="0">
        <v>804</v>
      </c>
      <c r="BN628" t="s" s="0">
        <v>149</v>
      </c>
      <c r="BO628" t="s" s="0">
        <v>4833</v>
      </c>
      <c r="BP628" t="s" s="0">
        <v>4833</v>
      </c>
      <c r="BQ628" t="s" s="0">
        <v>14605</v>
      </c>
      <c r="BR628" t="s" s="0">
        <v>14606</v>
      </c>
      <c r="BS628" t="s" s="0">
        <v>14607</v>
      </c>
      <c r="BT628" t="s" s="1250">
        <f>HYPERLINK("https://www.webofscience.com/wos/woscc/full-record/WOS:001062847400005","View Record in Web of Science")</f>
        <v>120</v>
      </c>
      <c r="BU628" t="s" s="0">
        <v>256</v>
      </c>
      <c r="BV628" t="s" s="0">
        <v>82</v>
      </c>
      <c r="BW628" t="s" s="0">
        <v>82</v>
      </c>
      <c r="BX628" t="s" s="0">
        <v>122</v>
      </c>
    </row>
    <row r="629">
      <c r="A629" t="s" s="0">
        <v>78</v>
      </c>
      <c r="B629" t="s" s="0">
        <v>78</v>
      </c>
      <c r="C629" t="s" s="0">
        <v>78</v>
      </c>
      <c r="D629" t="s" s="0">
        <v>78</v>
      </c>
      <c r="E629" t="s" s="0">
        <v>14608</v>
      </c>
      <c r="F629" t="s" s="0">
        <v>14609</v>
      </c>
      <c r="G629" t="s" s="0">
        <v>14610</v>
      </c>
      <c r="H629" t="s" s="0">
        <v>82</v>
      </c>
      <c r="I629" t="s" s="0">
        <v>83</v>
      </c>
      <c r="J629" t="s" s="0">
        <v>14611</v>
      </c>
      <c r="K629" t="s" s="0">
        <v>14612</v>
      </c>
      <c r="L629" t="s" s="0">
        <v>82</v>
      </c>
      <c r="M629" t="s" s="0">
        <v>82</v>
      </c>
      <c r="N629" t="s" s="0">
        <v>82</v>
      </c>
      <c r="O629" t="s" s="0">
        <v>14613</v>
      </c>
      <c r="P629" t="s" s="0">
        <v>14614</v>
      </c>
      <c r="Q629" t="s" s="0">
        <v>91</v>
      </c>
      <c r="R629" t="s" s="0">
        <v>82</v>
      </c>
      <c r="S629" t="s" s="0">
        <v>82</v>
      </c>
      <c r="T629" t="s" s="0">
        <v>82</v>
      </c>
      <c r="U629" t="s" s="0">
        <v>82</v>
      </c>
      <c r="V629" t="s" s="0">
        <v>14615</v>
      </c>
      <c r="W629" t="s" s="0">
        <v>14616</v>
      </c>
      <c r="X629" t="s" s="0">
        <v>82</v>
      </c>
      <c r="Y629" t="s" s="0">
        <v>82</v>
      </c>
      <c r="Z629" t="s" s="0">
        <v>94</v>
      </c>
      <c r="AA629" t="s" s="0">
        <v>95</v>
      </c>
      <c r="AB629" t="s" s="0">
        <v>82</v>
      </c>
      <c r="AC629" t="s" s="0">
        <v>82</v>
      </c>
      <c r="AD629" t="s" s="0">
        <v>82</v>
      </c>
      <c r="AE629" t="s" s="0">
        <v>82</v>
      </c>
      <c r="AF629" t="s" s="0">
        <v>82</v>
      </c>
      <c r="AG629" t="s" s="0">
        <v>14617</v>
      </c>
      <c r="AH629" t="s" s="0">
        <v>14618</v>
      </c>
      <c r="AI629" t="s" s="0">
        <v>82</v>
      </c>
      <c r="AJ629" t="s" s="0">
        <v>82</v>
      </c>
      <c r="AK629" t="s" s="0">
        <v>82</v>
      </c>
      <c r="AL629" t="s" s="0">
        <v>353</v>
      </c>
      <c r="AM629" t="s" s="0">
        <v>78</v>
      </c>
      <c r="AN629" t="s" s="0">
        <v>78</v>
      </c>
      <c r="AO629" t="s" s="0">
        <v>78</v>
      </c>
      <c r="AP629" t="s" s="0">
        <v>78</v>
      </c>
      <c r="AQ629" t="s" s="0">
        <v>103</v>
      </c>
      <c r="AR629" t="s" s="0">
        <v>104</v>
      </c>
      <c r="AS629" t="s" s="0">
        <v>105</v>
      </c>
      <c r="AT629" t="s" s="0">
        <v>14619</v>
      </c>
      <c r="AU629" t="s" s="0">
        <v>14620</v>
      </c>
      <c r="AV629" t="s" s="0">
        <v>82</v>
      </c>
      <c r="AW629" t="s" s="0">
        <v>14616</v>
      </c>
      <c r="AX629" t="s" s="0">
        <v>14621</v>
      </c>
      <c r="AY629" t="s" s="0">
        <v>14622</v>
      </c>
      <c r="AZ629" t="s" s="0">
        <v>181</v>
      </c>
      <c r="BA629" t="s" s="0">
        <v>353</v>
      </c>
      <c r="BB629" t="s" s="0">
        <v>77</v>
      </c>
      <c r="BC629" t="s" s="0">
        <v>82</v>
      </c>
      <c r="BD629" t="s" s="0">
        <v>82</v>
      </c>
      <c r="BE629" t="s" s="0">
        <v>82</v>
      </c>
      <c r="BF629" t="s" s="0">
        <v>82</v>
      </c>
      <c r="BG629" t="s" s="0">
        <v>82</v>
      </c>
      <c r="BH629" t="s" s="0">
        <v>82</v>
      </c>
      <c r="BI629" t="s" s="0">
        <v>14623</v>
      </c>
      <c r="BJ629" t="s" s="0">
        <v>14624</v>
      </c>
      <c r="BK629" t="s" s="1251">
        <f>HYPERLINK("http://dx.doi.org/10.1186/s40644-026-01090-0","http://dx.doi.org/10.1186/s40644-026-01090-0")</f>
        <v>14625</v>
      </c>
      <c r="BL629" t="s" s="0">
        <v>82</v>
      </c>
      <c r="BM629" t="s" s="0">
        <v>82</v>
      </c>
      <c r="BN629" t="s" s="0">
        <v>149</v>
      </c>
      <c r="BO629" t="s" s="0">
        <v>2164</v>
      </c>
      <c r="BP629" t="s" s="0">
        <v>2164</v>
      </c>
      <c r="BQ629" t="s" s="0">
        <v>14626</v>
      </c>
      <c r="BR629" t="s" s="0">
        <v>14627</v>
      </c>
      <c r="BS629" t="s" s="0">
        <v>14628</v>
      </c>
      <c r="BT629" t="s" s="1252">
        <f>HYPERLINK("https://www.webofscience.com/wos/woscc/full-record/WOS:001853682400001","View Record in Web of Science")</f>
        <v>120</v>
      </c>
      <c r="BU629" t="s" s="0">
        <v>121</v>
      </c>
      <c r="BV629" t="s" s="0">
        <v>82</v>
      </c>
      <c r="BW629" t="s" s="0">
        <v>82</v>
      </c>
      <c r="BX629" t="s" s="0">
        <v>122</v>
      </c>
    </row>
    <row r="630">
      <c r="A630" t="s" s="0">
        <v>78</v>
      </c>
      <c r="B630" t="s" s="0">
        <v>78</v>
      </c>
      <c r="C630" t="s" s="0">
        <v>77</v>
      </c>
      <c r="D630" t="s" s="0">
        <v>78</v>
      </c>
      <c r="E630" t="s" s="0">
        <v>14629</v>
      </c>
      <c r="F630" t="s" s="0">
        <v>14630</v>
      </c>
      <c r="G630" t="s" s="0">
        <v>14631</v>
      </c>
      <c r="H630" t="s" s="0">
        <v>82</v>
      </c>
      <c r="I630" t="s" s="0">
        <v>83</v>
      </c>
      <c r="J630" t="s" s="0">
        <v>14632</v>
      </c>
      <c r="K630" t="s" s="0">
        <v>14633</v>
      </c>
      <c r="L630" t="s" s="0">
        <v>14634</v>
      </c>
      <c r="M630" t="s" s="0">
        <v>14635</v>
      </c>
      <c r="N630" t="s" s="0">
        <v>14636</v>
      </c>
      <c r="O630" t="s" s="0">
        <v>14637</v>
      </c>
      <c r="P630" t="s" s="0">
        <v>14638</v>
      </c>
      <c r="Q630" t="s" s="0">
        <v>91</v>
      </c>
      <c r="R630" t="s" s="0">
        <v>82</v>
      </c>
      <c r="S630" t="s" s="0">
        <v>82</v>
      </c>
      <c r="T630" t="s" s="0">
        <v>82</v>
      </c>
      <c r="U630" t="s" s="0">
        <v>82</v>
      </c>
      <c r="V630" t="s" s="0">
        <v>14639</v>
      </c>
      <c r="W630" t="s" s="0">
        <v>14640</v>
      </c>
      <c r="X630" t="s" s="0">
        <v>82</v>
      </c>
      <c r="Y630" t="s" s="0">
        <v>82</v>
      </c>
      <c r="Z630" t="s" s="0">
        <v>94</v>
      </c>
      <c r="AA630" t="s" s="0">
        <v>95</v>
      </c>
      <c r="AB630" t="s" s="0">
        <v>82</v>
      </c>
      <c r="AC630" t="s" s="0">
        <v>82</v>
      </c>
      <c r="AD630" t="s" s="0">
        <v>82</v>
      </c>
      <c r="AE630" t="s" s="0">
        <v>82</v>
      </c>
      <c r="AF630" t="s" s="0">
        <v>82</v>
      </c>
      <c r="AG630" t="s" s="0">
        <v>14641</v>
      </c>
      <c r="AH630" t="s" s="0">
        <v>14642</v>
      </c>
      <c r="AI630" t="s" s="0">
        <v>14643</v>
      </c>
      <c r="AJ630" t="s" s="0">
        <v>14644</v>
      </c>
      <c r="AK630" t="s" s="0">
        <v>82</v>
      </c>
      <c r="AL630" t="s" s="0">
        <v>4998</v>
      </c>
      <c r="AM630" t="s" s="0">
        <v>319</v>
      </c>
      <c r="AN630" t="s" s="0">
        <v>319</v>
      </c>
      <c r="AO630" t="s" s="0">
        <v>78</v>
      </c>
      <c r="AP630" t="s" s="0">
        <v>149</v>
      </c>
      <c r="AQ630" t="s" s="0">
        <v>14645</v>
      </c>
      <c r="AR630" t="s" s="0">
        <v>1711</v>
      </c>
      <c r="AS630" t="s" s="0">
        <v>14646</v>
      </c>
      <c r="AT630" t="s" s="0">
        <v>14647</v>
      </c>
      <c r="AU630" t="s" s="0">
        <v>14648</v>
      </c>
      <c r="AV630" t="s" s="0">
        <v>82</v>
      </c>
      <c r="AW630" t="s" s="0">
        <v>14649</v>
      </c>
      <c r="AX630" t="s" s="0">
        <v>14650</v>
      </c>
      <c r="AY630" t="s" s="0">
        <v>14651</v>
      </c>
      <c r="AZ630" t="s" s="0">
        <v>110</v>
      </c>
      <c r="BA630" t="s" s="0">
        <v>4998</v>
      </c>
      <c r="BB630" t="s" s="0">
        <v>136</v>
      </c>
      <c r="BC630" t="s" s="0">
        <v>82</v>
      </c>
      <c r="BD630" t="s" s="0">
        <v>82</v>
      </c>
      <c r="BE630" t="s" s="0">
        <v>82</v>
      </c>
      <c r="BF630" t="s" s="0">
        <v>82</v>
      </c>
      <c r="BG630" t="s" s="0">
        <v>82</v>
      </c>
      <c r="BH630" t="s" s="0">
        <v>82</v>
      </c>
      <c r="BI630" t="s" s="0">
        <v>82</v>
      </c>
      <c r="BJ630" t="s" s="0">
        <v>14652</v>
      </c>
      <c r="BK630" t="s" s="1253">
        <f>HYPERLINK("http://dx.doi.org/10.3899/jrheum.2024-0074","http://dx.doi.org/10.3899/jrheum.2024-0074")</f>
        <v>14653</v>
      </c>
      <c r="BL630" t="s" s="0">
        <v>82</v>
      </c>
      <c r="BM630" t="s" s="0">
        <v>82</v>
      </c>
      <c r="BN630" t="s" s="0">
        <v>319</v>
      </c>
      <c r="BO630" t="s" s="0">
        <v>5210</v>
      </c>
      <c r="BP630" t="s" s="0">
        <v>5210</v>
      </c>
      <c r="BQ630" t="s" s="0">
        <v>14654</v>
      </c>
      <c r="BR630" t="s" s="0">
        <v>14655</v>
      </c>
      <c r="BS630" t="s" s="0">
        <v>14656</v>
      </c>
      <c r="BT630" t="s" s="1254">
        <f>HYPERLINK("https://www.webofscience.com/wos/woscc/full-record/WOS:001317303100004","View Record in Web of Science")</f>
        <v>120</v>
      </c>
      <c r="BU630" t="s" s="0">
        <v>2333</v>
      </c>
      <c r="BV630" t="s" s="0">
        <v>82</v>
      </c>
      <c r="BW630" t="s" s="0">
        <v>82</v>
      </c>
      <c r="BX630" t="s" s="0">
        <v>122</v>
      </c>
    </row>
    <row r="631">
      <c r="A631" t="s" s="0">
        <v>77</v>
      </c>
      <c r="B631" t="s" s="0">
        <v>78</v>
      </c>
      <c r="C631" t="s" s="0">
        <v>349</v>
      </c>
      <c r="D631" t="s" s="0">
        <v>78</v>
      </c>
      <c r="E631" t="s" s="0">
        <v>14657</v>
      </c>
      <c r="F631" t="s" s="0">
        <v>14658</v>
      </c>
      <c r="G631" t="s" s="0">
        <v>14659</v>
      </c>
      <c r="H631" t="s" s="0">
        <v>82</v>
      </c>
      <c r="I631" t="s" s="0">
        <v>83</v>
      </c>
      <c r="J631" t="s" s="0">
        <v>14660</v>
      </c>
      <c r="K631" t="s" s="0">
        <v>14661</v>
      </c>
      <c r="L631" t="s" s="0">
        <v>14662</v>
      </c>
      <c r="M631" t="s" s="0">
        <v>14663</v>
      </c>
      <c r="N631" t="s" s="0">
        <v>14664</v>
      </c>
      <c r="O631" t="s" s="0">
        <v>14665</v>
      </c>
      <c r="P631" t="s" s="0">
        <v>8346</v>
      </c>
      <c r="Q631" t="s" s="0">
        <v>91</v>
      </c>
      <c r="R631" t="s" s="0">
        <v>82</v>
      </c>
      <c r="S631" t="s" s="0">
        <v>82</v>
      </c>
      <c r="T631" t="s" s="0">
        <v>82</v>
      </c>
      <c r="U631" t="s" s="0">
        <v>82</v>
      </c>
      <c r="V631" t="s" s="0">
        <v>14666</v>
      </c>
      <c r="W631" t="s" s="0">
        <v>4358</v>
      </c>
      <c r="X631" t="s" s="0">
        <v>82</v>
      </c>
      <c r="Y631" t="s" s="0">
        <v>82</v>
      </c>
      <c r="Z631" t="s" s="0">
        <v>94</v>
      </c>
      <c r="AA631" t="s" s="0">
        <v>95</v>
      </c>
      <c r="AB631" t="s" s="0">
        <v>82</v>
      </c>
      <c r="AC631" t="s" s="0">
        <v>82</v>
      </c>
      <c r="AD631" t="s" s="0">
        <v>82</v>
      </c>
      <c r="AE631" t="s" s="0">
        <v>82</v>
      </c>
      <c r="AF631" t="s" s="0">
        <v>82</v>
      </c>
      <c r="AG631" t="s" s="0">
        <v>14667</v>
      </c>
      <c r="AH631" t="s" s="0">
        <v>14668</v>
      </c>
      <c r="AI631" t="s" s="0">
        <v>14669</v>
      </c>
      <c r="AJ631" t="s" s="0">
        <v>14670</v>
      </c>
      <c r="AK631" t="s" s="0">
        <v>82</v>
      </c>
      <c r="AL631" t="s" s="0">
        <v>745</v>
      </c>
      <c r="AM631" t="s" s="0">
        <v>632</v>
      </c>
      <c r="AN631" t="s" s="0">
        <v>1658</v>
      </c>
      <c r="AO631" t="s" s="0">
        <v>136</v>
      </c>
      <c r="AP631" t="s" s="0">
        <v>1502</v>
      </c>
      <c r="AQ631" t="s" s="0">
        <v>1710</v>
      </c>
      <c r="AR631" t="s" s="0">
        <v>1711</v>
      </c>
      <c r="AS631" t="s" s="0">
        <v>1712</v>
      </c>
      <c r="AT631" t="s" s="0">
        <v>4363</v>
      </c>
      <c r="AU631" t="s" s="0">
        <v>82</v>
      </c>
      <c r="AV631" t="s" s="0">
        <v>82</v>
      </c>
      <c r="AW631" t="s" s="0">
        <v>4364</v>
      </c>
      <c r="AX631" t="s" s="0">
        <v>4365</v>
      </c>
      <c r="AY631" t="s" s="0">
        <v>14671</v>
      </c>
      <c r="AZ631" t="s" s="0">
        <v>147</v>
      </c>
      <c r="BA631" t="s" s="0">
        <v>1780</v>
      </c>
      <c r="BB631" t="s" s="0">
        <v>82</v>
      </c>
      <c r="BC631" t="s" s="0">
        <v>82</v>
      </c>
      <c r="BD631" t="s" s="0">
        <v>82</v>
      </c>
      <c r="BE631" t="s" s="0">
        <v>82</v>
      </c>
      <c r="BF631" t="s" s="0">
        <v>82</v>
      </c>
      <c r="BG631" t="s" s="0">
        <v>82</v>
      </c>
      <c r="BH631" t="s" s="0">
        <v>82</v>
      </c>
      <c r="BI631" t="s" s="0">
        <v>14672</v>
      </c>
      <c r="BJ631" t="s" s="0">
        <v>14673</v>
      </c>
      <c r="BK631" t="s" s="1255">
        <f>HYPERLINK("http://dx.doi.org/10.2196/55046","http://dx.doi.org/10.2196/55046")</f>
        <v>14674</v>
      </c>
      <c r="BL631" t="s" s="0">
        <v>82</v>
      </c>
      <c r="BM631" t="s" s="0">
        <v>82</v>
      </c>
      <c r="BN631" t="s" s="0">
        <v>115</v>
      </c>
      <c r="BO631" t="s" s="0">
        <v>785</v>
      </c>
      <c r="BP631" t="s" s="0">
        <v>785</v>
      </c>
      <c r="BQ631" t="s" s="0">
        <v>14675</v>
      </c>
      <c r="BR631" t="s" s="0">
        <v>14676</v>
      </c>
      <c r="BS631" t="s" s="0">
        <v>14677</v>
      </c>
      <c r="BT631" t="s" s="1256">
        <f>HYPERLINK("https://www.webofscience.com/wos/woscc/full-record/WOS:001411097200005","View Record in Web of Science")</f>
        <v>120</v>
      </c>
      <c r="BU631" t="s" s="0">
        <v>121</v>
      </c>
      <c r="BV631" t="s" s="0">
        <v>4390</v>
      </c>
      <c r="BW631" t="s" s="0">
        <v>4391</v>
      </c>
      <c r="BX631" t="s" s="0">
        <v>122</v>
      </c>
    </row>
    <row r="632">
      <c r="A632" t="s" s="0">
        <v>78</v>
      </c>
      <c r="B632" t="s" s="0">
        <v>78</v>
      </c>
      <c r="C632" t="s" s="0">
        <v>136</v>
      </c>
      <c r="D632" t="s" s="0">
        <v>78</v>
      </c>
      <c r="E632" t="s" s="0">
        <v>14678</v>
      </c>
      <c r="F632" t="s" s="0">
        <v>14679</v>
      </c>
      <c r="G632" t="s" s="0">
        <v>14680</v>
      </c>
      <c r="H632" t="s" s="0">
        <v>82</v>
      </c>
      <c r="I632" t="s" s="0">
        <v>83</v>
      </c>
      <c r="J632" t="s" s="0">
        <v>14681</v>
      </c>
      <c r="K632" t="s" s="0">
        <v>10779</v>
      </c>
      <c r="L632" t="s" s="0">
        <v>14682</v>
      </c>
      <c r="M632" t="s" s="0">
        <v>14682</v>
      </c>
      <c r="N632" t="s" s="0">
        <v>14683</v>
      </c>
      <c r="O632" t="s" s="0">
        <v>14684</v>
      </c>
      <c r="P632" t="s" s="0">
        <v>14685</v>
      </c>
      <c r="Q632" t="s" s="0">
        <v>91</v>
      </c>
      <c r="R632" t="s" s="0">
        <v>82</v>
      </c>
      <c r="S632" t="s" s="0">
        <v>82</v>
      </c>
      <c r="T632" t="s" s="0">
        <v>82</v>
      </c>
      <c r="U632" t="s" s="0">
        <v>82</v>
      </c>
      <c r="V632" t="s" s="0">
        <v>14686</v>
      </c>
      <c r="W632" t="s" s="0">
        <v>4291</v>
      </c>
      <c r="X632" t="s" s="0">
        <v>82</v>
      </c>
      <c r="Y632" t="s" s="0">
        <v>82</v>
      </c>
      <c r="Z632" t="s" s="0">
        <v>94</v>
      </c>
      <c r="AA632" t="s" s="0">
        <v>95</v>
      </c>
      <c r="AB632" t="s" s="0">
        <v>82</v>
      </c>
      <c r="AC632" t="s" s="0">
        <v>82</v>
      </c>
      <c r="AD632" t="s" s="0">
        <v>82</v>
      </c>
      <c r="AE632" t="s" s="0">
        <v>82</v>
      </c>
      <c r="AF632" t="s" s="0">
        <v>82</v>
      </c>
      <c r="AG632" t="s" s="0">
        <v>82</v>
      </c>
      <c r="AH632" t="s" s="0">
        <v>14687</v>
      </c>
      <c r="AI632" t="s" s="0">
        <v>14688</v>
      </c>
      <c r="AJ632" t="s" s="0">
        <v>14689</v>
      </c>
      <c r="AK632" t="s" s="0">
        <v>82</v>
      </c>
      <c r="AL632" t="s" s="0">
        <v>1091</v>
      </c>
      <c r="AM632" t="s" s="0">
        <v>111</v>
      </c>
      <c r="AN632" t="s" s="0">
        <v>548</v>
      </c>
      <c r="AO632" t="s" s="0">
        <v>77</v>
      </c>
      <c r="AP632" t="s" s="0">
        <v>221</v>
      </c>
      <c r="AQ632" t="s" s="0">
        <v>4295</v>
      </c>
      <c r="AR632" t="s" s="0">
        <v>4296</v>
      </c>
      <c r="AS632" t="s" s="0">
        <v>4297</v>
      </c>
      <c r="AT632" t="s" s="0">
        <v>82</v>
      </c>
      <c r="AU632" t="s" s="0">
        <v>4298</v>
      </c>
      <c r="AV632" t="s" s="0">
        <v>82</v>
      </c>
      <c r="AW632" t="s" s="0">
        <v>4291</v>
      </c>
      <c r="AX632" t="s" s="0">
        <v>4299</v>
      </c>
      <c r="AY632" t="s" s="0">
        <v>14690</v>
      </c>
      <c r="AZ632" t="s" s="0">
        <v>210</v>
      </c>
      <c r="BA632" t="s" s="0">
        <v>154</v>
      </c>
      <c r="BB632" t="s" s="0">
        <v>138</v>
      </c>
      <c r="BC632" t="s" s="0">
        <v>82</v>
      </c>
      <c r="BD632" t="s" s="0">
        <v>82</v>
      </c>
      <c r="BE632" t="s" s="0">
        <v>82</v>
      </c>
      <c r="BF632" t="s" s="0">
        <v>82</v>
      </c>
      <c r="BG632" t="s" s="0">
        <v>82</v>
      </c>
      <c r="BH632" t="s" s="0">
        <v>82</v>
      </c>
      <c r="BI632" t="s" s="0">
        <v>14691</v>
      </c>
      <c r="BJ632" t="s" s="0">
        <v>14692</v>
      </c>
      <c r="BK632" t="s" s="1257">
        <f>HYPERLINK("http://dx.doi.org/10.1371/journal.pone.0287398","http://dx.doi.org/10.1371/journal.pone.0287398")</f>
        <v>14693</v>
      </c>
      <c r="BL632" t="s" s="0">
        <v>82</v>
      </c>
      <c r="BM632" t="s" s="0">
        <v>82</v>
      </c>
      <c r="BN632" t="s" s="0">
        <v>148</v>
      </c>
      <c r="BO632" t="s" s="0">
        <v>644</v>
      </c>
      <c r="BP632" t="s" s="0">
        <v>645</v>
      </c>
      <c r="BQ632" t="s" s="0">
        <v>14694</v>
      </c>
      <c r="BR632" t="s" s="0">
        <v>14695</v>
      </c>
      <c r="BS632" t="s" s="0">
        <v>14696</v>
      </c>
      <c r="BT632" t="s" s="1258">
        <f>HYPERLINK("https://www.webofscience.com/wos/woscc/full-record/WOS:001038263300008","View Record in Web of Science")</f>
        <v>120</v>
      </c>
      <c r="BU632" t="s" s="0">
        <v>121</v>
      </c>
      <c r="BV632" t="s" s="0">
        <v>82</v>
      </c>
      <c r="BW632" t="s" s="0">
        <v>82</v>
      </c>
      <c r="BX632" t="s" s="0">
        <v>122</v>
      </c>
    </row>
    <row r="633">
      <c r="A633" t="s" s="0">
        <v>78</v>
      </c>
      <c r="B633" t="s" s="0">
        <v>78</v>
      </c>
      <c r="C633" t="s" s="0">
        <v>447</v>
      </c>
      <c r="D633" t="s" s="0">
        <v>78</v>
      </c>
      <c r="E633" t="s" s="0">
        <v>14697</v>
      </c>
      <c r="F633" t="s" s="0">
        <v>14698</v>
      </c>
      <c r="G633" t="s" s="0">
        <v>14699</v>
      </c>
      <c r="H633" t="s" s="0">
        <v>82</v>
      </c>
      <c r="I633" t="s" s="0">
        <v>83</v>
      </c>
      <c r="J633" t="s" s="0">
        <v>14700</v>
      </c>
      <c r="K633" t="s" s="0">
        <v>8772</v>
      </c>
      <c r="L633" t="s" s="0">
        <v>82</v>
      </c>
      <c r="M633" t="s" s="0">
        <v>82</v>
      </c>
      <c r="N633" t="s" s="0">
        <v>82</v>
      </c>
      <c r="O633" t="s" s="0">
        <v>14701</v>
      </c>
      <c r="P633" t="s" s="0">
        <v>14702</v>
      </c>
      <c r="Q633" t="s" s="0">
        <v>91</v>
      </c>
      <c r="R633" t="s" s="0">
        <v>82</v>
      </c>
      <c r="S633" t="s" s="0">
        <v>82</v>
      </c>
      <c r="T633" t="s" s="0">
        <v>82</v>
      </c>
      <c r="U633" t="s" s="0">
        <v>82</v>
      </c>
      <c r="V633" t="s" s="0">
        <v>14703</v>
      </c>
      <c r="W633" t="s" s="0">
        <v>11355</v>
      </c>
      <c r="X633" t="s" s="0">
        <v>82</v>
      </c>
      <c r="Y633" t="s" s="0">
        <v>82</v>
      </c>
      <c r="Z633" t="s" s="0">
        <v>94</v>
      </c>
      <c r="AA633" t="s" s="0">
        <v>95</v>
      </c>
      <c r="AB633" t="s" s="0">
        <v>82</v>
      </c>
      <c r="AC633" t="s" s="0">
        <v>82</v>
      </c>
      <c r="AD633" t="s" s="0">
        <v>82</v>
      </c>
      <c r="AE633" t="s" s="0">
        <v>82</v>
      </c>
      <c r="AF633" t="s" s="0">
        <v>82</v>
      </c>
      <c r="AG633" t="s" s="0">
        <v>14704</v>
      </c>
      <c r="AH633" t="s" s="0">
        <v>14705</v>
      </c>
      <c r="AI633" t="s" s="0">
        <v>14706</v>
      </c>
      <c r="AJ633" t="s" s="0">
        <v>14707</v>
      </c>
      <c r="AK633" t="s" s="0">
        <v>82</v>
      </c>
      <c r="AL633" t="s" s="0">
        <v>548</v>
      </c>
      <c r="AM633" t="s" s="0">
        <v>138</v>
      </c>
      <c r="AN633" t="s" s="0">
        <v>319</v>
      </c>
      <c r="AO633" t="s" s="0">
        <v>78</v>
      </c>
      <c r="AP633" t="s" s="0">
        <v>101</v>
      </c>
      <c r="AQ633" t="s" s="0">
        <v>277</v>
      </c>
      <c r="AR633" t="s" s="0">
        <v>278</v>
      </c>
      <c r="AS633" t="s" s="0">
        <v>279</v>
      </c>
      <c r="AT633" t="s" s="0">
        <v>82</v>
      </c>
      <c r="AU633" t="s" s="0">
        <v>11360</v>
      </c>
      <c r="AV633" t="s" s="0">
        <v>82</v>
      </c>
      <c r="AW633" t="s" s="0">
        <v>11361</v>
      </c>
      <c r="AX633" t="s" s="0">
        <v>11362</v>
      </c>
      <c r="AY633" t="s" s="0">
        <v>7141</v>
      </c>
      <c r="AZ633" t="s" s="0">
        <v>110</v>
      </c>
      <c r="BA633" t="s" s="0">
        <v>245</v>
      </c>
      <c r="BB633" t="s" s="0">
        <v>77</v>
      </c>
      <c r="BC633" t="s" s="0">
        <v>82</v>
      </c>
      <c r="BD633" t="s" s="0">
        <v>82</v>
      </c>
      <c r="BE633" t="s" s="0">
        <v>82</v>
      </c>
      <c r="BF633" t="s" s="0">
        <v>82</v>
      </c>
      <c r="BG633" t="s" s="0">
        <v>2575</v>
      </c>
      <c r="BH633" t="s" s="0">
        <v>4425</v>
      </c>
      <c r="BI633" t="s" s="0">
        <v>82</v>
      </c>
      <c r="BJ633" t="s" s="0">
        <v>14708</v>
      </c>
      <c r="BK633" t="s" s="1259">
        <f>HYPERLINK("http://dx.doi.org/10.1016/j.euf.2023.07.004","http://dx.doi.org/10.1016/j.euf.2023.07.004")</f>
        <v>14709</v>
      </c>
      <c r="BL633" t="s" s="0">
        <v>82</v>
      </c>
      <c r="BM633" t="s" s="0">
        <v>82</v>
      </c>
      <c r="BN633" t="s" s="0">
        <v>319</v>
      </c>
      <c r="BO633" t="s" s="0">
        <v>1197</v>
      </c>
      <c r="BP633" t="s" s="0">
        <v>1197</v>
      </c>
      <c r="BQ633" t="s" s="0">
        <v>14710</v>
      </c>
      <c r="BR633" t="s" s="0">
        <v>14711</v>
      </c>
      <c r="BS633" t="s" s="0">
        <v>14712</v>
      </c>
      <c r="BT633" t="s" s="1260">
        <f>HYPERLINK("https://www.webofscience.com/wos/woscc/full-record/WOS:001202257100001","View Record in Web of Science")</f>
        <v>120</v>
      </c>
      <c r="BU633" t="s" s="0">
        <v>82</v>
      </c>
      <c r="BV633" t="s" s="0">
        <v>82</v>
      </c>
      <c r="BW633" t="s" s="0">
        <v>82</v>
      </c>
      <c r="BX633" t="s" s="0">
        <v>122</v>
      </c>
    </row>
    <row r="634">
      <c r="A634" t="s" s="0">
        <v>78</v>
      </c>
      <c r="B634" t="s" s="0">
        <v>78</v>
      </c>
      <c r="C634" t="s" s="0">
        <v>78</v>
      </c>
      <c r="D634" t="s" s="0">
        <v>78</v>
      </c>
      <c r="E634" t="s" s="0">
        <v>14713</v>
      </c>
      <c r="F634" t="s" s="0">
        <v>14714</v>
      </c>
      <c r="G634" t="s" s="0">
        <v>14715</v>
      </c>
      <c r="H634" t="s" s="0">
        <v>82</v>
      </c>
      <c r="I634" t="s" s="0">
        <v>83</v>
      </c>
      <c r="J634" t="s" s="0">
        <v>14716</v>
      </c>
      <c r="K634" t="s" s="0">
        <v>14717</v>
      </c>
      <c r="L634" t="s" s="0">
        <v>14718</v>
      </c>
      <c r="M634" t="s" s="0">
        <v>14719</v>
      </c>
      <c r="N634" t="s" s="0">
        <v>14720</v>
      </c>
      <c r="O634" t="s" s="0">
        <v>14721</v>
      </c>
      <c r="P634" t="s" s="0">
        <v>14722</v>
      </c>
      <c r="Q634" t="s" s="0">
        <v>91</v>
      </c>
      <c r="R634" t="s" s="0">
        <v>82</v>
      </c>
      <c r="S634" t="s" s="0">
        <v>82</v>
      </c>
      <c r="T634" t="s" s="0">
        <v>82</v>
      </c>
      <c r="U634" t="s" s="0">
        <v>82</v>
      </c>
      <c r="V634" t="s" s="0">
        <v>14723</v>
      </c>
      <c r="W634" t="s" s="0">
        <v>14724</v>
      </c>
      <c r="X634" t="s" s="0">
        <v>82</v>
      </c>
      <c r="Y634" t="s" s="0">
        <v>82</v>
      </c>
      <c r="Z634" t="s" s="0">
        <v>94</v>
      </c>
      <c r="AA634" t="s" s="0">
        <v>95</v>
      </c>
      <c r="AB634" t="s" s="0">
        <v>82</v>
      </c>
      <c r="AC634" t="s" s="0">
        <v>82</v>
      </c>
      <c r="AD634" t="s" s="0">
        <v>82</v>
      </c>
      <c r="AE634" t="s" s="0">
        <v>82</v>
      </c>
      <c r="AF634" t="s" s="0">
        <v>82</v>
      </c>
      <c r="AG634" t="s" s="0">
        <v>14725</v>
      </c>
      <c r="AH634" t="s" s="0">
        <v>14726</v>
      </c>
      <c r="AI634" t="s" s="0">
        <v>14727</v>
      </c>
      <c r="AJ634" t="s" s="0">
        <v>82</v>
      </c>
      <c r="AK634" t="s" s="0">
        <v>82</v>
      </c>
      <c r="AL634" t="s" s="0">
        <v>273</v>
      </c>
      <c r="AM634" t="s" s="0">
        <v>77</v>
      </c>
      <c r="AN634" t="s" s="0">
        <v>77</v>
      </c>
      <c r="AO634" t="s" s="0">
        <v>78</v>
      </c>
      <c r="AP634" t="s" s="0">
        <v>78</v>
      </c>
      <c r="AQ634" t="s" s="0">
        <v>2269</v>
      </c>
      <c r="AR634" t="s" s="0">
        <v>104</v>
      </c>
      <c r="AS634" t="s" s="0">
        <v>2270</v>
      </c>
      <c r="AT634" t="s" s="0">
        <v>14728</v>
      </c>
      <c r="AU634" t="s" s="0">
        <v>14729</v>
      </c>
      <c r="AV634" t="s" s="0">
        <v>82</v>
      </c>
      <c r="AW634" t="s" s="0">
        <v>14730</v>
      </c>
      <c r="AX634" t="s" s="0">
        <v>14731</v>
      </c>
      <c r="AY634" t="s" s="0">
        <v>14732</v>
      </c>
      <c r="AZ634" t="s" s="0">
        <v>147</v>
      </c>
      <c r="BA634" t="s" s="0">
        <v>1320</v>
      </c>
      <c r="BB634" t="s" s="0">
        <v>77</v>
      </c>
      <c r="BC634" t="s" s="0">
        <v>82</v>
      </c>
      <c r="BD634" t="s" s="0">
        <v>82</v>
      </c>
      <c r="BE634" t="s" s="0">
        <v>82</v>
      </c>
      <c r="BF634" t="s" s="0">
        <v>82</v>
      </c>
      <c r="BG634" t="s" s="0">
        <v>82</v>
      </c>
      <c r="BH634" t="s" s="0">
        <v>82</v>
      </c>
      <c r="BI634" t="s" s="0">
        <v>14733</v>
      </c>
      <c r="BJ634" t="s" s="0">
        <v>14734</v>
      </c>
      <c r="BK634" t="s" s="1261">
        <f>HYPERLINK("http://dx.doi.org/10.1007/s11701-025-02465-4","http://dx.doi.org/10.1007/s11701-025-02465-4")</f>
        <v>14735</v>
      </c>
      <c r="BL634" t="s" s="0">
        <v>82</v>
      </c>
      <c r="BM634" t="s" s="0">
        <v>82</v>
      </c>
      <c r="BN634" t="s" s="0">
        <v>349</v>
      </c>
      <c r="BO634" t="s" s="0">
        <v>950</v>
      </c>
      <c r="BP634" t="s" s="0">
        <v>950</v>
      </c>
      <c r="BQ634" t="s" s="0">
        <v>14736</v>
      </c>
      <c r="BR634" t="s" s="0">
        <v>14737</v>
      </c>
      <c r="BS634" t="s" s="0">
        <v>14738</v>
      </c>
      <c r="BT634" t="s" s="1262">
        <f>HYPERLINK("https://www.webofscience.com/wos/woscc/full-record/WOS:001520310800001","View Record in Web of Science")</f>
        <v>120</v>
      </c>
      <c r="BU634" t="s" s="0">
        <v>82</v>
      </c>
      <c r="BV634" t="s" s="0">
        <v>82</v>
      </c>
      <c r="BW634" t="s" s="0">
        <v>82</v>
      </c>
      <c r="BX634" t="s" s="0">
        <v>122</v>
      </c>
    </row>
    <row r="635">
      <c r="A635" t="s" s="0">
        <v>78</v>
      </c>
      <c r="B635" t="s" s="0">
        <v>78</v>
      </c>
      <c r="C635" t="s" s="0">
        <v>78</v>
      </c>
      <c r="D635" t="s" s="0">
        <v>78</v>
      </c>
      <c r="E635" t="s" s="0">
        <v>14739</v>
      </c>
      <c r="F635" t="s" s="0">
        <v>14740</v>
      </c>
      <c r="G635" t="s" s="0">
        <v>14741</v>
      </c>
      <c r="H635" t="s" s="0">
        <v>82</v>
      </c>
      <c r="I635" t="s" s="0">
        <v>83</v>
      </c>
      <c r="J635" t="s" s="0">
        <v>14742</v>
      </c>
      <c r="K635" t="s" s="0">
        <v>13677</v>
      </c>
      <c r="L635" t="s" s="0">
        <v>82</v>
      </c>
      <c r="M635" t="s" s="0">
        <v>82</v>
      </c>
      <c r="N635" t="s" s="0">
        <v>82</v>
      </c>
      <c r="O635" t="s" s="0">
        <v>14743</v>
      </c>
      <c r="P635" t="s" s="0">
        <v>14744</v>
      </c>
      <c r="Q635" t="s" s="0">
        <v>91</v>
      </c>
      <c r="R635" t="s" s="0">
        <v>82</v>
      </c>
      <c r="S635" t="s" s="0">
        <v>82</v>
      </c>
      <c r="T635" t="s" s="0">
        <v>82</v>
      </c>
      <c r="U635" t="s" s="0">
        <v>82</v>
      </c>
      <c r="V635" t="s" s="0">
        <v>14745</v>
      </c>
      <c r="W635" t="s" s="0">
        <v>7015</v>
      </c>
      <c r="X635" t="s" s="0">
        <v>82</v>
      </c>
      <c r="Y635" t="s" s="0">
        <v>82</v>
      </c>
      <c r="Z635" t="s" s="0">
        <v>94</v>
      </c>
      <c r="AA635" t="s" s="0">
        <v>95</v>
      </c>
      <c r="AB635" t="s" s="0">
        <v>82</v>
      </c>
      <c r="AC635" t="s" s="0">
        <v>82</v>
      </c>
      <c r="AD635" t="s" s="0">
        <v>82</v>
      </c>
      <c r="AE635" t="s" s="0">
        <v>82</v>
      </c>
      <c r="AF635" t="s" s="0">
        <v>82</v>
      </c>
      <c r="AG635" t="s" s="0">
        <v>14746</v>
      </c>
      <c r="AH635" t="s" s="0">
        <v>14747</v>
      </c>
      <c r="AI635" t="s" s="0">
        <v>82</v>
      </c>
      <c r="AJ635" t="s" s="0">
        <v>14748</v>
      </c>
      <c r="AK635" t="s" s="0">
        <v>82</v>
      </c>
      <c r="AL635" t="s" s="0">
        <v>276</v>
      </c>
      <c r="AM635" t="s" s="0">
        <v>77</v>
      </c>
      <c r="AN635" t="s" s="0">
        <v>77</v>
      </c>
      <c r="AO635" t="s" s="0">
        <v>78</v>
      </c>
      <c r="AP635" t="s" s="0">
        <v>77</v>
      </c>
      <c r="AQ635" t="s" s="0">
        <v>202</v>
      </c>
      <c r="AR635" t="s" s="0">
        <v>203</v>
      </c>
      <c r="AS635" t="s" s="0">
        <v>204</v>
      </c>
      <c r="AT635" t="s" s="0">
        <v>7021</v>
      </c>
      <c r="AU635" t="s" s="0">
        <v>7022</v>
      </c>
      <c r="AV635" t="s" s="0">
        <v>82</v>
      </c>
      <c r="AW635" t="s" s="0">
        <v>7023</v>
      </c>
      <c r="AX635" t="s" s="0">
        <v>7024</v>
      </c>
      <c r="AY635" t="s" s="0">
        <v>497</v>
      </c>
      <c r="AZ635" t="s" s="0">
        <v>147</v>
      </c>
      <c r="BA635" t="s" s="0">
        <v>111</v>
      </c>
      <c r="BB635" t="s" s="0">
        <v>319</v>
      </c>
      <c r="BC635" t="s" s="0">
        <v>82</v>
      </c>
      <c r="BD635" t="s" s="0">
        <v>82</v>
      </c>
      <c r="BE635" t="s" s="0">
        <v>82</v>
      </c>
      <c r="BF635" t="s" s="0">
        <v>82</v>
      </c>
      <c r="BG635" t="s" s="0">
        <v>14749</v>
      </c>
      <c r="BH635" t="s" s="0">
        <v>14750</v>
      </c>
      <c r="BI635" t="s" s="0">
        <v>82</v>
      </c>
      <c r="BJ635" t="s" s="0">
        <v>14751</v>
      </c>
      <c r="BK635" t="s" s="1263">
        <f>HYPERLINK("http://dx.doi.org/10.1016/j.spinee.2025.03.022","http://dx.doi.org/10.1016/j.spinee.2025.03.022")</f>
        <v>14752</v>
      </c>
      <c r="BL635" t="s" s="0">
        <v>82</v>
      </c>
      <c r="BM635" t="s" s="0">
        <v>502</v>
      </c>
      <c r="BN635" t="s" s="0">
        <v>115</v>
      </c>
      <c r="BO635" t="s" s="0">
        <v>2062</v>
      </c>
      <c r="BP635" t="s" s="0">
        <v>2063</v>
      </c>
      <c r="BQ635" t="s" s="0">
        <v>14753</v>
      </c>
      <c r="BR635" t="s" s="0">
        <v>14754</v>
      </c>
      <c r="BS635" t="s" s="0">
        <v>14755</v>
      </c>
      <c r="BT635" t="s" s="1264">
        <f>HYPERLINK("https://www.webofscience.com/wos/woscc/full-record/WOS:001555905300001","View Record in Web of Science")</f>
        <v>120</v>
      </c>
      <c r="BU635" t="s" s="0">
        <v>1265</v>
      </c>
      <c r="BV635" t="s" s="0">
        <v>82</v>
      </c>
      <c r="BW635" t="s" s="0">
        <v>82</v>
      </c>
      <c r="BX635" t="s" s="0">
        <v>122</v>
      </c>
    </row>
    <row r="636">
      <c r="A636" t="s" s="0">
        <v>78</v>
      </c>
      <c r="B636" t="s" s="0">
        <v>78</v>
      </c>
      <c r="C636" t="s" s="0">
        <v>447</v>
      </c>
      <c r="D636" t="s" s="0">
        <v>78</v>
      </c>
      <c r="E636" t="s" s="0">
        <v>14756</v>
      </c>
      <c r="F636" t="s" s="0">
        <v>14757</v>
      </c>
      <c r="G636" t="s" s="0">
        <v>14758</v>
      </c>
      <c r="H636" t="s" s="0">
        <v>82</v>
      </c>
      <c r="I636" t="s" s="0">
        <v>83</v>
      </c>
      <c r="J636" t="s" s="0">
        <v>14759</v>
      </c>
      <c r="K636" t="s" s="0">
        <v>14760</v>
      </c>
      <c r="L636" t="s" s="0">
        <v>14761</v>
      </c>
      <c r="M636" t="s" s="0">
        <v>14762</v>
      </c>
      <c r="N636" t="s" s="0">
        <v>82</v>
      </c>
      <c r="O636" t="s" s="0">
        <v>14763</v>
      </c>
      <c r="P636" t="s" s="0">
        <v>14764</v>
      </c>
      <c r="Q636" t="s" s="0">
        <v>91</v>
      </c>
      <c r="R636" t="s" s="0">
        <v>82</v>
      </c>
      <c r="S636" t="s" s="0">
        <v>82</v>
      </c>
      <c r="T636" t="s" s="0">
        <v>82</v>
      </c>
      <c r="U636" t="s" s="0">
        <v>82</v>
      </c>
      <c r="V636" t="s" s="0">
        <v>14765</v>
      </c>
      <c r="W636" t="s" s="0">
        <v>14766</v>
      </c>
      <c r="X636" t="s" s="0">
        <v>82</v>
      </c>
      <c r="Y636" t="s" s="0">
        <v>82</v>
      </c>
      <c r="Z636" t="s" s="0">
        <v>94</v>
      </c>
      <c r="AA636" t="s" s="0">
        <v>95</v>
      </c>
      <c r="AB636" t="s" s="0">
        <v>82</v>
      </c>
      <c r="AC636" t="s" s="0">
        <v>82</v>
      </c>
      <c r="AD636" t="s" s="0">
        <v>82</v>
      </c>
      <c r="AE636" t="s" s="0">
        <v>82</v>
      </c>
      <c r="AF636" t="s" s="0">
        <v>82</v>
      </c>
      <c r="AG636" t="s" s="0">
        <v>14767</v>
      </c>
      <c r="AH636" t="s" s="0">
        <v>14768</v>
      </c>
      <c r="AI636" t="s" s="0">
        <v>14769</v>
      </c>
      <c r="AJ636" t="s" s="0">
        <v>14770</v>
      </c>
      <c r="AK636" t="s" s="0">
        <v>82</v>
      </c>
      <c r="AL636" t="s" s="0">
        <v>548</v>
      </c>
      <c r="AM636" t="s" s="0">
        <v>149</v>
      </c>
      <c r="AN636" t="s" s="0">
        <v>640</v>
      </c>
      <c r="AO636" t="s" s="0">
        <v>447</v>
      </c>
      <c r="AP636" t="s" s="0">
        <v>137</v>
      </c>
      <c r="AQ636" t="s" s="0">
        <v>491</v>
      </c>
      <c r="AR636" t="s" s="0">
        <v>492</v>
      </c>
      <c r="AS636" t="s" s="0">
        <v>493</v>
      </c>
      <c r="AT636" t="s" s="0">
        <v>14771</v>
      </c>
      <c r="AU636" t="s" s="0">
        <v>14772</v>
      </c>
      <c r="AV636" t="s" s="0">
        <v>82</v>
      </c>
      <c r="AW636" t="s" s="0">
        <v>14773</v>
      </c>
      <c r="AX636" t="s" s="0">
        <v>14774</v>
      </c>
      <c r="AY636" t="s" s="0">
        <v>14775</v>
      </c>
      <c r="AZ636" t="s" s="0">
        <v>110</v>
      </c>
      <c r="BA636" t="s" s="0">
        <v>245</v>
      </c>
      <c r="BB636" t="s" s="0">
        <v>447</v>
      </c>
      <c r="BC636" t="s" s="0">
        <v>82</v>
      </c>
      <c r="BD636" t="s" s="0">
        <v>82</v>
      </c>
      <c r="BE636" t="s" s="0">
        <v>82</v>
      </c>
      <c r="BF636" t="s" s="0">
        <v>82</v>
      </c>
      <c r="BG636" t="s" s="0">
        <v>3082</v>
      </c>
      <c r="BH636" t="s" s="0">
        <v>4980</v>
      </c>
      <c r="BI636" t="s" s="0">
        <v>82</v>
      </c>
      <c r="BJ636" t="s" s="0">
        <v>14776</v>
      </c>
      <c r="BK636" t="s" s="1265">
        <f>HYPERLINK("http://dx.doi.org/10.1093/ehjqcco/qcad028","http://dx.doi.org/10.1093/ehjqcco/qcad028")</f>
        <v>14777</v>
      </c>
      <c r="BL636" t="s" s="0">
        <v>82</v>
      </c>
      <c r="BM636" t="s" s="0">
        <v>5023</v>
      </c>
      <c r="BN636" t="s" s="0">
        <v>137</v>
      </c>
      <c r="BO636" t="s" s="0">
        <v>503</v>
      </c>
      <c r="BP636" t="s" s="0">
        <v>504</v>
      </c>
      <c r="BQ636" t="s" s="0">
        <v>14778</v>
      </c>
      <c r="BR636" t="s" s="0">
        <v>14779</v>
      </c>
      <c r="BS636" t="s" s="0">
        <v>14780</v>
      </c>
      <c r="BT636" t="s" s="1266">
        <f>HYPERLINK("https://www.webofscience.com/wos/woscc/full-record/WOS:001008059900001","View Record in Web of Science")</f>
        <v>120</v>
      </c>
      <c r="BU636" t="s" s="0">
        <v>82</v>
      </c>
      <c r="BV636" t="s" s="0">
        <v>82</v>
      </c>
      <c r="BW636" t="s" s="0">
        <v>82</v>
      </c>
      <c r="BX636" t="s" s="0">
        <v>122</v>
      </c>
    </row>
    <row r="637">
      <c r="A637" t="s" s="0">
        <v>78</v>
      </c>
      <c r="B637" t="s" s="0">
        <v>78</v>
      </c>
      <c r="C637" t="s" s="0">
        <v>78</v>
      </c>
      <c r="D637" t="s" s="0">
        <v>78</v>
      </c>
      <c r="E637" t="s" s="0">
        <v>14781</v>
      </c>
      <c r="F637" t="s" s="0">
        <v>14782</v>
      </c>
      <c r="G637" t="s" s="0">
        <v>14783</v>
      </c>
      <c r="H637" t="s" s="0">
        <v>82</v>
      </c>
      <c r="I637" t="s" s="0">
        <v>83</v>
      </c>
      <c r="J637" t="s" s="0">
        <v>14784</v>
      </c>
      <c r="K637" t="s" s="0">
        <v>14785</v>
      </c>
      <c r="L637" t="s" s="0">
        <v>82</v>
      </c>
      <c r="M637" t="s" s="0">
        <v>82</v>
      </c>
      <c r="N637" t="s" s="0">
        <v>82</v>
      </c>
      <c r="O637" t="s" s="0">
        <v>14786</v>
      </c>
      <c r="P637" t="s" s="0">
        <v>14787</v>
      </c>
      <c r="Q637" t="s" s="0">
        <v>91</v>
      </c>
      <c r="R637" t="s" s="0">
        <v>82</v>
      </c>
      <c r="S637" t="s" s="0">
        <v>82</v>
      </c>
      <c r="T637" t="s" s="0">
        <v>82</v>
      </c>
      <c r="U637" t="s" s="0">
        <v>82</v>
      </c>
      <c r="V637" t="s" s="0">
        <v>14788</v>
      </c>
      <c r="W637" t="s" s="0">
        <v>10437</v>
      </c>
      <c r="X637" t="s" s="0">
        <v>82</v>
      </c>
      <c r="Y637" t="s" s="0">
        <v>82</v>
      </c>
      <c r="Z637" t="s" s="0">
        <v>94</v>
      </c>
      <c r="AA637" t="s" s="0">
        <v>95</v>
      </c>
      <c r="AB637" t="s" s="0">
        <v>82</v>
      </c>
      <c r="AC637" t="s" s="0">
        <v>82</v>
      </c>
      <c r="AD637" t="s" s="0">
        <v>82</v>
      </c>
      <c r="AE637" t="s" s="0">
        <v>82</v>
      </c>
      <c r="AF637" t="s" s="0">
        <v>82</v>
      </c>
      <c r="AG637" t="s" s="0">
        <v>14789</v>
      </c>
      <c r="AH637" t="s" s="0">
        <v>14790</v>
      </c>
      <c r="AI637" t="s" s="0">
        <v>82</v>
      </c>
      <c r="AJ637" t="s" s="0">
        <v>82</v>
      </c>
      <c r="AK637" t="s" s="0">
        <v>82</v>
      </c>
      <c r="AL637" t="s" s="0">
        <v>632</v>
      </c>
      <c r="AM637" t="s" s="0">
        <v>78</v>
      </c>
      <c r="AN637" t="s" s="0">
        <v>78</v>
      </c>
      <c r="AO637" t="s" s="0">
        <v>78</v>
      </c>
      <c r="AP637" t="s" s="0">
        <v>78</v>
      </c>
      <c r="AQ637" t="s" s="0">
        <v>2484</v>
      </c>
      <c r="AR637" t="s" s="0">
        <v>2485</v>
      </c>
      <c r="AS637" t="s" s="0">
        <v>2486</v>
      </c>
      <c r="AT637" t="s" s="0">
        <v>10440</v>
      </c>
      <c r="AU637" t="s" s="0">
        <v>82</v>
      </c>
      <c r="AV637" t="s" s="0">
        <v>82</v>
      </c>
      <c r="AW637" t="s" s="0">
        <v>10441</v>
      </c>
      <c r="AX637" t="s" s="0">
        <v>10442</v>
      </c>
      <c r="AY637" t="s" s="0">
        <v>14791</v>
      </c>
      <c r="AZ637" t="s" s="0">
        <v>181</v>
      </c>
      <c r="BA637" t="s" s="0">
        <v>239</v>
      </c>
      <c r="BB637" t="s" s="0">
        <v>82</v>
      </c>
      <c r="BC637" t="s" s="0">
        <v>82</v>
      </c>
      <c r="BD637" t="s" s="0">
        <v>82</v>
      </c>
      <c r="BE637" t="s" s="0">
        <v>82</v>
      </c>
      <c r="BF637" t="s" s="0">
        <v>82</v>
      </c>
      <c r="BG637" t="s" s="0">
        <v>82</v>
      </c>
      <c r="BH637" t="s" s="0">
        <v>82</v>
      </c>
      <c r="BI637" t="s" s="0">
        <v>14792</v>
      </c>
      <c r="BJ637" t="s" s="0">
        <v>14793</v>
      </c>
      <c r="BK637" t="s" s="1267">
        <f>HYPERLINK("http://dx.doi.org/10.3389/fneur.2026.1837898","http://dx.doi.org/10.3389/fneur.2026.1837898")</f>
        <v>14794</v>
      </c>
      <c r="BL637" t="s" s="0">
        <v>82</v>
      </c>
      <c r="BM637" t="s" s="0">
        <v>82</v>
      </c>
      <c r="BN637" t="s" s="0">
        <v>239</v>
      </c>
      <c r="BO637" t="s" s="0">
        <v>613</v>
      </c>
      <c r="BP637" t="s" s="0">
        <v>252</v>
      </c>
      <c r="BQ637" t="s" s="0">
        <v>14795</v>
      </c>
      <c r="BR637" t="s" s="0">
        <v>82</v>
      </c>
      <c r="BS637" t="s" s="0">
        <v>14796</v>
      </c>
      <c r="BT637" t="s" s="1268">
        <f>HYPERLINK("https://www.webofscience.com/wos/woscc/full-record/WOS:001842456800001","View Record in Web of Science")</f>
        <v>120</v>
      </c>
      <c r="BU637" t="s" s="0">
        <v>121</v>
      </c>
      <c r="BV637" t="s" s="0">
        <v>82</v>
      </c>
      <c r="BW637" t="s" s="0">
        <v>82</v>
      </c>
      <c r="BX637" t="s" s="0">
        <v>122</v>
      </c>
    </row>
    <row r="638">
      <c r="A638" t="s" s="0">
        <v>77</v>
      </c>
      <c r="B638" t="s" s="0">
        <v>78</v>
      </c>
      <c r="C638" t="s" s="0">
        <v>77</v>
      </c>
      <c r="D638" t="s" s="0">
        <v>78</v>
      </c>
      <c r="E638" t="s" s="0">
        <v>14797</v>
      </c>
      <c r="F638" t="s" s="0">
        <v>14798</v>
      </c>
      <c r="G638" t="s" s="0">
        <v>14799</v>
      </c>
      <c r="H638" t="s" s="0">
        <v>82</v>
      </c>
      <c r="I638" t="s" s="0">
        <v>83</v>
      </c>
      <c r="J638" t="s" s="0">
        <v>14800</v>
      </c>
      <c r="K638" t="s" s="0">
        <v>14801</v>
      </c>
      <c r="L638" t="s" s="0">
        <v>14802</v>
      </c>
      <c r="M638" t="s" s="0">
        <v>14803</v>
      </c>
      <c r="N638" t="s" s="0">
        <v>14804</v>
      </c>
      <c r="O638" t="s" s="0">
        <v>14805</v>
      </c>
      <c r="P638" t="s" s="0">
        <v>14806</v>
      </c>
      <c r="Q638" t="s" s="0">
        <v>91</v>
      </c>
      <c r="R638" t="s" s="0">
        <v>82</v>
      </c>
      <c r="S638" t="s" s="0">
        <v>82</v>
      </c>
      <c r="T638" t="s" s="0">
        <v>82</v>
      </c>
      <c r="U638" t="s" s="0">
        <v>82</v>
      </c>
      <c r="V638" t="s" s="0">
        <v>14807</v>
      </c>
      <c r="W638" t="s" s="0">
        <v>340</v>
      </c>
      <c r="X638" t="s" s="0">
        <v>82</v>
      </c>
      <c r="Y638" t="s" s="0">
        <v>82</v>
      </c>
      <c r="Z638" t="s" s="0">
        <v>94</v>
      </c>
      <c r="AA638" t="s" s="0">
        <v>95</v>
      </c>
      <c r="AB638" t="s" s="0">
        <v>82</v>
      </c>
      <c r="AC638" t="s" s="0">
        <v>82</v>
      </c>
      <c r="AD638" t="s" s="0">
        <v>82</v>
      </c>
      <c r="AE638" t="s" s="0">
        <v>82</v>
      </c>
      <c r="AF638" t="s" s="0">
        <v>82</v>
      </c>
      <c r="AG638" t="s" s="0">
        <v>14808</v>
      </c>
      <c r="AH638" t="s" s="0">
        <v>82</v>
      </c>
      <c r="AI638" t="s" s="0">
        <v>82</v>
      </c>
      <c r="AJ638" t="s" s="0">
        <v>14809</v>
      </c>
      <c r="AK638" t="s" s="0">
        <v>82</v>
      </c>
      <c r="AL638" t="s" s="0">
        <v>173</v>
      </c>
      <c r="AM638" t="s" s="0">
        <v>138</v>
      </c>
      <c r="AN638" t="s" s="0">
        <v>319</v>
      </c>
      <c r="AO638" t="s" s="0">
        <v>77</v>
      </c>
      <c r="AP638" t="s" s="0">
        <v>375</v>
      </c>
      <c r="AQ638" t="s" s="0">
        <v>312</v>
      </c>
      <c r="AR638" t="s" s="0">
        <v>313</v>
      </c>
      <c r="AS638" t="s" s="0">
        <v>549</v>
      </c>
      <c r="AT638" t="s" s="0">
        <v>82</v>
      </c>
      <c r="AU638" t="s" s="0">
        <v>345</v>
      </c>
      <c r="AV638" t="s" s="0">
        <v>82</v>
      </c>
      <c r="AW638" t="s" s="0">
        <v>346</v>
      </c>
      <c r="AX638" t="s" s="0">
        <v>347</v>
      </c>
      <c r="AY638" t="s" s="0">
        <v>5018</v>
      </c>
      <c r="AZ638" t="s" s="0">
        <v>210</v>
      </c>
      <c r="BA638" t="s" s="0">
        <v>149</v>
      </c>
      <c r="BB638" t="s" s="0">
        <v>685</v>
      </c>
      <c r="BC638" t="s" s="0">
        <v>82</v>
      </c>
      <c r="BD638" t="s" s="0">
        <v>82</v>
      </c>
      <c r="BE638" t="s" s="0">
        <v>82</v>
      </c>
      <c r="BF638" t="s" s="0">
        <v>82</v>
      </c>
      <c r="BG638" t="s" s="0">
        <v>82</v>
      </c>
      <c r="BH638" t="s" s="0">
        <v>82</v>
      </c>
      <c r="BI638" t="s" s="0">
        <v>14810</v>
      </c>
      <c r="BJ638" t="s" s="0">
        <v>14811</v>
      </c>
      <c r="BK638" t="s" s="1269">
        <f>HYPERLINK("http://dx.doi.org/10.3390/jcm12237466","http://dx.doi.org/10.3390/jcm12237466")</f>
        <v>14812</v>
      </c>
      <c r="BL638" t="s" s="0">
        <v>82</v>
      </c>
      <c r="BM638" t="s" s="0">
        <v>82</v>
      </c>
      <c r="BN638" t="s" s="0">
        <v>149</v>
      </c>
      <c r="BO638" t="s" s="0">
        <v>354</v>
      </c>
      <c r="BP638" t="s" s="0">
        <v>355</v>
      </c>
      <c r="BQ638" t="s" s="0">
        <v>14813</v>
      </c>
      <c r="BR638" t="s" s="0">
        <v>14814</v>
      </c>
      <c r="BS638" t="s" s="0">
        <v>14815</v>
      </c>
      <c r="BT638" t="s" s="1270">
        <f>HYPERLINK("https://www.webofscience.com/wos/woscc/full-record/WOS:001117719200001","View Record in Web of Science")</f>
        <v>120</v>
      </c>
      <c r="BU638" t="s" s="0">
        <v>121</v>
      </c>
      <c r="BV638" t="s" s="0">
        <v>82</v>
      </c>
      <c r="BW638" t="s" s="0">
        <v>82</v>
      </c>
      <c r="BX638" t="s" s="0">
        <v>122</v>
      </c>
    </row>
    <row r="639">
      <c r="A639" t="s" s="0">
        <v>77</v>
      </c>
      <c r="B639" t="s" s="0">
        <v>78</v>
      </c>
      <c r="C639" t="s" s="0">
        <v>102</v>
      </c>
      <c r="D639" t="s" s="0">
        <v>78</v>
      </c>
      <c r="E639" t="s" s="0">
        <v>14816</v>
      </c>
      <c r="F639" t="s" s="0">
        <v>14817</v>
      </c>
      <c r="G639" t="s" s="0">
        <v>14818</v>
      </c>
      <c r="H639" t="s" s="0">
        <v>82</v>
      </c>
      <c r="I639" t="s" s="0">
        <v>83</v>
      </c>
      <c r="J639" t="s" s="0">
        <v>14819</v>
      </c>
      <c r="K639" t="s" s="0">
        <v>14820</v>
      </c>
      <c r="L639" t="s" s="0">
        <v>14821</v>
      </c>
      <c r="M639" t="s" s="0">
        <v>14822</v>
      </c>
      <c r="N639" t="s" s="0">
        <v>14823</v>
      </c>
      <c r="O639" t="s" s="0">
        <v>14824</v>
      </c>
      <c r="P639" t="s" s="0">
        <v>14825</v>
      </c>
      <c r="Q639" t="s" s="0">
        <v>91</v>
      </c>
      <c r="R639" t="s" s="0">
        <v>82</v>
      </c>
      <c r="S639" t="s" s="0">
        <v>82</v>
      </c>
      <c r="T639" t="s" s="0">
        <v>82</v>
      </c>
      <c r="U639" t="s" s="0">
        <v>82</v>
      </c>
      <c r="V639" t="s" s="0">
        <v>14826</v>
      </c>
      <c r="W639" t="s" s="0">
        <v>6387</v>
      </c>
      <c r="X639" t="s" s="0">
        <v>82</v>
      </c>
      <c r="Y639" t="s" s="0">
        <v>82</v>
      </c>
      <c r="Z639" t="s" s="0">
        <v>94</v>
      </c>
      <c r="AA639" t="s" s="0">
        <v>95</v>
      </c>
      <c r="AB639" t="s" s="0">
        <v>82</v>
      </c>
      <c r="AC639" t="s" s="0">
        <v>82</v>
      </c>
      <c r="AD639" t="s" s="0">
        <v>82</v>
      </c>
      <c r="AE639" t="s" s="0">
        <v>82</v>
      </c>
      <c r="AF639" t="s" s="0">
        <v>82</v>
      </c>
      <c r="AG639" t="s" s="0">
        <v>14827</v>
      </c>
      <c r="AH639" t="s" s="0">
        <v>14828</v>
      </c>
      <c r="AI639" t="s" s="0">
        <v>14829</v>
      </c>
      <c r="AJ639" t="s" s="0">
        <v>14830</v>
      </c>
      <c r="AK639" t="s" s="0">
        <v>82</v>
      </c>
      <c r="AL639" t="s" s="0">
        <v>374</v>
      </c>
      <c r="AM639" t="s" s="0">
        <v>137</v>
      </c>
      <c r="AN639" t="s" s="0">
        <v>149</v>
      </c>
      <c r="AO639" t="s" s="0">
        <v>78</v>
      </c>
      <c r="AP639" t="s" s="0">
        <v>101</v>
      </c>
      <c r="AQ639" t="s" s="0">
        <v>2484</v>
      </c>
      <c r="AR639" t="s" s="0">
        <v>2485</v>
      </c>
      <c r="AS639" t="s" s="0">
        <v>2486</v>
      </c>
      <c r="AT639" t="s" s="0">
        <v>6391</v>
      </c>
      <c r="AU639" t="s" s="0">
        <v>82</v>
      </c>
      <c r="AV639" t="s" s="0">
        <v>82</v>
      </c>
      <c r="AW639" t="s" s="0">
        <v>6392</v>
      </c>
      <c r="AX639" t="s" s="0">
        <v>6393</v>
      </c>
      <c r="AY639" t="s" s="0">
        <v>14831</v>
      </c>
      <c r="AZ639" t="s" s="0">
        <v>110</v>
      </c>
      <c r="BA639" t="s" s="0">
        <v>323</v>
      </c>
      <c r="BB639" t="s" s="0">
        <v>82</v>
      </c>
      <c r="BC639" t="s" s="0">
        <v>82</v>
      </c>
      <c r="BD639" t="s" s="0">
        <v>82</v>
      </c>
      <c r="BE639" t="s" s="0">
        <v>82</v>
      </c>
      <c r="BF639" t="s" s="0">
        <v>82</v>
      </c>
      <c r="BG639" t="s" s="0">
        <v>82</v>
      </c>
      <c r="BH639" t="s" s="0">
        <v>82</v>
      </c>
      <c r="BI639" t="s" s="0">
        <v>14832</v>
      </c>
      <c r="BJ639" t="s" s="0">
        <v>14833</v>
      </c>
      <c r="BK639" t="s" s="1271">
        <f>HYPERLINK("http://dx.doi.org/10.3389/fonc.2024.1375096","http://dx.doi.org/10.3389/fonc.2024.1375096")</f>
        <v>14834</v>
      </c>
      <c r="BL639" t="s" s="0">
        <v>82</v>
      </c>
      <c r="BM639" t="s" s="0">
        <v>82</v>
      </c>
      <c r="BN639" t="s" s="0">
        <v>319</v>
      </c>
      <c r="BO639" t="s" s="0">
        <v>4833</v>
      </c>
      <c r="BP639" t="s" s="0">
        <v>4833</v>
      </c>
      <c r="BQ639" t="s" s="0">
        <v>14835</v>
      </c>
      <c r="BR639" t="s" s="0">
        <v>14836</v>
      </c>
      <c r="BS639" t="s" s="0">
        <v>14837</v>
      </c>
      <c r="BT639" t="s" s="1272">
        <f>HYPERLINK("https://www.webofscience.com/wos/woscc/full-record/WOS:001275924600001","View Record in Web of Science")</f>
        <v>120</v>
      </c>
      <c r="BU639" t="s" s="0">
        <v>121</v>
      </c>
      <c r="BV639" t="s" s="0">
        <v>82</v>
      </c>
      <c r="BW639" t="s" s="0">
        <v>82</v>
      </c>
      <c r="BX639" t="s" s="0">
        <v>122</v>
      </c>
    </row>
    <row r="640">
      <c r="A640" t="s" s="0">
        <v>78</v>
      </c>
      <c r="B640" t="s" s="0">
        <v>78</v>
      </c>
      <c r="C640" t="s" s="0">
        <v>78</v>
      </c>
      <c r="D640" t="s" s="0">
        <v>78</v>
      </c>
      <c r="E640" t="s" s="0">
        <v>14838</v>
      </c>
      <c r="F640" t="s" s="0">
        <v>14839</v>
      </c>
      <c r="G640" t="s" s="0">
        <v>14840</v>
      </c>
      <c r="H640" t="s" s="0">
        <v>82</v>
      </c>
      <c r="I640" t="s" s="0">
        <v>83</v>
      </c>
      <c r="J640" t="s" s="0">
        <v>14841</v>
      </c>
      <c r="K640" t="s" s="0">
        <v>14842</v>
      </c>
      <c r="L640" t="s" s="0">
        <v>82</v>
      </c>
      <c r="M640" t="s" s="0">
        <v>82</v>
      </c>
      <c r="N640" t="s" s="0">
        <v>82</v>
      </c>
      <c r="O640" t="s" s="0">
        <v>14843</v>
      </c>
      <c r="P640" t="s" s="0">
        <v>14844</v>
      </c>
      <c r="Q640" t="s" s="0">
        <v>91</v>
      </c>
      <c r="R640" t="s" s="0">
        <v>82</v>
      </c>
      <c r="S640" t="s" s="0">
        <v>82</v>
      </c>
      <c r="T640" t="s" s="0">
        <v>82</v>
      </c>
      <c r="U640" t="s" s="0">
        <v>82</v>
      </c>
      <c r="V640" t="s" s="0">
        <v>14845</v>
      </c>
      <c r="W640" t="s" s="0">
        <v>14846</v>
      </c>
      <c r="X640" t="s" s="0">
        <v>82</v>
      </c>
      <c r="Y640" t="s" s="0">
        <v>82</v>
      </c>
      <c r="Z640" t="s" s="0">
        <v>94</v>
      </c>
      <c r="AA640" t="s" s="0">
        <v>95</v>
      </c>
      <c r="AB640" t="s" s="0">
        <v>82</v>
      </c>
      <c r="AC640" t="s" s="0">
        <v>82</v>
      </c>
      <c r="AD640" t="s" s="0">
        <v>82</v>
      </c>
      <c r="AE640" t="s" s="0">
        <v>82</v>
      </c>
      <c r="AF640" t="s" s="0">
        <v>82</v>
      </c>
      <c r="AG640" t="s" s="0">
        <v>14847</v>
      </c>
      <c r="AH640" t="s" s="0">
        <v>14848</v>
      </c>
      <c r="AI640" t="s" s="0">
        <v>14849</v>
      </c>
      <c r="AJ640" t="s" s="0">
        <v>82</v>
      </c>
      <c r="AK640" t="s" s="0">
        <v>82</v>
      </c>
      <c r="AL640" t="s" s="0">
        <v>1502</v>
      </c>
      <c r="AM640" t="s" s="0">
        <v>78</v>
      </c>
      <c r="AN640" t="s" s="0">
        <v>78</v>
      </c>
      <c r="AO640" t="s" s="0">
        <v>102</v>
      </c>
      <c r="AP640" t="s" s="0">
        <v>136</v>
      </c>
      <c r="AQ640" t="s" s="0">
        <v>832</v>
      </c>
      <c r="AR640" t="s" s="0">
        <v>833</v>
      </c>
      <c r="AS640" t="s" s="0">
        <v>834</v>
      </c>
      <c r="AT640" t="s" s="0">
        <v>14850</v>
      </c>
      <c r="AU640" t="s" s="0">
        <v>14851</v>
      </c>
      <c r="AV640" t="s" s="0">
        <v>82</v>
      </c>
      <c r="AW640" t="s" s="0">
        <v>14852</v>
      </c>
      <c r="AX640" t="s" s="0">
        <v>14853</v>
      </c>
      <c r="AY640" t="s" s="0">
        <v>2302</v>
      </c>
      <c r="AZ640" t="s" s="0">
        <v>181</v>
      </c>
      <c r="BA640" t="s" s="0">
        <v>1415</v>
      </c>
      <c r="BB640" t="s" s="0">
        <v>77</v>
      </c>
      <c r="BC640" t="s" s="0">
        <v>82</v>
      </c>
      <c r="BD640" t="s" s="0">
        <v>82</v>
      </c>
      <c r="BE640" t="s" s="0">
        <v>82</v>
      </c>
      <c r="BF640" t="s" s="0">
        <v>82</v>
      </c>
      <c r="BG640" t="s" s="0">
        <v>14854</v>
      </c>
      <c r="BH640" t="s" s="0">
        <v>14855</v>
      </c>
      <c r="BI640" t="s" s="0">
        <v>82</v>
      </c>
      <c r="BJ640" t="s" s="0">
        <v>14856</v>
      </c>
      <c r="BK640" t="s" s="1273">
        <f>HYPERLINK("http://dx.doi.org/10.1097/JS9.0000000000003469","http://dx.doi.org/10.1097/JS9.0000000000003469")</f>
        <v>14857</v>
      </c>
      <c r="BL640" t="s" s="0">
        <v>82</v>
      </c>
      <c r="BM640" t="s" s="0">
        <v>82</v>
      </c>
      <c r="BN640" t="s" s="0">
        <v>319</v>
      </c>
      <c r="BO640" t="s" s="0">
        <v>950</v>
      </c>
      <c r="BP640" t="s" s="0">
        <v>950</v>
      </c>
      <c r="BQ640" t="s" s="0">
        <v>14858</v>
      </c>
      <c r="BR640" t="s" s="0">
        <v>14859</v>
      </c>
      <c r="BS640" t="s" s="0">
        <v>14860</v>
      </c>
      <c r="BT640" t="s" s="1274">
        <f>HYPERLINK("https://www.webofscience.com/wos/woscc/full-record/WOS:001680465700037","View Record in Web of Science")</f>
        <v>120</v>
      </c>
      <c r="BU640" t="s" s="0">
        <v>256</v>
      </c>
      <c r="BV640" t="s" s="0">
        <v>82</v>
      </c>
      <c r="BW640" t="s" s="0">
        <v>82</v>
      </c>
      <c r="BX640" t="s" s="0">
        <v>122</v>
      </c>
    </row>
    <row r="641">
      <c r="A641" t="s" s="0">
        <v>78</v>
      </c>
      <c r="B641" t="s" s="0">
        <v>78</v>
      </c>
      <c r="C641" t="s" s="0">
        <v>78</v>
      </c>
      <c r="D641" t="s" s="0">
        <v>78</v>
      </c>
      <c r="E641" t="s" s="0">
        <v>14861</v>
      </c>
      <c r="F641" t="s" s="0">
        <v>14862</v>
      </c>
      <c r="G641" t="s" s="0">
        <v>14863</v>
      </c>
      <c r="H641" t="s" s="0">
        <v>82</v>
      </c>
      <c r="I641" t="s" s="0">
        <v>83</v>
      </c>
      <c r="J641" t="s" s="0">
        <v>14864</v>
      </c>
      <c r="K641" t="s" s="0">
        <v>14865</v>
      </c>
      <c r="L641" t="s" s="0">
        <v>82</v>
      </c>
      <c r="M641" t="s" s="0">
        <v>82</v>
      </c>
      <c r="N641" t="s" s="0">
        <v>82</v>
      </c>
      <c r="O641" t="s" s="0">
        <v>14866</v>
      </c>
      <c r="P641" t="s" s="0">
        <v>82</v>
      </c>
      <c r="Q641" t="s" s="0">
        <v>91</v>
      </c>
      <c r="R641" t="s" s="0">
        <v>82</v>
      </c>
      <c r="S641" t="s" s="0">
        <v>82</v>
      </c>
      <c r="T641" t="s" s="0">
        <v>82</v>
      </c>
      <c r="U641" t="s" s="0">
        <v>82</v>
      </c>
      <c r="V641" t="s" s="0">
        <v>14867</v>
      </c>
      <c r="W641" t="s" s="0">
        <v>6387</v>
      </c>
      <c r="X641" t="s" s="0">
        <v>82</v>
      </c>
      <c r="Y641" t="s" s="0">
        <v>82</v>
      </c>
      <c r="Z641" t="s" s="0">
        <v>94</v>
      </c>
      <c r="AA641" t="s" s="0">
        <v>95</v>
      </c>
      <c r="AB641" t="s" s="0">
        <v>82</v>
      </c>
      <c r="AC641" t="s" s="0">
        <v>82</v>
      </c>
      <c r="AD641" t="s" s="0">
        <v>82</v>
      </c>
      <c r="AE641" t="s" s="0">
        <v>82</v>
      </c>
      <c r="AF641" t="s" s="0">
        <v>82</v>
      </c>
      <c r="AG641" t="s" s="0">
        <v>14868</v>
      </c>
      <c r="AH641" t="s" s="0">
        <v>14869</v>
      </c>
      <c r="AI641" t="s" s="0">
        <v>82</v>
      </c>
      <c r="AJ641" t="s" s="0">
        <v>82</v>
      </c>
      <c r="AK641" t="s" s="0">
        <v>82</v>
      </c>
      <c r="AL641" t="s" s="0">
        <v>4998</v>
      </c>
      <c r="AM641" t="s" s="0">
        <v>78</v>
      </c>
      <c r="AN641" t="s" s="0">
        <v>78</v>
      </c>
      <c r="AO641" t="s" s="0">
        <v>78</v>
      </c>
      <c r="AP641" t="s" s="0">
        <v>78</v>
      </c>
      <c r="AQ641" t="s" s="0">
        <v>2484</v>
      </c>
      <c r="AR641" t="s" s="0">
        <v>2485</v>
      </c>
      <c r="AS641" t="s" s="0">
        <v>2486</v>
      </c>
      <c r="AT641" t="s" s="0">
        <v>6391</v>
      </c>
      <c r="AU641" t="s" s="0">
        <v>82</v>
      </c>
      <c r="AV641" t="s" s="0">
        <v>82</v>
      </c>
      <c r="AW641" t="s" s="0">
        <v>6392</v>
      </c>
      <c r="AX641" t="s" s="0">
        <v>6393</v>
      </c>
      <c r="AY641" t="s" s="0">
        <v>14870</v>
      </c>
      <c r="AZ641" t="s" s="0">
        <v>181</v>
      </c>
      <c r="BA641" t="s" s="0">
        <v>640</v>
      </c>
      <c r="BB641" t="s" s="0">
        <v>82</v>
      </c>
      <c r="BC641" t="s" s="0">
        <v>82</v>
      </c>
      <c r="BD641" t="s" s="0">
        <v>82</v>
      </c>
      <c r="BE641" t="s" s="0">
        <v>82</v>
      </c>
      <c r="BF641" t="s" s="0">
        <v>82</v>
      </c>
      <c r="BG641" t="s" s="0">
        <v>82</v>
      </c>
      <c r="BH641" t="s" s="0">
        <v>82</v>
      </c>
      <c r="BI641" t="s" s="0">
        <v>14871</v>
      </c>
      <c r="BJ641" t="s" s="0">
        <v>14872</v>
      </c>
      <c r="BK641" t="s" s="1275">
        <f>HYPERLINK("http://dx.doi.org/10.3389/fonc.2026.1798296","http://dx.doi.org/10.3389/fonc.2026.1798296")</f>
        <v>14873</v>
      </c>
      <c r="BL641" t="s" s="0">
        <v>82</v>
      </c>
      <c r="BM641" t="s" s="0">
        <v>1365</v>
      </c>
      <c r="BN641" t="s" s="0">
        <v>149</v>
      </c>
      <c r="BO641" t="s" s="0">
        <v>4833</v>
      </c>
      <c r="BP641" t="s" s="0">
        <v>4833</v>
      </c>
      <c r="BQ641" t="s" s="0">
        <v>14874</v>
      </c>
      <c r="BR641" t="s" s="0">
        <v>14875</v>
      </c>
      <c r="BS641" t="s" s="0">
        <v>14876</v>
      </c>
      <c r="BT641" t="s" s="1276">
        <f>HYPERLINK("https://www.webofscience.com/wos/woscc/full-record/WOS:001751024700001","View Record in Web of Science")</f>
        <v>120</v>
      </c>
      <c r="BU641" t="s" s="0">
        <v>121</v>
      </c>
      <c r="BV641" t="s" s="0">
        <v>82</v>
      </c>
      <c r="BW641" t="s" s="0">
        <v>82</v>
      </c>
      <c r="BX641" t="s" s="0">
        <v>122</v>
      </c>
    </row>
    <row r="642">
      <c r="A642" t="s" s="0">
        <v>78</v>
      </c>
      <c r="B642" t="s" s="0">
        <v>78</v>
      </c>
      <c r="C642" t="s" s="0">
        <v>78</v>
      </c>
      <c r="D642" t="s" s="0">
        <v>78</v>
      </c>
      <c r="E642" t="s" s="0">
        <v>14877</v>
      </c>
      <c r="F642" t="s" s="0">
        <v>14878</v>
      </c>
      <c r="G642" t="s" s="0">
        <v>14879</v>
      </c>
      <c r="H642" t="s" s="0">
        <v>82</v>
      </c>
      <c r="I642" t="s" s="0">
        <v>83</v>
      </c>
      <c r="J642" t="s" s="0">
        <v>14880</v>
      </c>
      <c r="K642" t="s" s="0">
        <v>14881</v>
      </c>
      <c r="L642" t="s" s="0">
        <v>14882</v>
      </c>
      <c r="M642" t="s" s="0">
        <v>14883</v>
      </c>
      <c r="N642" t="s" s="0">
        <v>14884</v>
      </c>
      <c r="O642" t="s" s="0">
        <v>14885</v>
      </c>
      <c r="P642" t="s" s="0">
        <v>14886</v>
      </c>
      <c r="Q642" t="s" s="0">
        <v>91</v>
      </c>
      <c r="R642" t="s" s="0">
        <v>82</v>
      </c>
      <c r="S642" t="s" s="0">
        <v>82</v>
      </c>
      <c r="T642" t="s" s="0">
        <v>82</v>
      </c>
      <c r="U642" t="s" s="0">
        <v>82</v>
      </c>
      <c r="V642" t="s" s="0">
        <v>14887</v>
      </c>
      <c r="W642" t="s" s="0">
        <v>8395</v>
      </c>
      <c r="X642" t="s" s="0">
        <v>82</v>
      </c>
      <c r="Y642" t="s" s="0">
        <v>82</v>
      </c>
      <c r="Z642" t="s" s="0">
        <v>94</v>
      </c>
      <c r="AA642" t="s" s="0">
        <v>95</v>
      </c>
      <c r="AB642" t="s" s="0">
        <v>82</v>
      </c>
      <c r="AC642" t="s" s="0">
        <v>82</v>
      </c>
      <c r="AD642" t="s" s="0">
        <v>82</v>
      </c>
      <c r="AE642" t="s" s="0">
        <v>82</v>
      </c>
      <c r="AF642" t="s" s="0">
        <v>82</v>
      </c>
      <c r="AG642" t="s" s="0">
        <v>14888</v>
      </c>
      <c r="AH642" t="s" s="0">
        <v>82</v>
      </c>
      <c r="AI642" t="s" s="0">
        <v>14889</v>
      </c>
      <c r="AJ642" t="s" s="0">
        <v>82</v>
      </c>
      <c r="AK642" t="s" s="0">
        <v>82</v>
      </c>
      <c r="AL642" t="s" s="0">
        <v>100</v>
      </c>
      <c r="AM642" t="s" s="0">
        <v>77</v>
      </c>
      <c r="AN642" t="s" s="0">
        <v>77</v>
      </c>
      <c r="AO642" t="s" s="0">
        <v>77</v>
      </c>
      <c r="AP642" t="s" s="0">
        <v>77</v>
      </c>
      <c r="AQ642" t="s" s="0">
        <v>103</v>
      </c>
      <c r="AR642" t="s" s="0">
        <v>104</v>
      </c>
      <c r="AS642" t="s" s="0">
        <v>105</v>
      </c>
      <c r="AT642" t="s" s="0">
        <v>82</v>
      </c>
      <c r="AU642" t="s" s="0">
        <v>8400</v>
      </c>
      <c r="AV642" t="s" s="0">
        <v>82</v>
      </c>
      <c r="AW642" t="s" s="0">
        <v>8401</v>
      </c>
      <c r="AX642" t="s" s="0">
        <v>8402</v>
      </c>
      <c r="AY642" t="s" s="0">
        <v>14890</v>
      </c>
      <c r="AZ642" t="s" s="0">
        <v>181</v>
      </c>
      <c r="BA642" t="s" s="0">
        <v>353</v>
      </c>
      <c r="BB642" t="s" s="0">
        <v>77</v>
      </c>
      <c r="BC642" t="s" s="0">
        <v>82</v>
      </c>
      <c r="BD642" t="s" s="0">
        <v>82</v>
      </c>
      <c r="BE642" t="s" s="0">
        <v>82</v>
      </c>
      <c r="BF642" t="s" s="0">
        <v>82</v>
      </c>
      <c r="BG642" t="s" s="0">
        <v>82</v>
      </c>
      <c r="BH642" t="s" s="0">
        <v>82</v>
      </c>
      <c r="BI642" t="s" s="0">
        <v>8282</v>
      </c>
      <c r="BJ642" t="s" s="0">
        <v>14891</v>
      </c>
      <c r="BK642" t="s" s="1277">
        <f>HYPERLINK("http://dx.doi.org/10.1186/s12911-026-03465-6","http://dx.doi.org/10.1186/s12911-026-03465-6")</f>
        <v>14892</v>
      </c>
      <c r="BL642" t="s" s="0">
        <v>82</v>
      </c>
      <c r="BM642" t="s" s="0">
        <v>153</v>
      </c>
      <c r="BN642" t="s" s="0">
        <v>323</v>
      </c>
      <c r="BO642" t="s" s="0">
        <v>1815</v>
      </c>
      <c r="BP642" t="s" s="0">
        <v>1815</v>
      </c>
      <c r="BQ642" t="s" s="0">
        <v>14893</v>
      </c>
      <c r="BR642" t="s" s="0">
        <v>14894</v>
      </c>
      <c r="BS642" t="s" s="0">
        <v>14895</v>
      </c>
      <c r="BT642" t="s" s="1278">
        <f>HYPERLINK("https://www.webofscience.com/wos/woscc/full-record/WOS:001769753900001","View Record in Web of Science")</f>
        <v>120</v>
      </c>
      <c r="BU642" t="s" s="0">
        <v>121</v>
      </c>
      <c r="BV642" t="s" s="0">
        <v>82</v>
      </c>
      <c r="BW642" t="s" s="0">
        <v>82</v>
      </c>
      <c r="BX642" t="s" s="0">
        <v>122</v>
      </c>
    </row>
    <row r="643">
      <c r="A643" t="s" s="0">
        <v>78</v>
      </c>
      <c r="B643" t="s" s="0">
        <v>78</v>
      </c>
      <c r="C643" t="s" s="0">
        <v>77</v>
      </c>
      <c r="D643" t="s" s="0">
        <v>78</v>
      </c>
      <c r="E643" t="s" s="0">
        <v>14896</v>
      </c>
      <c r="F643" t="s" s="0">
        <v>14897</v>
      </c>
      <c r="G643" t="s" s="0">
        <v>14898</v>
      </c>
      <c r="H643" t="s" s="0">
        <v>82</v>
      </c>
      <c r="I643" t="s" s="0">
        <v>83</v>
      </c>
      <c r="J643" t="s" s="0">
        <v>14899</v>
      </c>
      <c r="K643" t="s" s="0">
        <v>14900</v>
      </c>
      <c r="L643" t="s" s="0">
        <v>14901</v>
      </c>
      <c r="M643" t="s" s="0">
        <v>6610</v>
      </c>
      <c r="N643" t="s" s="0">
        <v>14902</v>
      </c>
      <c r="O643" t="s" s="0">
        <v>14903</v>
      </c>
      <c r="P643" t="s" s="0">
        <v>14904</v>
      </c>
      <c r="Q643" t="s" s="0">
        <v>91</v>
      </c>
      <c r="R643" t="s" s="0">
        <v>82</v>
      </c>
      <c r="S643" t="s" s="0">
        <v>82</v>
      </c>
      <c r="T643" t="s" s="0">
        <v>82</v>
      </c>
      <c r="U643" t="s" s="0">
        <v>82</v>
      </c>
      <c r="V643" t="s" s="0">
        <v>14905</v>
      </c>
      <c r="W643" t="s" s="0">
        <v>4704</v>
      </c>
      <c r="X643" t="s" s="0">
        <v>82</v>
      </c>
      <c r="Y643" t="s" s="0">
        <v>82</v>
      </c>
      <c r="Z643" t="s" s="0">
        <v>94</v>
      </c>
      <c r="AA643" t="s" s="0">
        <v>95</v>
      </c>
      <c r="AB643" t="s" s="0">
        <v>82</v>
      </c>
      <c r="AC643" t="s" s="0">
        <v>82</v>
      </c>
      <c r="AD643" t="s" s="0">
        <v>82</v>
      </c>
      <c r="AE643" t="s" s="0">
        <v>82</v>
      </c>
      <c r="AF643" t="s" s="0">
        <v>82</v>
      </c>
      <c r="AG643" t="s" s="0">
        <v>14906</v>
      </c>
      <c r="AH643" t="s" s="0">
        <v>14907</v>
      </c>
      <c r="AI643" t="s" s="0">
        <v>82</v>
      </c>
      <c r="AJ643" t="s" s="0">
        <v>14908</v>
      </c>
      <c r="AK643" t="s" s="0">
        <v>82</v>
      </c>
      <c r="AL643" t="s" s="0">
        <v>201</v>
      </c>
      <c r="AM643" t="s" s="0">
        <v>447</v>
      </c>
      <c r="AN643" t="s" s="0">
        <v>101</v>
      </c>
      <c r="AO643" t="s" s="0">
        <v>375</v>
      </c>
      <c r="AP643" t="s" s="0">
        <v>138</v>
      </c>
      <c r="AQ643" t="s" s="0">
        <v>400</v>
      </c>
      <c r="AR643" t="s" s="0">
        <v>401</v>
      </c>
      <c r="AS643" t="s" s="0">
        <v>402</v>
      </c>
      <c r="AT643" t="s" s="0">
        <v>4707</v>
      </c>
      <c r="AU643" t="s" s="0">
        <v>4708</v>
      </c>
      <c r="AV643" t="s" s="0">
        <v>82</v>
      </c>
      <c r="AW643" t="s" s="0">
        <v>4709</v>
      </c>
      <c r="AX643" t="s" s="0">
        <v>4710</v>
      </c>
      <c r="AY643" t="s" s="0">
        <v>14909</v>
      </c>
      <c r="AZ643" t="s" s="0">
        <v>181</v>
      </c>
      <c r="BA643" t="s" s="0">
        <v>11165</v>
      </c>
      <c r="BB643" t="s" s="0">
        <v>82</v>
      </c>
      <c r="BC643" t="s" s="0">
        <v>82</v>
      </c>
      <c r="BD643" t="s" s="0">
        <v>82</v>
      </c>
      <c r="BE643" t="s" s="0">
        <v>82</v>
      </c>
      <c r="BF643" t="s" s="0">
        <v>82</v>
      </c>
      <c r="BG643" t="s" s="0">
        <v>82</v>
      </c>
      <c r="BH643" t="s" s="0">
        <v>82</v>
      </c>
      <c r="BI643" t="s" s="0">
        <v>14910</v>
      </c>
      <c r="BJ643" t="s" s="0">
        <v>14911</v>
      </c>
      <c r="BK643" t="s" s="1279">
        <f>HYPERLINK("http://dx.doi.org/10.1016/j.ijmedinf.2026.106267","http://dx.doi.org/10.1016/j.ijmedinf.2026.106267")</f>
        <v>14912</v>
      </c>
      <c r="BL643" t="s" s="0">
        <v>82</v>
      </c>
      <c r="BM643" t="s" s="0">
        <v>2302</v>
      </c>
      <c r="BN643" t="s" s="0">
        <v>245</v>
      </c>
      <c r="BO643" t="s" s="0">
        <v>4716</v>
      </c>
      <c r="BP643" t="s" s="0">
        <v>4717</v>
      </c>
      <c r="BQ643" t="s" s="0">
        <v>14913</v>
      </c>
      <c r="BR643" t="s" s="0">
        <v>14914</v>
      </c>
      <c r="BS643" t="s" s="0">
        <v>14915</v>
      </c>
      <c r="BT643" t="s" s="1280">
        <f>HYPERLINK("https://www.webofscience.com/wos/woscc/full-record/WOS:001669489500001","View Record in Web of Science")</f>
        <v>120</v>
      </c>
      <c r="BU643" t="s" s="0">
        <v>82</v>
      </c>
      <c r="BV643" t="s" s="0">
        <v>82</v>
      </c>
      <c r="BW643" t="s" s="0">
        <v>82</v>
      </c>
      <c r="BX643" t="s" s="0">
        <v>122</v>
      </c>
    </row>
    <row r="644">
      <c r="A644" t="s" s="0">
        <v>78</v>
      </c>
      <c r="B644" t="s" s="0">
        <v>78</v>
      </c>
      <c r="C644" t="s" s="0">
        <v>78</v>
      </c>
      <c r="D644" t="s" s="0">
        <v>78</v>
      </c>
      <c r="E644" t="s" s="0">
        <v>14916</v>
      </c>
      <c r="F644" t="s" s="0">
        <v>14917</v>
      </c>
      <c r="G644" t="s" s="0">
        <v>14918</v>
      </c>
      <c r="H644" t="s" s="0">
        <v>82</v>
      </c>
      <c r="I644" t="s" s="0">
        <v>83</v>
      </c>
      <c r="J644" t="s" s="0">
        <v>14919</v>
      </c>
      <c r="K644" t="s" s="0">
        <v>14920</v>
      </c>
      <c r="L644" t="s" s="0">
        <v>14921</v>
      </c>
      <c r="M644" t="s" s="0">
        <v>14922</v>
      </c>
      <c r="N644" t="s" s="0">
        <v>14923</v>
      </c>
      <c r="O644" t="s" s="0">
        <v>14924</v>
      </c>
      <c r="P644" t="s" s="0">
        <v>14925</v>
      </c>
      <c r="Q644" t="s" s="0">
        <v>91</v>
      </c>
      <c r="R644" t="s" s="0">
        <v>82</v>
      </c>
      <c r="S644" t="s" s="0">
        <v>82</v>
      </c>
      <c r="T644" t="s" s="0">
        <v>82</v>
      </c>
      <c r="U644" t="s" s="0">
        <v>82</v>
      </c>
      <c r="V644" t="s" s="0">
        <v>14926</v>
      </c>
      <c r="W644" t="s" s="0">
        <v>4704</v>
      </c>
      <c r="X644" t="s" s="0">
        <v>82</v>
      </c>
      <c r="Y644" t="s" s="0">
        <v>82</v>
      </c>
      <c r="Z644" t="s" s="0">
        <v>94</v>
      </c>
      <c r="AA644" t="s" s="0">
        <v>95</v>
      </c>
      <c r="AB644" t="s" s="0">
        <v>82</v>
      </c>
      <c r="AC644" t="s" s="0">
        <v>82</v>
      </c>
      <c r="AD644" t="s" s="0">
        <v>82</v>
      </c>
      <c r="AE644" t="s" s="0">
        <v>82</v>
      </c>
      <c r="AF644" t="s" s="0">
        <v>82</v>
      </c>
      <c r="AG644" t="s" s="0">
        <v>14927</v>
      </c>
      <c r="AH644" t="s" s="0">
        <v>14928</v>
      </c>
      <c r="AI644" t="s" s="0">
        <v>82</v>
      </c>
      <c r="AJ644" t="s" s="0">
        <v>82</v>
      </c>
      <c r="AK644" t="s" s="0">
        <v>82</v>
      </c>
      <c r="AL644" t="s" s="0">
        <v>463</v>
      </c>
      <c r="AM644" t="s" s="0">
        <v>78</v>
      </c>
      <c r="AN644" t="s" s="0">
        <v>78</v>
      </c>
      <c r="AO644" t="s" s="0">
        <v>101</v>
      </c>
      <c r="AP644" t="s" s="0">
        <v>101</v>
      </c>
      <c r="AQ644" t="s" s="0">
        <v>400</v>
      </c>
      <c r="AR644" t="s" s="0">
        <v>401</v>
      </c>
      <c r="AS644" t="s" s="0">
        <v>402</v>
      </c>
      <c r="AT644" t="s" s="0">
        <v>4707</v>
      </c>
      <c r="AU644" t="s" s="0">
        <v>4708</v>
      </c>
      <c r="AV644" t="s" s="0">
        <v>82</v>
      </c>
      <c r="AW644" t="s" s="0">
        <v>4709</v>
      </c>
      <c r="AX644" t="s" s="0">
        <v>4710</v>
      </c>
      <c r="AY644" t="s" s="0">
        <v>11278</v>
      </c>
      <c r="AZ644" t="s" s="0">
        <v>181</v>
      </c>
      <c r="BA644" t="s" s="0">
        <v>14929</v>
      </c>
      <c r="BB644" t="s" s="0">
        <v>82</v>
      </c>
      <c r="BC644" t="s" s="0">
        <v>82</v>
      </c>
      <c r="BD644" t="s" s="0">
        <v>82</v>
      </c>
      <c r="BE644" t="s" s="0">
        <v>82</v>
      </c>
      <c r="BF644" t="s" s="0">
        <v>82</v>
      </c>
      <c r="BG644" t="s" s="0">
        <v>82</v>
      </c>
      <c r="BH644" t="s" s="0">
        <v>82</v>
      </c>
      <c r="BI644" t="s" s="0">
        <v>14930</v>
      </c>
      <c r="BJ644" t="s" s="0">
        <v>14931</v>
      </c>
      <c r="BK644" t="s" s="1281">
        <f>HYPERLINK("http://dx.doi.org/10.1016/j.ijmedinf.2026.106602","http://dx.doi.org/10.1016/j.ijmedinf.2026.106602")</f>
        <v>14932</v>
      </c>
      <c r="BL644" t="s" s="0">
        <v>82</v>
      </c>
      <c r="BM644" t="s" s="0">
        <v>82</v>
      </c>
      <c r="BN644" t="s" s="0">
        <v>149</v>
      </c>
      <c r="BO644" t="s" s="0">
        <v>4716</v>
      </c>
      <c r="BP644" t="s" s="0">
        <v>4717</v>
      </c>
      <c r="BQ644" t="s" s="0">
        <v>14933</v>
      </c>
      <c r="BR644" t="s" s="0">
        <v>14934</v>
      </c>
      <c r="BS644" t="s" s="0">
        <v>14935</v>
      </c>
      <c r="BT644" t="s" s="1282">
        <f>HYPERLINK("https://www.webofscience.com/wos/woscc/full-record/WOS:001824007200001","View Record in Web of Science")</f>
        <v>120</v>
      </c>
      <c r="BU644" t="s" s="0">
        <v>159</v>
      </c>
      <c r="BV644" t="s" s="0">
        <v>82</v>
      </c>
      <c r="BW644" t="s" s="0">
        <v>82</v>
      </c>
      <c r="BX644" t="s" s="0">
        <v>122</v>
      </c>
    </row>
    <row r="645">
      <c r="A645" t="s" s="0">
        <v>78</v>
      </c>
      <c r="B645" t="s" s="0">
        <v>78</v>
      </c>
      <c r="C645" t="s" s="0">
        <v>78</v>
      </c>
      <c r="D645" t="s" s="0">
        <v>78</v>
      </c>
      <c r="E645" t="s" s="0">
        <v>14936</v>
      </c>
      <c r="F645" t="s" s="0">
        <v>14937</v>
      </c>
      <c r="G645" t="s" s="0">
        <v>14938</v>
      </c>
      <c r="H645" t="s" s="0">
        <v>82</v>
      </c>
      <c r="I645" t="s" s="0">
        <v>83</v>
      </c>
      <c r="J645" t="s" s="0">
        <v>14939</v>
      </c>
      <c r="K645" t="s" s="0">
        <v>14940</v>
      </c>
      <c r="L645" t="s" s="0">
        <v>14941</v>
      </c>
      <c r="M645" t="s" s="0">
        <v>14942</v>
      </c>
      <c r="N645" t="s" s="0">
        <v>14943</v>
      </c>
      <c r="O645" t="s" s="0">
        <v>14944</v>
      </c>
      <c r="P645" t="s" s="0">
        <v>14945</v>
      </c>
      <c r="Q645" t="s" s="0">
        <v>91</v>
      </c>
      <c r="R645" t="s" s="0">
        <v>82</v>
      </c>
      <c r="S645" t="s" s="0">
        <v>82</v>
      </c>
      <c r="T645" t="s" s="0">
        <v>82</v>
      </c>
      <c r="U645" t="s" s="0">
        <v>82</v>
      </c>
      <c r="V645" t="s" s="0">
        <v>14946</v>
      </c>
      <c r="W645" t="s" s="0">
        <v>10272</v>
      </c>
      <c r="X645" t="s" s="0">
        <v>82</v>
      </c>
      <c r="Y645" t="s" s="0">
        <v>82</v>
      </c>
      <c r="Z645" t="s" s="0">
        <v>94</v>
      </c>
      <c r="AA645" t="s" s="0">
        <v>95</v>
      </c>
      <c r="AB645" t="s" s="0">
        <v>82</v>
      </c>
      <c r="AC645" t="s" s="0">
        <v>82</v>
      </c>
      <c r="AD645" t="s" s="0">
        <v>82</v>
      </c>
      <c r="AE645" t="s" s="0">
        <v>82</v>
      </c>
      <c r="AF645" t="s" s="0">
        <v>82</v>
      </c>
      <c r="AG645" t="s" s="0">
        <v>14947</v>
      </c>
      <c r="AH645" t="s" s="0">
        <v>14948</v>
      </c>
      <c r="AI645" t="s" s="0">
        <v>82</v>
      </c>
      <c r="AJ645" t="s" s="0">
        <v>82</v>
      </c>
      <c r="AK645" t="s" s="0">
        <v>82</v>
      </c>
      <c r="AL645" t="s" s="0">
        <v>1526</v>
      </c>
      <c r="AM645" t="s" s="0">
        <v>78</v>
      </c>
      <c r="AN645" t="s" s="0">
        <v>78</v>
      </c>
      <c r="AO645" t="s" s="0">
        <v>78</v>
      </c>
      <c r="AP645" t="s" s="0">
        <v>78</v>
      </c>
      <c r="AQ645" t="s" s="0">
        <v>5760</v>
      </c>
      <c r="AR645" t="s" s="0">
        <v>5761</v>
      </c>
      <c r="AS645" t="s" s="0">
        <v>5762</v>
      </c>
      <c r="AT645" t="s" s="0">
        <v>10277</v>
      </c>
      <c r="AU645" t="s" s="0">
        <v>10278</v>
      </c>
      <c r="AV645" t="s" s="0">
        <v>82</v>
      </c>
      <c r="AW645" t="s" s="0">
        <v>10279</v>
      </c>
      <c r="AX645" t="s" s="0">
        <v>10280</v>
      </c>
      <c r="AY645" t="s" s="0">
        <v>14949</v>
      </c>
      <c r="AZ645" t="s" s="0">
        <v>181</v>
      </c>
      <c r="BA645" t="s" s="0">
        <v>349</v>
      </c>
      <c r="BB645" t="s" s="0">
        <v>375</v>
      </c>
      <c r="BC645" t="s" s="0">
        <v>82</v>
      </c>
      <c r="BD645" t="s" s="0">
        <v>82</v>
      </c>
      <c r="BE645" t="s" s="0">
        <v>82</v>
      </c>
      <c r="BF645" t="s" s="0">
        <v>82</v>
      </c>
      <c r="BG645" t="s" s="0">
        <v>82</v>
      </c>
      <c r="BH645" t="s" s="0">
        <v>82</v>
      </c>
      <c r="BI645" t="s" s="0">
        <v>13601</v>
      </c>
      <c r="BJ645" t="s" s="0">
        <v>14950</v>
      </c>
      <c r="BK645" t="s" s="1283">
        <f>HYPERLINK("http://dx.doi.org/10.21037/gs-2026-1-0107","http://dx.doi.org/10.21037/gs-2026-1-0107")</f>
        <v>14951</v>
      </c>
      <c r="BL645" t="s" s="0">
        <v>82</v>
      </c>
      <c r="BM645" t="s" s="0">
        <v>82</v>
      </c>
      <c r="BN645" t="s" s="0">
        <v>349</v>
      </c>
      <c r="BO645" t="s" s="0">
        <v>950</v>
      </c>
      <c r="BP645" t="s" s="0">
        <v>950</v>
      </c>
      <c r="BQ645" t="s" s="0">
        <v>14952</v>
      </c>
      <c r="BR645" t="s" s="0">
        <v>14953</v>
      </c>
      <c r="BS645" t="s" s="0">
        <v>14954</v>
      </c>
      <c r="BT645" t="s" s="1284">
        <f>HYPERLINK("https://www.webofscience.com/wos/woscc/full-record/WOS:001821264300012","View Record in Web of Science")</f>
        <v>120</v>
      </c>
      <c r="BU645" t="s" s="0">
        <v>121</v>
      </c>
      <c r="BV645" t="s" s="0">
        <v>82</v>
      </c>
      <c r="BW645" t="s" s="0">
        <v>82</v>
      </c>
      <c r="BX645" t="s" s="0">
        <v>122</v>
      </c>
    </row>
    <row r="646">
      <c r="A646" t="s" s="0">
        <v>78</v>
      </c>
      <c r="B646" t="s" s="0">
        <v>78</v>
      </c>
      <c r="C646" t="s" s="0">
        <v>78</v>
      </c>
      <c r="D646" t="s" s="0">
        <v>78</v>
      </c>
      <c r="E646" t="s" s="0">
        <v>14955</v>
      </c>
      <c r="F646" t="s" s="0">
        <v>14956</v>
      </c>
      <c r="G646" t="s" s="0">
        <v>14957</v>
      </c>
      <c r="H646" t="s" s="0">
        <v>82</v>
      </c>
      <c r="I646" t="s" s="0">
        <v>83</v>
      </c>
      <c r="J646" t="s" s="0">
        <v>14958</v>
      </c>
      <c r="K646" t="s" s="0">
        <v>14959</v>
      </c>
      <c r="L646" t="s" s="0">
        <v>14960</v>
      </c>
      <c r="M646" t="s" s="0">
        <v>14961</v>
      </c>
      <c r="N646" t="s" s="0">
        <v>14962</v>
      </c>
      <c r="O646" t="s" s="0">
        <v>14963</v>
      </c>
      <c r="P646" t="s" s="0">
        <v>14964</v>
      </c>
      <c r="Q646" t="s" s="0">
        <v>91</v>
      </c>
      <c r="R646" t="s" s="0">
        <v>82</v>
      </c>
      <c r="S646" t="s" s="0">
        <v>82</v>
      </c>
      <c r="T646" t="s" s="0">
        <v>82</v>
      </c>
      <c r="U646" t="s" s="0">
        <v>82</v>
      </c>
      <c r="V646" t="s" s="0">
        <v>14965</v>
      </c>
      <c r="W646" t="s" s="0">
        <v>4358</v>
      </c>
      <c r="X646" t="s" s="0">
        <v>82</v>
      </c>
      <c r="Y646" t="s" s="0">
        <v>82</v>
      </c>
      <c r="Z646" t="s" s="0">
        <v>94</v>
      </c>
      <c r="AA646" t="s" s="0">
        <v>95</v>
      </c>
      <c r="AB646" t="s" s="0">
        <v>82</v>
      </c>
      <c r="AC646" t="s" s="0">
        <v>82</v>
      </c>
      <c r="AD646" t="s" s="0">
        <v>82</v>
      </c>
      <c r="AE646" t="s" s="0">
        <v>82</v>
      </c>
      <c r="AF646" t="s" s="0">
        <v>82</v>
      </c>
      <c r="AG646" t="s" s="0">
        <v>14966</v>
      </c>
      <c r="AH646" t="s" s="0">
        <v>6291</v>
      </c>
      <c r="AI646" t="s" s="0">
        <v>82</v>
      </c>
      <c r="AJ646" t="s" s="0">
        <v>14967</v>
      </c>
      <c r="AK646" t="s" s="0">
        <v>82</v>
      </c>
      <c r="AL646" t="s" s="0">
        <v>745</v>
      </c>
      <c r="AM646" t="s" s="0">
        <v>78</v>
      </c>
      <c r="AN646" t="s" s="0">
        <v>78</v>
      </c>
      <c r="AO646" t="s" s="0">
        <v>447</v>
      </c>
      <c r="AP646" t="s" s="0">
        <v>447</v>
      </c>
      <c r="AQ646" t="s" s="0">
        <v>1710</v>
      </c>
      <c r="AR646" t="s" s="0">
        <v>1711</v>
      </c>
      <c r="AS646" t="s" s="0">
        <v>1712</v>
      </c>
      <c r="AT646" t="s" s="0">
        <v>4362</v>
      </c>
      <c r="AU646" t="s" s="0">
        <v>4363</v>
      </c>
      <c r="AV646" t="s" s="0">
        <v>82</v>
      </c>
      <c r="AW646" t="s" s="0">
        <v>4364</v>
      </c>
      <c r="AX646" t="s" s="0">
        <v>4365</v>
      </c>
      <c r="AY646" t="s" s="0">
        <v>14968</v>
      </c>
      <c r="AZ646" t="s" s="0">
        <v>181</v>
      </c>
      <c r="BA646" t="s" s="0">
        <v>399</v>
      </c>
      <c r="BB646" t="s" s="0">
        <v>82</v>
      </c>
      <c r="BC646" t="s" s="0">
        <v>82</v>
      </c>
      <c r="BD646" t="s" s="0">
        <v>82</v>
      </c>
      <c r="BE646" t="s" s="0">
        <v>82</v>
      </c>
      <c r="BF646" t="s" s="0">
        <v>82</v>
      </c>
      <c r="BG646" t="s" s="0">
        <v>82</v>
      </c>
      <c r="BH646" t="s" s="0">
        <v>82</v>
      </c>
      <c r="BI646" t="s" s="0">
        <v>14969</v>
      </c>
      <c r="BJ646" t="s" s="0">
        <v>14970</v>
      </c>
      <c r="BK646" t="s" s="1285">
        <f>HYPERLINK("http://dx.doi.org/10.2196/86087","http://dx.doi.org/10.2196/86087")</f>
        <v>14971</v>
      </c>
      <c r="BL646" t="s" s="0">
        <v>82</v>
      </c>
      <c r="BM646" t="s" s="0">
        <v>82</v>
      </c>
      <c r="BN646" t="s" s="0">
        <v>640</v>
      </c>
      <c r="BO646" t="s" s="0">
        <v>785</v>
      </c>
      <c r="BP646" t="s" s="0">
        <v>785</v>
      </c>
      <c r="BQ646" t="s" s="0">
        <v>14972</v>
      </c>
      <c r="BR646" t="s" s="0">
        <v>14973</v>
      </c>
      <c r="BS646" t="s" s="0">
        <v>14974</v>
      </c>
      <c r="BT646" t="s" s="1286">
        <f>HYPERLINK("https://www.webofscience.com/wos/woscc/full-record/WOS:001824822800003","View Record in Web of Science")</f>
        <v>120</v>
      </c>
      <c r="BU646" t="s" s="0">
        <v>121</v>
      </c>
      <c r="BV646" t="s" s="0">
        <v>82</v>
      </c>
      <c r="BW646" t="s" s="0">
        <v>82</v>
      </c>
      <c r="BX646" t="s" s="0">
        <v>122</v>
      </c>
    </row>
    <row r="647">
      <c r="A647" t="s" s="0">
        <v>78</v>
      </c>
      <c r="B647" t="s" s="0">
        <v>78</v>
      </c>
      <c r="C647" t="s" s="0">
        <v>136</v>
      </c>
      <c r="D647" t="s" s="0">
        <v>78</v>
      </c>
      <c r="E647" t="s" s="0">
        <v>14975</v>
      </c>
      <c r="F647" t="s" s="0">
        <v>14976</v>
      </c>
      <c r="G647" t="s" s="0">
        <v>14977</v>
      </c>
      <c r="H647" t="s" s="0">
        <v>82</v>
      </c>
      <c r="I647" t="s" s="0">
        <v>83</v>
      </c>
      <c r="J647" t="s" s="0">
        <v>14978</v>
      </c>
      <c r="K647" t="s" s="0">
        <v>14979</v>
      </c>
      <c r="L647" t="s" s="0">
        <v>82</v>
      </c>
      <c r="M647" t="s" s="0">
        <v>82</v>
      </c>
      <c r="N647" t="s" s="0">
        <v>82</v>
      </c>
      <c r="O647" t="s" s="0">
        <v>14980</v>
      </c>
      <c r="P647" t="s" s="0">
        <v>14981</v>
      </c>
      <c r="Q647" t="s" s="0">
        <v>91</v>
      </c>
      <c r="R647" t="s" s="0">
        <v>82</v>
      </c>
      <c r="S647" t="s" s="0">
        <v>82</v>
      </c>
      <c r="T647" t="s" s="0">
        <v>82</v>
      </c>
      <c r="U647" t="s" s="0">
        <v>82</v>
      </c>
      <c r="V647" t="s" s="0">
        <v>14982</v>
      </c>
      <c r="W647" t="s" s="0">
        <v>4358</v>
      </c>
      <c r="X647" t="s" s="0">
        <v>82</v>
      </c>
      <c r="Y647" t="s" s="0">
        <v>82</v>
      </c>
      <c r="Z647" t="s" s="0">
        <v>94</v>
      </c>
      <c r="AA647" t="s" s="0">
        <v>95</v>
      </c>
      <c r="AB647" t="s" s="0">
        <v>82</v>
      </c>
      <c r="AC647" t="s" s="0">
        <v>82</v>
      </c>
      <c r="AD647" t="s" s="0">
        <v>82</v>
      </c>
      <c r="AE647" t="s" s="0">
        <v>82</v>
      </c>
      <c r="AF647" t="s" s="0">
        <v>82</v>
      </c>
      <c r="AG647" t="s" s="0">
        <v>14983</v>
      </c>
      <c r="AH647" t="s" s="0">
        <v>82</v>
      </c>
      <c r="AI647" t="s" s="0">
        <v>82</v>
      </c>
      <c r="AJ647" t="s" s="0">
        <v>14984</v>
      </c>
      <c r="AK647" t="s" s="0">
        <v>82</v>
      </c>
      <c r="AL647" t="s" s="0">
        <v>374</v>
      </c>
      <c r="AM647" t="s" s="0">
        <v>273</v>
      </c>
      <c r="AN647" t="s" s="0">
        <v>344</v>
      </c>
      <c r="AO647" t="s" s="0">
        <v>78</v>
      </c>
      <c r="AP647" t="s" s="0">
        <v>136</v>
      </c>
      <c r="AQ647" t="s" s="0">
        <v>1710</v>
      </c>
      <c r="AR647" t="s" s="0">
        <v>1711</v>
      </c>
      <c r="AS647" t="s" s="0">
        <v>1712</v>
      </c>
      <c r="AT647" t="s" s="0">
        <v>4362</v>
      </c>
      <c r="AU647" t="s" s="0">
        <v>4363</v>
      </c>
      <c r="AV647" t="s" s="0">
        <v>82</v>
      </c>
      <c r="AW647" t="s" s="0">
        <v>4364</v>
      </c>
      <c r="AX647" t="s" s="0">
        <v>4365</v>
      </c>
      <c r="AY647" t="s" s="0">
        <v>14985</v>
      </c>
      <c r="AZ647" t="s" s="0">
        <v>1035</v>
      </c>
      <c r="BA647" t="s" s="0">
        <v>148</v>
      </c>
      <c r="BB647" t="s" s="0">
        <v>149</v>
      </c>
      <c r="BC647" t="s" s="0">
        <v>82</v>
      </c>
      <c r="BD647" t="s" s="0">
        <v>82</v>
      </c>
      <c r="BE647" t="s" s="0">
        <v>82</v>
      </c>
      <c r="BF647" t="s" s="0">
        <v>82</v>
      </c>
      <c r="BG647" t="s" s="0">
        <v>82</v>
      </c>
      <c r="BH647" t="s" s="0">
        <v>82</v>
      </c>
      <c r="BI647" t="s" s="0">
        <v>14986</v>
      </c>
      <c r="BJ647" t="s" s="0">
        <v>14987</v>
      </c>
      <c r="BK647" t="s" s="1287">
        <f>HYPERLINK("http://dx.doi.org/10.2196/24048","http://dx.doi.org/10.2196/24048")</f>
        <v>14988</v>
      </c>
      <c r="BL647" t="s" s="0">
        <v>82</v>
      </c>
      <c r="BM647" t="s" s="0">
        <v>82</v>
      </c>
      <c r="BN647" t="s" s="0">
        <v>149</v>
      </c>
      <c r="BO647" t="s" s="0">
        <v>785</v>
      </c>
      <c r="BP647" t="s" s="0">
        <v>785</v>
      </c>
      <c r="BQ647" t="s" s="0">
        <v>14989</v>
      </c>
      <c r="BR647" t="s" s="0">
        <v>14990</v>
      </c>
      <c r="BS647" t="s" s="0">
        <v>14991</v>
      </c>
      <c r="BT647" t="s" s="1288">
        <f>HYPERLINK("https://www.webofscience.com/wos/woscc/full-record/WOS:000602383300002","View Record in Web of Science")</f>
        <v>120</v>
      </c>
      <c r="BU647" t="s" s="0">
        <v>121</v>
      </c>
      <c r="BV647" t="s" s="0">
        <v>82</v>
      </c>
      <c r="BW647" t="s" s="0">
        <v>82</v>
      </c>
      <c r="BX647" t="s" s="0">
        <v>122</v>
      </c>
    </row>
    <row r="648">
      <c r="A648" t="s" s="0">
        <v>78</v>
      </c>
      <c r="B648" t="s" s="0">
        <v>78</v>
      </c>
      <c r="C648" t="s" s="0">
        <v>447</v>
      </c>
      <c r="D648" t="s" s="0">
        <v>78</v>
      </c>
      <c r="E648" t="s" s="0">
        <v>14992</v>
      </c>
      <c r="F648" t="s" s="0">
        <v>14993</v>
      </c>
      <c r="G648" t="s" s="0">
        <v>14994</v>
      </c>
      <c r="H648" t="s" s="0">
        <v>82</v>
      </c>
      <c r="I648" t="s" s="0">
        <v>83</v>
      </c>
      <c r="J648" t="s" s="0">
        <v>14995</v>
      </c>
      <c r="K648" t="s" s="0">
        <v>14996</v>
      </c>
      <c r="L648" t="s" s="0">
        <v>4494</v>
      </c>
      <c r="M648" t="s" s="0">
        <v>4494</v>
      </c>
      <c r="N648" t="s" s="0">
        <v>14997</v>
      </c>
      <c r="O648" t="s" s="0">
        <v>14998</v>
      </c>
      <c r="P648" t="s" s="0">
        <v>14999</v>
      </c>
      <c r="Q648" t="s" s="0">
        <v>91</v>
      </c>
      <c r="R648" t="s" s="0">
        <v>82</v>
      </c>
      <c r="S648" t="s" s="0">
        <v>82</v>
      </c>
      <c r="T648" t="s" s="0">
        <v>82</v>
      </c>
      <c r="U648" t="s" s="0">
        <v>82</v>
      </c>
      <c r="V648" t="s" s="0">
        <v>15000</v>
      </c>
      <c r="W648" t="s" s="0">
        <v>15001</v>
      </c>
      <c r="X648" t="s" s="0">
        <v>82</v>
      </c>
      <c r="Y648" t="s" s="0">
        <v>82</v>
      </c>
      <c r="Z648" t="s" s="0">
        <v>94</v>
      </c>
      <c r="AA648" t="s" s="0">
        <v>95</v>
      </c>
      <c r="AB648" t="s" s="0">
        <v>82</v>
      </c>
      <c r="AC648" t="s" s="0">
        <v>82</v>
      </c>
      <c r="AD648" t="s" s="0">
        <v>82</v>
      </c>
      <c r="AE648" t="s" s="0">
        <v>82</v>
      </c>
      <c r="AF648" t="s" s="0">
        <v>82</v>
      </c>
      <c r="AG648" t="s" s="0">
        <v>15002</v>
      </c>
      <c r="AH648" t="s" s="0">
        <v>15003</v>
      </c>
      <c r="AI648" t="s" s="0">
        <v>15004</v>
      </c>
      <c r="AJ648" t="s" s="0">
        <v>15005</v>
      </c>
      <c r="AK648" t="s" s="0">
        <v>82</v>
      </c>
      <c r="AL648" t="s" s="0">
        <v>148</v>
      </c>
      <c r="AM648" t="s" s="0">
        <v>375</v>
      </c>
      <c r="AN648" t="s" s="0">
        <v>375</v>
      </c>
      <c r="AO648" t="s" s="0">
        <v>78</v>
      </c>
      <c r="AP648" t="s" s="0">
        <v>447</v>
      </c>
      <c r="AQ648" t="s" s="0">
        <v>832</v>
      </c>
      <c r="AR648" t="s" s="0">
        <v>833</v>
      </c>
      <c r="AS648" t="s" s="0">
        <v>834</v>
      </c>
      <c r="AT648" t="s" s="0">
        <v>15006</v>
      </c>
      <c r="AU648" t="s" s="0">
        <v>15007</v>
      </c>
      <c r="AV648" t="s" s="0">
        <v>82</v>
      </c>
      <c r="AW648" t="s" s="0">
        <v>15008</v>
      </c>
      <c r="AX648" t="s" s="0">
        <v>15009</v>
      </c>
      <c r="AY648" t="s" s="0">
        <v>1191</v>
      </c>
      <c r="AZ648" t="s" s="0">
        <v>147</v>
      </c>
      <c r="BA648" t="s" s="0">
        <v>632</v>
      </c>
      <c r="BB648" t="s" s="0">
        <v>77</v>
      </c>
      <c r="BC648" t="s" s="0">
        <v>82</v>
      </c>
      <c r="BD648" t="s" s="0">
        <v>82</v>
      </c>
      <c r="BE648" t="s" s="0">
        <v>82</v>
      </c>
      <c r="BF648" t="s" s="0">
        <v>82</v>
      </c>
      <c r="BG648" t="s" s="0">
        <v>82</v>
      </c>
      <c r="BH648" t="s" s="0">
        <v>82</v>
      </c>
      <c r="BI648" t="s" s="0">
        <v>15010</v>
      </c>
      <c r="BJ648" t="s" s="0">
        <v>15011</v>
      </c>
      <c r="BK648" t="s" s="1289">
        <f>HYPERLINK("http://dx.doi.org/10.1097/RTI.0000000000000798","http://dx.doi.org/10.1097/RTI.0000000000000798")</f>
        <v>15012</v>
      </c>
      <c r="BL648" t="s" s="0">
        <v>82</v>
      </c>
      <c r="BM648" t="s" s="0">
        <v>82</v>
      </c>
      <c r="BN648" t="s" s="0">
        <v>319</v>
      </c>
      <c r="BO648" t="s" s="0">
        <v>414</v>
      </c>
      <c r="BP648" t="s" s="0">
        <v>414</v>
      </c>
      <c r="BQ648" t="s" s="0">
        <v>15013</v>
      </c>
      <c r="BR648" t="s" s="0">
        <v>15014</v>
      </c>
      <c r="BS648" t="s" s="0">
        <v>15015</v>
      </c>
      <c r="BT648" t="s" s="1290">
        <f>HYPERLINK("https://www.webofscience.com/wos/woscc/full-record/WOS:001383038700006","View Record in Web of Science")</f>
        <v>120</v>
      </c>
      <c r="BU648" t="s" s="0">
        <v>82</v>
      </c>
      <c r="BV648" t="s" s="0">
        <v>82</v>
      </c>
      <c r="BW648" t="s" s="0">
        <v>82</v>
      </c>
      <c r="BX648" t="s" s="0">
        <v>122</v>
      </c>
    </row>
    <row r="649">
      <c r="A649" t="s" s="0">
        <v>78</v>
      </c>
      <c r="B649" t="s" s="0">
        <v>78</v>
      </c>
      <c r="C649" t="s" s="0">
        <v>77</v>
      </c>
      <c r="D649" t="s" s="0">
        <v>78</v>
      </c>
      <c r="E649" t="s" s="0">
        <v>15016</v>
      </c>
      <c r="F649" t="s" s="0">
        <v>15017</v>
      </c>
      <c r="G649" t="s" s="0">
        <v>15018</v>
      </c>
      <c r="H649" t="s" s="0">
        <v>82</v>
      </c>
      <c r="I649" t="s" s="0">
        <v>83</v>
      </c>
      <c r="J649" t="s" s="0">
        <v>15019</v>
      </c>
      <c r="K649" t="s" s="0">
        <v>15020</v>
      </c>
      <c r="L649" t="s" s="0">
        <v>15021</v>
      </c>
      <c r="M649" t="s" s="0">
        <v>15022</v>
      </c>
      <c r="N649" t="s" s="0">
        <v>15023</v>
      </c>
      <c r="O649" t="s" s="0">
        <v>15024</v>
      </c>
      <c r="P649" t="s" s="0">
        <v>15025</v>
      </c>
      <c r="Q649" t="s" s="0">
        <v>91</v>
      </c>
      <c r="R649" t="s" s="0">
        <v>82</v>
      </c>
      <c r="S649" t="s" s="0">
        <v>82</v>
      </c>
      <c r="T649" t="s" s="0">
        <v>82</v>
      </c>
      <c r="U649" t="s" s="0">
        <v>82</v>
      </c>
      <c r="V649" t="s" s="0">
        <v>15026</v>
      </c>
      <c r="W649" t="s" s="0">
        <v>4704</v>
      </c>
      <c r="X649" t="s" s="0">
        <v>82</v>
      </c>
      <c r="Y649" t="s" s="0">
        <v>82</v>
      </c>
      <c r="Z649" t="s" s="0">
        <v>94</v>
      </c>
      <c r="AA649" t="s" s="0">
        <v>95</v>
      </c>
      <c r="AB649" t="s" s="0">
        <v>82</v>
      </c>
      <c r="AC649" t="s" s="0">
        <v>82</v>
      </c>
      <c r="AD649" t="s" s="0">
        <v>82</v>
      </c>
      <c r="AE649" t="s" s="0">
        <v>82</v>
      </c>
      <c r="AF649" t="s" s="0">
        <v>82</v>
      </c>
      <c r="AG649" t="s" s="0">
        <v>15027</v>
      </c>
      <c r="AH649" t="s" s="0">
        <v>15028</v>
      </c>
      <c r="AI649" t="s" s="0">
        <v>15029</v>
      </c>
      <c r="AJ649" t="s" s="0">
        <v>15030</v>
      </c>
      <c r="AK649" t="s" s="0">
        <v>82</v>
      </c>
      <c r="AL649" t="s" s="0">
        <v>311</v>
      </c>
      <c r="AM649" t="s" s="0">
        <v>77</v>
      </c>
      <c r="AN649" t="s" s="0">
        <v>101</v>
      </c>
      <c r="AO649" t="s" s="0">
        <v>101</v>
      </c>
      <c r="AP649" t="s" s="0">
        <v>101</v>
      </c>
      <c r="AQ649" t="s" s="0">
        <v>400</v>
      </c>
      <c r="AR649" t="s" s="0">
        <v>401</v>
      </c>
      <c r="AS649" t="s" s="0">
        <v>402</v>
      </c>
      <c r="AT649" t="s" s="0">
        <v>4707</v>
      </c>
      <c r="AU649" t="s" s="0">
        <v>4708</v>
      </c>
      <c r="AV649" t="s" s="0">
        <v>82</v>
      </c>
      <c r="AW649" t="s" s="0">
        <v>4709</v>
      </c>
      <c r="AX649" t="s" s="0">
        <v>4710</v>
      </c>
      <c r="AY649" t="s" s="0">
        <v>1398</v>
      </c>
      <c r="AZ649" t="s" s="0">
        <v>147</v>
      </c>
      <c r="BA649" t="s" s="0">
        <v>3730</v>
      </c>
      <c r="BB649" t="s" s="0">
        <v>82</v>
      </c>
      <c r="BC649" t="s" s="0">
        <v>82</v>
      </c>
      <c r="BD649" t="s" s="0">
        <v>82</v>
      </c>
      <c r="BE649" t="s" s="0">
        <v>82</v>
      </c>
      <c r="BF649" t="s" s="0">
        <v>82</v>
      </c>
      <c r="BG649" t="s" s="0">
        <v>82</v>
      </c>
      <c r="BH649" t="s" s="0">
        <v>82</v>
      </c>
      <c r="BI649" t="s" s="0">
        <v>15031</v>
      </c>
      <c r="BJ649" t="s" s="0">
        <v>15032</v>
      </c>
      <c r="BK649" t="s" s="1291">
        <f>HYPERLINK("http://dx.doi.org/10.1016/j.ijmedinf.2025.105817","http://dx.doi.org/10.1016/j.ijmedinf.2025.105817")</f>
        <v>15033</v>
      </c>
      <c r="BL649" t="s" s="0">
        <v>82</v>
      </c>
      <c r="BM649" t="s" s="0">
        <v>3527</v>
      </c>
      <c r="BN649" t="s" s="0">
        <v>319</v>
      </c>
      <c r="BO649" t="s" s="0">
        <v>4716</v>
      </c>
      <c r="BP649" t="s" s="0">
        <v>4717</v>
      </c>
      <c r="BQ649" t="s" s="0">
        <v>15034</v>
      </c>
      <c r="BR649" t="s" s="0">
        <v>15035</v>
      </c>
      <c r="BS649" t="s" s="0">
        <v>15036</v>
      </c>
      <c r="BT649" t="s" s="1292">
        <f>HYPERLINK("https://www.webofscience.com/wos/woscc/full-record/WOS:001417059100001","View Record in Web of Science")</f>
        <v>120</v>
      </c>
      <c r="BU649" t="s" s="0">
        <v>159</v>
      </c>
      <c r="BV649" t="s" s="0">
        <v>82</v>
      </c>
      <c r="BW649" t="s" s="0">
        <v>82</v>
      </c>
      <c r="BX649" t="s" s="0">
        <v>122</v>
      </c>
    </row>
    <row r="650">
      <c r="A650" t="s" s="0">
        <v>78</v>
      </c>
      <c r="B650" t="s" s="0">
        <v>78</v>
      </c>
      <c r="C650" t="s" s="0">
        <v>78</v>
      </c>
      <c r="D650" t="s" s="0">
        <v>78</v>
      </c>
      <c r="E650" t="s" s="0">
        <v>15037</v>
      </c>
      <c r="F650" t="s" s="0">
        <v>15038</v>
      </c>
      <c r="G650" t="s" s="0">
        <v>15039</v>
      </c>
      <c r="H650" t="s" s="0">
        <v>82</v>
      </c>
      <c r="I650" t="s" s="0">
        <v>83</v>
      </c>
      <c r="J650" t="s" s="0">
        <v>15040</v>
      </c>
      <c r="K650" t="s" s="0">
        <v>15041</v>
      </c>
      <c r="L650" t="s" s="0">
        <v>82</v>
      </c>
      <c r="M650" t="s" s="0">
        <v>82</v>
      </c>
      <c r="N650" t="s" s="0">
        <v>82</v>
      </c>
      <c r="O650" t="s" s="0">
        <v>15042</v>
      </c>
      <c r="P650" t="s" s="0">
        <v>15043</v>
      </c>
      <c r="Q650" t="s" s="0">
        <v>91</v>
      </c>
      <c r="R650" t="s" s="0">
        <v>82</v>
      </c>
      <c r="S650" t="s" s="0">
        <v>82</v>
      </c>
      <c r="T650" t="s" s="0">
        <v>82</v>
      </c>
      <c r="U650" t="s" s="0">
        <v>82</v>
      </c>
      <c r="V650" t="s" s="0">
        <v>15044</v>
      </c>
      <c r="W650" t="s" s="0">
        <v>2480</v>
      </c>
      <c r="X650" t="s" s="0">
        <v>82</v>
      </c>
      <c r="Y650" t="s" s="0">
        <v>82</v>
      </c>
      <c r="Z650" t="s" s="0">
        <v>94</v>
      </c>
      <c r="AA650" t="s" s="0">
        <v>95</v>
      </c>
      <c r="AB650" t="s" s="0">
        <v>82</v>
      </c>
      <c r="AC650" t="s" s="0">
        <v>82</v>
      </c>
      <c r="AD650" t="s" s="0">
        <v>82</v>
      </c>
      <c r="AE650" t="s" s="0">
        <v>82</v>
      </c>
      <c r="AF650" t="s" s="0">
        <v>82</v>
      </c>
      <c r="AG650" t="s" s="0">
        <v>15045</v>
      </c>
      <c r="AH650" t="s" s="0">
        <v>15046</v>
      </c>
      <c r="AI650" t="s" s="0">
        <v>15047</v>
      </c>
      <c r="AJ650" t="s" s="0">
        <v>82</v>
      </c>
      <c r="AK650" t="s" s="0">
        <v>82</v>
      </c>
      <c r="AL650" t="s" s="0">
        <v>863</v>
      </c>
      <c r="AM650" t="s" s="0">
        <v>78</v>
      </c>
      <c r="AN650" t="s" s="0">
        <v>78</v>
      </c>
      <c r="AO650" t="s" s="0">
        <v>77</v>
      </c>
      <c r="AP650" t="s" s="0">
        <v>77</v>
      </c>
      <c r="AQ650" t="s" s="0">
        <v>2484</v>
      </c>
      <c r="AR650" t="s" s="0">
        <v>2485</v>
      </c>
      <c r="AS650" t="s" s="0">
        <v>2486</v>
      </c>
      <c r="AT650" t="s" s="0">
        <v>2487</v>
      </c>
      <c r="AU650" t="s" s="0">
        <v>82</v>
      </c>
      <c r="AV650" t="s" s="0">
        <v>82</v>
      </c>
      <c r="AW650" t="s" s="0">
        <v>2488</v>
      </c>
      <c r="AX650" t="s" s="0">
        <v>2489</v>
      </c>
      <c r="AY650" t="s" s="0">
        <v>7591</v>
      </c>
      <c r="AZ650" t="s" s="0">
        <v>181</v>
      </c>
      <c r="BA650" t="s" s="0">
        <v>239</v>
      </c>
      <c r="BB650" t="s" s="0">
        <v>82</v>
      </c>
      <c r="BC650" t="s" s="0">
        <v>82</v>
      </c>
      <c r="BD650" t="s" s="0">
        <v>82</v>
      </c>
      <c r="BE650" t="s" s="0">
        <v>82</v>
      </c>
      <c r="BF650" t="s" s="0">
        <v>82</v>
      </c>
      <c r="BG650" t="s" s="0">
        <v>82</v>
      </c>
      <c r="BH650" t="s" s="0">
        <v>82</v>
      </c>
      <c r="BI650" t="s" s="0">
        <v>15048</v>
      </c>
      <c r="BJ650" t="s" s="0">
        <v>15049</v>
      </c>
      <c r="BK650" t="s" s="1293">
        <f>HYPERLINK("http://dx.doi.org/10.3389/fendo.2026.1699647","http://dx.doi.org/10.3389/fendo.2026.1699647")</f>
        <v>15050</v>
      </c>
      <c r="BL650" t="s" s="0">
        <v>82</v>
      </c>
      <c r="BM650" t="s" s="0">
        <v>82</v>
      </c>
      <c r="BN650" t="s" s="0">
        <v>323</v>
      </c>
      <c r="BO650" t="s" s="0">
        <v>697</v>
      </c>
      <c r="BP650" t="s" s="0">
        <v>697</v>
      </c>
      <c r="BQ650" t="s" s="0">
        <v>15051</v>
      </c>
      <c r="BR650" t="s" s="0">
        <v>15052</v>
      </c>
      <c r="BS650" t="s" s="0">
        <v>15053</v>
      </c>
      <c r="BT650" t="s" s="1294">
        <f>HYPERLINK("https://www.webofscience.com/wos/woscc/full-record/WOS:001713119000001","View Record in Web of Science")</f>
        <v>120</v>
      </c>
      <c r="BU650" t="s" s="0">
        <v>121</v>
      </c>
      <c r="BV650" t="s" s="0">
        <v>82</v>
      </c>
      <c r="BW650" t="s" s="0">
        <v>82</v>
      </c>
      <c r="BX650" t="s" s="0">
        <v>122</v>
      </c>
    </row>
    <row r="651">
      <c r="A651" t="s" s="0">
        <v>78</v>
      </c>
      <c r="B651" t="s" s="0">
        <v>78</v>
      </c>
      <c r="C651" t="s" s="0">
        <v>78</v>
      </c>
      <c r="D651" t="s" s="0">
        <v>78</v>
      </c>
      <c r="E651" t="s" s="0">
        <v>15054</v>
      </c>
      <c r="F651" t="s" s="0">
        <v>15055</v>
      </c>
      <c r="G651" t="s" s="0">
        <v>15056</v>
      </c>
      <c r="H651" t="s" s="0">
        <v>82</v>
      </c>
      <c r="I651" t="s" s="0">
        <v>83</v>
      </c>
      <c r="J651" t="s" s="0">
        <v>15057</v>
      </c>
      <c r="K651" t="s" s="0">
        <v>11129</v>
      </c>
      <c r="L651" t="s" s="0">
        <v>15058</v>
      </c>
      <c r="M651" t="s" s="0">
        <v>15059</v>
      </c>
      <c r="N651" t="s" s="0">
        <v>15060</v>
      </c>
      <c r="O651" t="s" s="0">
        <v>15061</v>
      </c>
      <c r="P651" t="s" s="0">
        <v>11134</v>
      </c>
      <c r="Q651" t="s" s="0">
        <v>91</v>
      </c>
      <c r="R651" t="s" s="0">
        <v>82</v>
      </c>
      <c r="S651" t="s" s="0">
        <v>82</v>
      </c>
      <c r="T651" t="s" s="0">
        <v>82</v>
      </c>
      <c r="U651" t="s" s="0">
        <v>82</v>
      </c>
      <c r="V651" t="s" s="0">
        <v>15062</v>
      </c>
      <c r="W651" t="s" s="0">
        <v>4704</v>
      </c>
      <c r="X651" t="s" s="0">
        <v>82</v>
      </c>
      <c r="Y651" t="s" s="0">
        <v>82</v>
      </c>
      <c r="Z651" t="s" s="0">
        <v>94</v>
      </c>
      <c r="AA651" t="s" s="0">
        <v>95</v>
      </c>
      <c r="AB651" t="s" s="0">
        <v>82</v>
      </c>
      <c r="AC651" t="s" s="0">
        <v>82</v>
      </c>
      <c r="AD651" t="s" s="0">
        <v>82</v>
      </c>
      <c r="AE651" t="s" s="0">
        <v>82</v>
      </c>
      <c r="AF651" t="s" s="0">
        <v>82</v>
      </c>
      <c r="AG651" t="s" s="0">
        <v>15063</v>
      </c>
      <c r="AH651" t="s" s="0">
        <v>15064</v>
      </c>
      <c r="AI651" t="s" s="0">
        <v>15065</v>
      </c>
      <c r="AJ651" t="s" s="0">
        <v>11139</v>
      </c>
      <c r="AK651" t="s" s="0">
        <v>82</v>
      </c>
      <c r="AL651" t="s" s="0">
        <v>1658</v>
      </c>
      <c r="AM651" t="s" s="0">
        <v>77</v>
      </c>
      <c r="AN651" t="s" s="0">
        <v>77</v>
      </c>
      <c r="AO651" t="s" s="0">
        <v>137</v>
      </c>
      <c r="AP651" t="s" s="0">
        <v>149</v>
      </c>
      <c r="AQ651" t="s" s="0">
        <v>400</v>
      </c>
      <c r="AR651" t="s" s="0">
        <v>401</v>
      </c>
      <c r="AS651" t="s" s="0">
        <v>402</v>
      </c>
      <c r="AT651" t="s" s="0">
        <v>4707</v>
      </c>
      <c r="AU651" t="s" s="0">
        <v>4708</v>
      </c>
      <c r="AV651" t="s" s="0">
        <v>82</v>
      </c>
      <c r="AW651" t="s" s="0">
        <v>4709</v>
      </c>
      <c r="AX651" t="s" s="0">
        <v>4710</v>
      </c>
      <c r="AY651" t="s" s="0">
        <v>14909</v>
      </c>
      <c r="AZ651" t="s" s="0">
        <v>181</v>
      </c>
      <c r="BA651" t="s" s="0">
        <v>11165</v>
      </c>
      <c r="BB651" t="s" s="0">
        <v>82</v>
      </c>
      <c r="BC651" t="s" s="0">
        <v>82</v>
      </c>
      <c r="BD651" t="s" s="0">
        <v>82</v>
      </c>
      <c r="BE651" t="s" s="0">
        <v>82</v>
      </c>
      <c r="BF651" t="s" s="0">
        <v>82</v>
      </c>
      <c r="BG651" t="s" s="0">
        <v>82</v>
      </c>
      <c r="BH651" t="s" s="0">
        <v>82</v>
      </c>
      <c r="BI651" t="s" s="0">
        <v>15066</v>
      </c>
      <c r="BJ651" t="s" s="0">
        <v>15067</v>
      </c>
      <c r="BK651" t="s" s="1295">
        <f>HYPERLINK("http://dx.doi.org/10.1016/j.ijmedinf.2026.106274","http://dx.doi.org/10.1016/j.ijmedinf.2026.106274")</f>
        <v>15068</v>
      </c>
      <c r="BL651" t="s" s="0">
        <v>82</v>
      </c>
      <c r="BM651" t="s" s="0">
        <v>2302</v>
      </c>
      <c r="BN651" t="s" s="0">
        <v>245</v>
      </c>
      <c r="BO651" t="s" s="0">
        <v>4716</v>
      </c>
      <c r="BP651" t="s" s="0">
        <v>4717</v>
      </c>
      <c r="BQ651" t="s" s="0">
        <v>15069</v>
      </c>
      <c r="BR651" t="s" s="0">
        <v>15070</v>
      </c>
      <c r="BS651" t="s" s="0">
        <v>15071</v>
      </c>
      <c r="BT651" t="s" s="1296">
        <f>HYPERLINK("https://www.webofscience.com/wos/woscc/full-record/WOS:001665028400001","View Record in Web of Science")</f>
        <v>120</v>
      </c>
      <c r="BU651" t="s" s="0">
        <v>82</v>
      </c>
      <c r="BV651" t="s" s="0">
        <v>82</v>
      </c>
      <c r="BW651" t="s" s="0">
        <v>82</v>
      </c>
      <c r="BX651" t="s" s="0">
        <v>122</v>
      </c>
    </row>
    <row r="652">
      <c r="A652" t="s" s="0">
        <v>78</v>
      </c>
      <c r="B652" t="s" s="0">
        <v>78</v>
      </c>
      <c r="C652" t="s" s="0">
        <v>101</v>
      </c>
      <c r="D652" t="s" s="0">
        <v>78</v>
      </c>
      <c r="E652" t="s" s="0">
        <v>15072</v>
      </c>
      <c r="F652" t="s" s="0">
        <v>15073</v>
      </c>
      <c r="G652" t="s" s="0">
        <v>15074</v>
      </c>
      <c r="H652" t="s" s="0">
        <v>82</v>
      </c>
      <c r="I652" t="s" s="0">
        <v>83</v>
      </c>
      <c r="J652" t="s" s="0">
        <v>15075</v>
      </c>
      <c r="K652" t="s" s="0">
        <v>15076</v>
      </c>
      <c r="L652" t="s" s="0">
        <v>15077</v>
      </c>
      <c r="M652" t="s" s="0">
        <v>6610</v>
      </c>
      <c r="N652" t="s" s="0">
        <v>15078</v>
      </c>
      <c r="O652" t="s" s="0">
        <v>15079</v>
      </c>
      <c r="P652" t="s" s="0">
        <v>15080</v>
      </c>
      <c r="Q652" t="s" s="0">
        <v>91</v>
      </c>
      <c r="R652" t="s" s="0">
        <v>82</v>
      </c>
      <c r="S652" t="s" s="0">
        <v>82</v>
      </c>
      <c r="T652" t="s" s="0">
        <v>82</v>
      </c>
      <c r="U652" t="s" s="0">
        <v>82</v>
      </c>
      <c r="V652" t="s" s="0">
        <v>15081</v>
      </c>
      <c r="W652" t="s" s="0">
        <v>7015</v>
      </c>
      <c r="X652" t="s" s="0">
        <v>82</v>
      </c>
      <c r="Y652" t="s" s="0">
        <v>82</v>
      </c>
      <c r="Z652" t="s" s="0">
        <v>94</v>
      </c>
      <c r="AA652" t="s" s="0">
        <v>95</v>
      </c>
      <c r="AB652" t="s" s="0">
        <v>82</v>
      </c>
      <c r="AC652" t="s" s="0">
        <v>82</v>
      </c>
      <c r="AD652" t="s" s="0">
        <v>82</v>
      </c>
      <c r="AE652" t="s" s="0">
        <v>82</v>
      </c>
      <c r="AF652" t="s" s="0">
        <v>82</v>
      </c>
      <c r="AG652" t="s" s="0">
        <v>15082</v>
      </c>
      <c r="AH652" t="s" s="0">
        <v>82</v>
      </c>
      <c r="AI652" t="s" s="0">
        <v>15083</v>
      </c>
      <c r="AJ652" t="s" s="0">
        <v>82</v>
      </c>
      <c r="AK652" t="s" s="0">
        <v>82</v>
      </c>
      <c r="AL652" t="s" s="0">
        <v>77</v>
      </c>
      <c r="AM652" t="s" s="0">
        <v>115</v>
      </c>
      <c r="AN652" t="s" s="0">
        <v>115</v>
      </c>
      <c r="AO652" t="s" s="0">
        <v>78</v>
      </c>
      <c r="AP652" t="s" s="0">
        <v>375</v>
      </c>
      <c r="AQ652" t="s" s="0">
        <v>202</v>
      </c>
      <c r="AR652" t="s" s="0">
        <v>203</v>
      </c>
      <c r="AS652" t="s" s="0">
        <v>7020</v>
      </c>
      <c r="AT652" t="s" s="0">
        <v>7021</v>
      </c>
      <c r="AU652" t="s" s="0">
        <v>7022</v>
      </c>
      <c r="AV652" t="s" s="0">
        <v>82</v>
      </c>
      <c r="AW652" t="s" s="0">
        <v>7023</v>
      </c>
      <c r="AX652" t="s" s="0">
        <v>7024</v>
      </c>
      <c r="AY652" t="s" s="0">
        <v>209</v>
      </c>
      <c r="AZ652" t="s" s="0">
        <v>210</v>
      </c>
      <c r="BA652" t="s" s="0">
        <v>685</v>
      </c>
      <c r="BB652" t="s" s="0">
        <v>221</v>
      </c>
      <c r="BC652" t="s" s="0">
        <v>82</v>
      </c>
      <c r="BD652" t="s" s="0">
        <v>82</v>
      </c>
      <c r="BE652" t="s" s="0">
        <v>82</v>
      </c>
      <c r="BF652" t="s" s="0">
        <v>82</v>
      </c>
      <c r="BG652" t="s" s="0">
        <v>15084</v>
      </c>
      <c r="BH652" t="s" s="0">
        <v>15085</v>
      </c>
      <c r="BI652" t="s" s="0">
        <v>82</v>
      </c>
      <c r="BJ652" t="s" s="0">
        <v>15086</v>
      </c>
      <c r="BK652" t="s" s="1297">
        <f>HYPERLINK("http://dx.doi.org/10.1016/j.spinee.2023.01.008","http://dx.doi.org/10.1016/j.spinee.2023.01.008")</f>
        <v>15087</v>
      </c>
      <c r="BL652" t="s" s="0">
        <v>82</v>
      </c>
      <c r="BM652" t="s" s="0">
        <v>6067</v>
      </c>
      <c r="BN652" t="s" s="0">
        <v>136</v>
      </c>
      <c r="BO652" t="s" s="0">
        <v>2062</v>
      </c>
      <c r="BP652" t="s" s="0">
        <v>2063</v>
      </c>
      <c r="BQ652" t="s" s="0">
        <v>15088</v>
      </c>
      <c r="BR652" t="s" s="0">
        <v>15089</v>
      </c>
      <c r="BS652" t="s" s="0">
        <v>15090</v>
      </c>
      <c r="BT652" t="s" s="1298">
        <f>HYPERLINK("https://www.webofscience.com/wos/woscc/full-record/WOS:000988666700001","View Record in Web of Science")</f>
        <v>120</v>
      </c>
      <c r="BU652" t="s" s="0">
        <v>82</v>
      </c>
      <c r="BV652" t="s" s="0">
        <v>82</v>
      </c>
      <c r="BW652" t="s" s="0">
        <v>82</v>
      </c>
      <c r="BX652" t="s" s="0">
        <v>122</v>
      </c>
    </row>
    <row r="653">
      <c r="A653" t="s" s="0">
        <v>77</v>
      </c>
      <c r="B653" t="s" s="0">
        <v>78</v>
      </c>
      <c r="C653" t="s" s="0">
        <v>102</v>
      </c>
      <c r="D653" t="s" s="0">
        <v>78</v>
      </c>
      <c r="E653" t="s" s="0">
        <v>15091</v>
      </c>
      <c r="F653" t="s" s="0">
        <v>15092</v>
      </c>
      <c r="G653" t="s" s="0">
        <v>15093</v>
      </c>
      <c r="H653" t="s" s="0">
        <v>82</v>
      </c>
      <c r="I653" t="s" s="0">
        <v>83</v>
      </c>
      <c r="J653" t="s" s="0">
        <v>15094</v>
      </c>
      <c r="K653" t="s" s="0">
        <v>15095</v>
      </c>
      <c r="L653" t="s" s="0">
        <v>15096</v>
      </c>
      <c r="M653" t="s" s="0">
        <v>15097</v>
      </c>
      <c r="N653" t="s" s="0">
        <v>15098</v>
      </c>
      <c r="O653" t="s" s="0">
        <v>15099</v>
      </c>
      <c r="P653" t="s" s="0">
        <v>15100</v>
      </c>
      <c r="Q653" t="s" s="0">
        <v>91</v>
      </c>
      <c r="R653" t="s" s="0">
        <v>82</v>
      </c>
      <c r="S653" t="s" s="0">
        <v>82</v>
      </c>
      <c r="T653" t="s" s="0">
        <v>82</v>
      </c>
      <c r="U653" t="s" s="0">
        <v>82</v>
      </c>
      <c r="V653" t="s" s="0">
        <v>15101</v>
      </c>
      <c r="W653" t="s" s="0">
        <v>15102</v>
      </c>
      <c r="X653" t="s" s="0">
        <v>82</v>
      </c>
      <c r="Y653" t="s" s="0">
        <v>82</v>
      </c>
      <c r="Z653" t="s" s="0">
        <v>94</v>
      </c>
      <c r="AA653" t="s" s="0">
        <v>95</v>
      </c>
      <c r="AB653" t="s" s="0">
        <v>82</v>
      </c>
      <c r="AC653" t="s" s="0">
        <v>82</v>
      </c>
      <c r="AD653" t="s" s="0">
        <v>82</v>
      </c>
      <c r="AE653" t="s" s="0">
        <v>82</v>
      </c>
      <c r="AF653" t="s" s="0">
        <v>82</v>
      </c>
      <c r="AG653" t="s" s="0">
        <v>15103</v>
      </c>
      <c r="AH653" t="s" s="0">
        <v>15104</v>
      </c>
      <c r="AI653" t="s" s="0">
        <v>15105</v>
      </c>
      <c r="AJ653" t="s" s="0">
        <v>15106</v>
      </c>
      <c r="AK653" t="s" s="0">
        <v>82</v>
      </c>
      <c r="AL653" t="s" s="0">
        <v>111</v>
      </c>
      <c r="AM653" t="s" s="0">
        <v>640</v>
      </c>
      <c r="AN653" t="s" s="0">
        <v>239</v>
      </c>
      <c r="AO653" t="s" s="0">
        <v>78</v>
      </c>
      <c r="AP653" t="s" s="0">
        <v>149</v>
      </c>
      <c r="AQ653" t="s" s="0">
        <v>491</v>
      </c>
      <c r="AR653" t="s" s="0">
        <v>492</v>
      </c>
      <c r="AS653" t="s" s="0">
        <v>493</v>
      </c>
      <c r="AT653" t="s" s="0">
        <v>15107</v>
      </c>
      <c r="AU653" t="s" s="0">
        <v>15108</v>
      </c>
      <c r="AV653" t="s" s="0">
        <v>82</v>
      </c>
      <c r="AW653" t="s" s="0">
        <v>15109</v>
      </c>
      <c r="AX653" t="s" s="0">
        <v>15110</v>
      </c>
      <c r="AY653" t="s" s="0">
        <v>10941</v>
      </c>
      <c r="AZ653" t="s" s="0">
        <v>147</v>
      </c>
      <c r="BA653" t="s" s="0">
        <v>6202</v>
      </c>
      <c r="BB653" t="s" s="0">
        <v>138</v>
      </c>
      <c r="BC653" t="s" s="0">
        <v>82</v>
      </c>
      <c r="BD653" t="s" s="0">
        <v>82</v>
      </c>
      <c r="BE653" t="s" s="0">
        <v>82</v>
      </c>
      <c r="BF653" t="s" s="0">
        <v>82</v>
      </c>
      <c r="BG653" t="s" s="0">
        <v>5741</v>
      </c>
      <c r="BH653" t="s" s="0">
        <v>15111</v>
      </c>
      <c r="BI653" t="s" s="0">
        <v>82</v>
      </c>
      <c r="BJ653" t="s" s="0">
        <v>15112</v>
      </c>
      <c r="BK653" t="s" s="1299">
        <f>HYPERLINK("http://dx.doi.org/10.1164/rccm.202409-1847OC","http://dx.doi.org/10.1164/rccm.202409-1847OC")</f>
        <v>15113</v>
      </c>
      <c r="BL653" t="s" s="0">
        <v>82</v>
      </c>
      <c r="BM653" t="s" s="0">
        <v>82</v>
      </c>
      <c r="BN653" t="s" s="0">
        <v>137</v>
      </c>
      <c r="BO653" t="s" s="0">
        <v>3962</v>
      </c>
      <c r="BP653" t="s" s="0">
        <v>3963</v>
      </c>
      <c r="BQ653" t="s" s="0">
        <v>15114</v>
      </c>
      <c r="BR653" t="s" s="0">
        <v>15115</v>
      </c>
      <c r="BS653" t="s" s="0">
        <v>15116</v>
      </c>
      <c r="BT653" t="s" s="1300">
        <f>HYPERLINK("https://www.webofscience.com/wos/woscc/full-record/WOS:001558871400001","View Record in Web of Science")</f>
        <v>120</v>
      </c>
      <c r="BU653" t="s" s="0">
        <v>1265</v>
      </c>
      <c r="BV653" t="s" s="0">
        <v>82</v>
      </c>
      <c r="BW653" t="s" s="0">
        <v>82</v>
      </c>
      <c r="BX653" t="s" s="0">
        <v>122</v>
      </c>
    </row>
    <row r="654">
      <c r="A654" t="s" s="0">
        <v>78</v>
      </c>
      <c r="B654" t="s" s="0">
        <v>78</v>
      </c>
      <c r="C654" t="s" s="0">
        <v>78</v>
      </c>
      <c r="D654" t="s" s="0">
        <v>78</v>
      </c>
      <c r="E654" t="s" s="0">
        <v>15117</v>
      </c>
      <c r="F654" t="s" s="0">
        <v>15118</v>
      </c>
      <c r="G654" t="s" s="0">
        <v>15119</v>
      </c>
      <c r="H654" t="s" s="0">
        <v>82</v>
      </c>
      <c r="I654" t="s" s="0">
        <v>83</v>
      </c>
      <c r="J654" t="s" s="0">
        <v>15120</v>
      </c>
      <c r="K654" t="s" s="0">
        <v>15121</v>
      </c>
      <c r="L654" t="s" s="0">
        <v>15122</v>
      </c>
      <c r="M654" t="s" s="0">
        <v>15123</v>
      </c>
      <c r="N654" t="s" s="0">
        <v>15124</v>
      </c>
      <c r="O654" t="s" s="0">
        <v>15125</v>
      </c>
      <c r="P654" t="s" s="0">
        <v>13960</v>
      </c>
      <c r="Q654" t="s" s="0">
        <v>91</v>
      </c>
      <c r="R654" t="s" s="0">
        <v>82</v>
      </c>
      <c r="S654" t="s" s="0">
        <v>82</v>
      </c>
      <c r="T654" t="s" s="0">
        <v>82</v>
      </c>
      <c r="U654" t="s" s="0">
        <v>82</v>
      </c>
      <c r="V654" t="s" s="0">
        <v>15126</v>
      </c>
      <c r="W654" t="s" s="0">
        <v>2908</v>
      </c>
      <c r="X654" t="s" s="0">
        <v>82</v>
      </c>
      <c r="Y654" t="s" s="0">
        <v>82</v>
      </c>
      <c r="Z654" t="s" s="0">
        <v>94</v>
      </c>
      <c r="AA654" t="s" s="0">
        <v>95</v>
      </c>
      <c r="AB654" t="s" s="0">
        <v>82</v>
      </c>
      <c r="AC654" t="s" s="0">
        <v>82</v>
      </c>
      <c r="AD654" t="s" s="0">
        <v>82</v>
      </c>
      <c r="AE654" t="s" s="0">
        <v>82</v>
      </c>
      <c r="AF654" t="s" s="0">
        <v>82</v>
      </c>
      <c r="AG654" t="s" s="0">
        <v>15127</v>
      </c>
      <c r="AH654" t="s" s="0">
        <v>82</v>
      </c>
      <c r="AI654" t="s" s="0">
        <v>82</v>
      </c>
      <c r="AJ654" t="s" s="0">
        <v>82</v>
      </c>
      <c r="AK654" t="s" s="0">
        <v>82</v>
      </c>
      <c r="AL654" t="s" s="0">
        <v>1502</v>
      </c>
      <c r="AM654" t="s" s="0">
        <v>77</v>
      </c>
      <c r="AN654" t="s" s="0">
        <v>77</v>
      </c>
      <c r="AO654" t="s" s="0">
        <v>77</v>
      </c>
      <c r="AP654" t="s" s="0">
        <v>77</v>
      </c>
      <c r="AQ654" t="s" s="0">
        <v>103</v>
      </c>
      <c r="AR654" t="s" s="0">
        <v>104</v>
      </c>
      <c r="AS654" t="s" s="0">
        <v>105</v>
      </c>
      <c r="AT654" t="s" s="0">
        <v>2912</v>
      </c>
      <c r="AU654" t="s" s="0">
        <v>2913</v>
      </c>
      <c r="AV654" t="s" s="0">
        <v>82</v>
      </c>
      <c r="AW654" t="s" s="0">
        <v>2914</v>
      </c>
      <c r="AX654" t="s" s="0">
        <v>2915</v>
      </c>
      <c r="AY654" t="s" s="0">
        <v>15128</v>
      </c>
      <c r="AZ654" t="s" s="0">
        <v>181</v>
      </c>
      <c r="BA654" t="s" s="0">
        <v>1186</v>
      </c>
      <c r="BB654" t="s" s="0">
        <v>77</v>
      </c>
      <c r="BC654" t="s" s="0">
        <v>82</v>
      </c>
      <c r="BD654" t="s" s="0">
        <v>82</v>
      </c>
      <c r="BE654" t="s" s="0">
        <v>82</v>
      </c>
      <c r="BF654" t="s" s="0">
        <v>82</v>
      </c>
      <c r="BG654" t="s" s="0">
        <v>82</v>
      </c>
      <c r="BH654" t="s" s="0">
        <v>82</v>
      </c>
      <c r="BI654" t="s" s="0">
        <v>10505</v>
      </c>
      <c r="BJ654" t="s" s="0">
        <v>15129</v>
      </c>
      <c r="BK654" t="s" s="1301">
        <f>HYPERLINK("http://dx.doi.org/10.1186/s13054-026-06034-5","http://dx.doi.org/10.1186/s13054-026-06034-5")</f>
        <v>15130</v>
      </c>
      <c r="BL654" t="s" s="0">
        <v>82</v>
      </c>
      <c r="BM654" t="s" s="0">
        <v>1003</v>
      </c>
      <c r="BN654" t="s" s="0">
        <v>149</v>
      </c>
      <c r="BO654" t="s" s="0">
        <v>2920</v>
      </c>
      <c r="BP654" t="s" s="0">
        <v>355</v>
      </c>
      <c r="BQ654" t="s" s="0">
        <v>15131</v>
      </c>
      <c r="BR654" t="s" s="0">
        <v>15132</v>
      </c>
      <c r="BS654" t="s" s="0">
        <v>15133</v>
      </c>
      <c r="BT654" t="s" s="1302">
        <f>HYPERLINK("https://www.webofscience.com/wos/woscc/full-record/WOS:001815481300001","View Record in Web of Science")</f>
        <v>120</v>
      </c>
      <c r="BU654" t="s" s="0">
        <v>121</v>
      </c>
      <c r="BV654" t="s" s="0">
        <v>82</v>
      </c>
      <c r="BW654" t="s" s="0">
        <v>82</v>
      </c>
      <c r="BX654" t="s" s="0">
        <v>122</v>
      </c>
    </row>
    <row r="655">
      <c r="A655" t="s" s="0">
        <v>78</v>
      </c>
      <c r="B655" t="s" s="0">
        <v>78</v>
      </c>
      <c r="C655" t="s" s="0">
        <v>78</v>
      </c>
      <c r="D655" t="s" s="0">
        <v>78</v>
      </c>
      <c r="E655" t="s" s="0">
        <v>15134</v>
      </c>
      <c r="F655" t="s" s="0">
        <v>15135</v>
      </c>
      <c r="G655" t="s" s="0">
        <v>15136</v>
      </c>
      <c r="H655" t="s" s="0">
        <v>82</v>
      </c>
      <c r="I655" t="s" s="0">
        <v>83</v>
      </c>
      <c r="J655" t="s" s="0">
        <v>15137</v>
      </c>
      <c r="K655" t="s" s="0">
        <v>15138</v>
      </c>
      <c r="L655" t="s" s="0">
        <v>15139</v>
      </c>
      <c r="M655" t="s" s="0">
        <v>15139</v>
      </c>
      <c r="N655" t="s" s="0">
        <v>15140</v>
      </c>
      <c r="O655" t="s" s="0">
        <v>15141</v>
      </c>
      <c r="P655" t="s" s="0">
        <v>15142</v>
      </c>
      <c r="Q655" t="s" s="0">
        <v>91</v>
      </c>
      <c r="R655" t="s" s="0">
        <v>82</v>
      </c>
      <c r="S655" t="s" s="0">
        <v>82</v>
      </c>
      <c r="T655" t="s" s="0">
        <v>82</v>
      </c>
      <c r="U655" t="s" s="0">
        <v>82</v>
      </c>
      <c r="V655" t="s" s="0">
        <v>15143</v>
      </c>
      <c r="W655" t="s" s="0">
        <v>15144</v>
      </c>
      <c r="X655" t="s" s="0">
        <v>82</v>
      </c>
      <c r="Y655" t="s" s="0">
        <v>82</v>
      </c>
      <c r="Z655" t="s" s="0">
        <v>94</v>
      </c>
      <c r="AA655" t="s" s="0">
        <v>95</v>
      </c>
      <c r="AB655" t="s" s="0">
        <v>82</v>
      </c>
      <c r="AC655" t="s" s="0">
        <v>82</v>
      </c>
      <c r="AD655" t="s" s="0">
        <v>82</v>
      </c>
      <c r="AE655" t="s" s="0">
        <v>82</v>
      </c>
      <c r="AF655" t="s" s="0">
        <v>82</v>
      </c>
      <c r="AG655" t="s" s="0">
        <v>15145</v>
      </c>
      <c r="AH655" t="s" s="0">
        <v>15146</v>
      </c>
      <c r="AI655" t="s" s="0">
        <v>15147</v>
      </c>
      <c r="AJ655" t="s" s="0">
        <v>15148</v>
      </c>
      <c r="AK655" t="s" s="0">
        <v>82</v>
      </c>
      <c r="AL655" t="s" s="0">
        <v>890</v>
      </c>
      <c r="AM655" t="s" s="0">
        <v>78</v>
      </c>
      <c r="AN655" t="s" s="0">
        <v>78</v>
      </c>
      <c r="AO655" t="s" s="0">
        <v>447</v>
      </c>
      <c r="AP655" t="s" s="0">
        <v>447</v>
      </c>
      <c r="AQ655" t="s" s="0">
        <v>2051</v>
      </c>
      <c r="AR655" t="s" s="0">
        <v>203</v>
      </c>
      <c r="AS655" t="s" s="0">
        <v>2052</v>
      </c>
      <c r="AT655" t="s" s="0">
        <v>15149</v>
      </c>
      <c r="AU655" t="s" s="0">
        <v>15150</v>
      </c>
      <c r="AV655" t="s" s="0">
        <v>82</v>
      </c>
      <c r="AW655" t="s" s="0">
        <v>15151</v>
      </c>
      <c r="AX655" t="s" s="0">
        <v>15152</v>
      </c>
      <c r="AY655" t="s" s="0">
        <v>1342</v>
      </c>
      <c r="AZ655" t="s" s="0">
        <v>181</v>
      </c>
      <c r="BA655" t="s" s="0">
        <v>632</v>
      </c>
      <c r="BB655" t="s" s="0">
        <v>136</v>
      </c>
      <c r="BC655" t="s" s="0">
        <v>82</v>
      </c>
      <c r="BD655" t="s" s="0">
        <v>82</v>
      </c>
      <c r="BE655" t="s" s="0">
        <v>82</v>
      </c>
      <c r="BF655" t="s" s="0">
        <v>82</v>
      </c>
      <c r="BG655" t="s" s="0">
        <v>8010</v>
      </c>
      <c r="BH655" t="s" s="0">
        <v>15153</v>
      </c>
      <c r="BI655" t="s" s="0">
        <v>82</v>
      </c>
      <c r="BJ655" t="s" s="0">
        <v>15154</v>
      </c>
      <c r="BK655" t="s" s="1303">
        <f>HYPERLINK("http://dx.doi.org/10.1007/s12149-026-02213-0","http://dx.doi.org/10.1007/s12149-026-02213-0")</f>
        <v>15155</v>
      </c>
      <c r="BL655" t="s" s="0">
        <v>82</v>
      </c>
      <c r="BM655" t="s" s="0">
        <v>1003</v>
      </c>
      <c r="BN655" t="s" s="0">
        <v>245</v>
      </c>
      <c r="BO655" t="s" s="0">
        <v>414</v>
      </c>
      <c r="BP655" t="s" s="0">
        <v>414</v>
      </c>
      <c r="BQ655" t="s" s="0">
        <v>15156</v>
      </c>
      <c r="BR655" t="s" s="0">
        <v>15157</v>
      </c>
      <c r="BS655" t="s" s="0">
        <v>15158</v>
      </c>
      <c r="BT655" t="s" s="1304">
        <f>HYPERLINK("https://www.webofscience.com/wos/woscc/full-record/WOS:001761271700001","View Record in Web of Science")</f>
        <v>120</v>
      </c>
      <c r="BU655" t="s" s="0">
        <v>256</v>
      </c>
      <c r="BV655" t="s" s="0">
        <v>82</v>
      </c>
      <c r="BW655" t="s" s="0">
        <v>82</v>
      </c>
      <c r="BX655" t="s" s="0">
        <v>122</v>
      </c>
    </row>
    <row r="656">
      <c r="A656" t="s" s="0">
        <v>78</v>
      </c>
      <c r="B656" t="s" s="0">
        <v>78</v>
      </c>
      <c r="C656" t="s" s="0">
        <v>77</v>
      </c>
      <c r="D656" t="s" s="0">
        <v>78</v>
      </c>
      <c r="E656" t="s" s="0">
        <v>15159</v>
      </c>
      <c r="F656" t="s" s="0">
        <v>15160</v>
      </c>
      <c r="G656" t="s" s="0">
        <v>15161</v>
      </c>
      <c r="H656" t="s" s="0">
        <v>82</v>
      </c>
      <c r="I656" t="s" s="0">
        <v>297</v>
      </c>
      <c r="J656" t="s" s="0">
        <v>15162</v>
      </c>
      <c r="K656" t="s" s="0">
        <v>15163</v>
      </c>
      <c r="L656" t="s" s="0">
        <v>15164</v>
      </c>
      <c r="M656" t="s" s="0">
        <v>15164</v>
      </c>
      <c r="N656" t="s" s="0">
        <v>15165</v>
      </c>
      <c r="O656" t="s" s="0">
        <v>15166</v>
      </c>
      <c r="P656" t="s" s="0">
        <v>15167</v>
      </c>
      <c r="Q656" t="s" s="0">
        <v>91</v>
      </c>
      <c r="R656" t="s" s="0">
        <v>82</v>
      </c>
      <c r="S656" t="s" s="0">
        <v>82</v>
      </c>
      <c r="T656" t="s" s="0">
        <v>82</v>
      </c>
      <c r="U656" t="s" s="0">
        <v>82</v>
      </c>
      <c r="V656" t="s" s="0">
        <v>15168</v>
      </c>
      <c r="W656" t="s" s="0">
        <v>15169</v>
      </c>
      <c r="X656" t="s" s="0">
        <v>82</v>
      </c>
      <c r="Y656" t="s" s="0">
        <v>82</v>
      </c>
      <c r="Z656" t="s" s="0">
        <v>94</v>
      </c>
      <c r="AA656" t="s" s="0">
        <v>95</v>
      </c>
      <c r="AB656" t="s" s="0">
        <v>82</v>
      </c>
      <c r="AC656" t="s" s="0">
        <v>82</v>
      </c>
      <c r="AD656" t="s" s="0">
        <v>82</v>
      </c>
      <c r="AE656" t="s" s="0">
        <v>82</v>
      </c>
      <c r="AF656" t="s" s="0">
        <v>82</v>
      </c>
      <c r="AG656" t="s" s="0">
        <v>82</v>
      </c>
      <c r="AH656" t="s" s="0">
        <v>82</v>
      </c>
      <c r="AI656" t="s" s="0">
        <v>15170</v>
      </c>
      <c r="AJ656" t="s" s="0">
        <v>15171</v>
      </c>
      <c r="AK656" t="s" s="0">
        <v>82</v>
      </c>
      <c r="AL656" t="s" s="0">
        <v>640</v>
      </c>
      <c r="AM656" t="s" s="0">
        <v>375</v>
      </c>
      <c r="AN656" t="s" s="0">
        <v>136</v>
      </c>
      <c r="AO656" t="s" s="0">
        <v>78</v>
      </c>
      <c r="AP656" t="s" s="0">
        <v>102</v>
      </c>
      <c r="AQ656" t="s" s="0">
        <v>832</v>
      </c>
      <c r="AR656" t="s" s="0">
        <v>833</v>
      </c>
      <c r="AS656" t="s" s="0">
        <v>834</v>
      </c>
      <c r="AT656" t="s" s="0">
        <v>82</v>
      </c>
      <c r="AU656" t="s" s="0">
        <v>15172</v>
      </c>
      <c r="AV656" t="s" s="0">
        <v>82</v>
      </c>
      <c r="AW656" t="s" s="0">
        <v>15173</v>
      </c>
      <c r="AX656" t="s" s="0">
        <v>15174</v>
      </c>
      <c r="AY656" t="s" s="0">
        <v>2217</v>
      </c>
      <c r="AZ656" t="s" s="0">
        <v>110</v>
      </c>
      <c r="BA656" t="s" s="0">
        <v>245</v>
      </c>
      <c r="BB656" t="s" s="0">
        <v>82</v>
      </c>
      <c r="BC656" t="s" s="0">
        <v>82</v>
      </c>
      <c r="BD656" t="s" s="0">
        <v>82</v>
      </c>
      <c r="BE656" t="s" s="0">
        <v>82</v>
      </c>
      <c r="BF656" t="s" s="0">
        <v>82</v>
      </c>
      <c r="BG656" t="s" s="0">
        <v>82</v>
      </c>
      <c r="BH656" t="s" s="0">
        <v>82</v>
      </c>
      <c r="BI656" t="s" s="0">
        <v>15175</v>
      </c>
      <c r="BJ656" t="s" s="0">
        <v>15176</v>
      </c>
      <c r="BK656" t="s" s="1305">
        <f>HYPERLINK("http://dx.doi.org/10.1200/GO.24.00146","http://dx.doi.org/10.1200/GO.24.00146")</f>
        <v>15177</v>
      </c>
      <c r="BL656" t="s" s="0">
        <v>82</v>
      </c>
      <c r="BM656" t="s" s="0">
        <v>82</v>
      </c>
      <c r="BN656" t="s" s="0">
        <v>137</v>
      </c>
      <c r="BO656" t="s" s="0">
        <v>4833</v>
      </c>
      <c r="BP656" t="s" s="0">
        <v>4833</v>
      </c>
      <c r="BQ656" t="s" s="0">
        <v>15178</v>
      </c>
      <c r="BR656" t="s" s="0">
        <v>15179</v>
      </c>
      <c r="BS656" t="s" s="0">
        <v>15180</v>
      </c>
      <c r="BT656" t="s" s="1306">
        <f>HYPERLINK("https://www.webofscience.com/wos/woscc/full-record/WOS:001379061400001","View Record in Web of Science")</f>
        <v>120</v>
      </c>
      <c r="BU656" t="s" s="0">
        <v>121</v>
      </c>
      <c r="BV656" t="s" s="0">
        <v>82</v>
      </c>
      <c r="BW656" t="s" s="0">
        <v>82</v>
      </c>
      <c r="BX656" t="s" s="0">
        <v>122</v>
      </c>
    </row>
    <row r="657">
      <c r="A657" t="s" s="0">
        <v>78</v>
      </c>
      <c r="B657" t="s" s="0">
        <v>78</v>
      </c>
      <c r="C657" t="s" s="0">
        <v>78</v>
      </c>
      <c r="D657" t="s" s="0">
        <v>78</v>
      </c>
      <c r="E657" t="s" s="0">
        <v>15181</v>
      </c>
      <c r="F657" t="s" s="0">
        <v>15182</v>
      </c>
      <c r="G657" t="s" s="0">
        <v>15183</v>
      </c>
      <c r="H657" t="s" s="0">
        <v>82</v>
      </c>
      <c r="I657" t="s" s="0">
        <v>83</v>
      </c>
      <c r="J657" t="s" s="0">
        <v>15184</v>
      </c>
      <c r="K657" t="s" s="0">
        <v>15185</v>
      </c>
      <c r="L657" t="s" s="0">
        <v>82</v>
      </c>
      <c r="M657" t="s" s="0">
        <v>82</v>
      </c>
      <c r="N657" t="s" s="0">
        <v>82</v>
      </c>
      <c r="O657" t="s" s="0">
        <v>15186</v>
      </c>
      <c r="P657" t="s" s="0">
        <v>10651</v>
      </c>
      <c r="Q657" t="s" s="0">
        <v>91</v>
      </c>
      <c r="R657" t="s" s="0">
        <v>82</v>
      </c>
      <c r="S657" t="s" s="0">
        <v>82</v>
      </c>
      <c r="T657" t="s" s="0">
        <v>82</v>
      </c>
      <c r="U657" t="s" s="0">
        <v>82</v>
      </c>
      <c r="V657" t="s" s="0">
        <v>15187</v>
      </c>
      <c r="W657" t="s" s="0">
        <v>5619</v>
      </c>
      <c r="X657" t="s" s="0">
        <v>82</v>
      </c>
      <c r="Y657" t="s" s="0">
        <v>82</v>
      </c>
      <c r="Z657" t="s" s="0">
        <v>94</v>
      </c>
      <c r="AA657" t="s" s="0">
        <v>95</v>
      </c>
      <c r="AB657" t="s" s="0">
        <v>82</v>
      </c>
      <c r="AC657" t="s" s="0">
        <v>82</v>
      </c>
      <c r="AD657" t="s" s="0">
        <v>82</v>
      </c>
      <c r="AE657" t="s" s="0">
        <v>82</v>
      </c>
      <c r="AF657" t="s" s="0">
        <v>82</v>
      </c>
      <c r="AG657" t="s" s="0">
        <v>15188</v>
      </c>
      <c r="AH657" t="s" s="0">
        <v>15189</v>
      </c>
      <c r="AI657" t="s" s="0">
        <v>82</v>
      </c>
      <c r="AJ657" t="s" s="0">
        <v>82</v>
      </c>
      <c r="AK657" t="s" s="0">
        <v>82</v>
      </c>
      <c r="AL657" t="s" s="0">
        <v>238</v>
      </c>
      <c r="AM657" t="s" s="0">
        <v>78</v>
      </c>
      <c r="AN657" t="s" s="0">
        <v>78</v>
      </c>
      <c r="AO657" t="s" s="0">
        <v>78</v>
      </c>
      <c r="AP657" t="s" s="0">
        <v>78</v>
      </c>
      <c r="AQ657" t="s" s="0">
        <v>2484</v>
      </c>
      <c r="AR657" t="s" s="0">
        <v>2485</v>
      </c>
      <c r="AS657" t="s" s="0">
        <v>2486</v>
      </c>
      <c r="AT657" t="s" s="0">
        <v>5623</v>
      </c>
      <c r="AU657" t="s" s="0">
        <v>82</v>
      </c>
      <c r="AV657" t="s" s="0">
        <v>82</v>
      </c>
      <c r="AW657" t="s" s="0">
        <v>5624</v>
      </c>
      <c r="AX657" t="s" s="0">
        <v>5625</v>
      </c>
      <c r="AY657" t="s" s="0">
        <v>13081</v>
      </c>
      <c r="AZ657" t="s" s="0">
        <v>181</v>
      </c>
      <c r="BA657" t="s" s="0">
        <v>115</v>
      </c>
      <c r="BB657" t="s" s="0">
        <v>82</v>
      </c>
      <c r="BC657" t="s" s="0">
        <v>82</v>
      </c>
      <c r="BD657" t="s" s="0">
        <v>82</v>
      </c>
      <c r="BE657" t="s" s="0">
        <v>82</v>
      </c>
      <c r="BF657" t="s" s="0">
        <v>82</v>
      </c>
      <c r="BG657" t="s" s="0">
        <v>82</v>
      </c>
      <c r="BH657" t="s" s="0">
        <v>82</v>
      </c>
      <c r="BI657" t="s" s="0">
        <v>15190</v>
      </c>
      <c r="BJ657" t="s" s="0">
        <v>15191</v>
      </c>
      <c r="BK657" t="s" s="1307">
        <f>HYPERLINK("http://dx.doi.org/10.3389/fcvm.2026.1908251","http://dx.doi.org/10.3389/fcvm.2026.1908251")</f>
        <v>15192</v>
      </c>
      <c r="BL657" t="s" s="0">
        <v>82</v>
      </c>
      <c r="BM657" t="s" s="0">
        <v>82</v>
      </c>
      <c r="BN657" t="s" s="0">
        <v>323</v>
      </c>
      <c r="BO657" t="s" s="0">
        <v>503</v>
      </c>
      <c r="BP657" t="s" s="0">
        <v>504</v>
      </c>
      <c r="BQ657" t="s" s="0">
        <v>15193</v>
      </c>
      <c r="BR657" t="s" s="0">
        <v>82</v>
      </c>
      <c r="BS657" t="s" s="0">
        <v>15194</v>
      </c>
      <c r="BT657" t="s" s="1308">
        <f>HYPERLINK("https://www.webofscience.com/wos/woscc/full-record/WOS:001846088300001","View Record in Web of Science")</f>
        <v>120</v>
      </c>
      <c r="BU657" t="s" s="0">
        <v>1008</v>
      </c>
      <c r="BV657" t="s" s="0">
        <v>82</v>
      </c>
      <c r="BW657" t="s" s="0">
        <v>82</v>
      </c>
      <c r="BX657" t="s" s="0">
        <v>122</v>
      </c>
    </row>
    <row r="658">
      <c r="A658" t="s" s="0">
        <v>78</v>
      </c>
      <c r="B658" t="s" s="0">
        <v>78</v>
      </c>
      <c r="C658" t="s" s="0">
        <v>101</v>
      </c>
      <c r="D658" t="s" s="0">
        <v>78</v>
      </c>
      <c r="E658" t="s" s="0">
        <v>15195</v>
      </c>
      <c r="F658" t="s" s="0">
        <v>15196</v>
      </c>
      <c r="G658" t="s" s="0">
        <v>15197</v>
      </c>
      <c r="H658" t="s" s="0">
        <v>82</v>
      </c>
      <c r="I658" t="s" s="0">
        <v>83</v>
      </c>
      <c r="J658" t="s" s="0">
        <v>15198</v>
      </c>
      <c r="K658" t="s" s="0">
        <v>15199</v>
      </c>
      <c r="L658" t="s" s="0">
        <v>15200</v>
      </c>
      <c r="M658" t="s" s="0">
        <v>15200</v>
      </c>
      <c r="N658" t="s" s="0">
        <v>15201</v>
      </c>
      <c r="O658" t="s" s="0">
        <v>15202</v>
      </c>
      <c r="P658" t="s" s="0">
        <v>15203</v>
      </c>
      <c r="Q658" t="s" s="0">
        <v>91</v>
      </c>
      <c r="R658" t="s" s="0">
        <v>82</v>
      </c>
      <c r="S658" t="s" s="0">
        <v>82</v>
      </c>
      <c r="T658" t="s" s="0">
        <v>82</v>
      </c>
      <c r="U658" t="s" s="0">
        <v>82</v>
      </c>
      <c r="V658" t="s" s="0">
        <v>15204</v>
      </c>
      <c r="W658" t="s" s="0">
        <v>10002</v>
      </c>
      <c r="X658" t="s" s="0">
        <v>82</v>
      </c>
      <c r="Y658" t="s" s="0">
        <v>82</v>
      </c>
      <c r="Z658" t="s" s="0">
        <v>94</v>
      </c>
      <c r="AA658" t="s" s="0">
        <v>95</v>
      </c>
      <c r="AB658" t="s" s="0">
        <v>82</v>
      </c>
      <c r="AC658" t="s" s="0">
        <v>82</v>
      </c>
      <c r="AD658" t="s" s="0">
        <v>82</v>
      </c>
      <c r="AE658" t="s" s="0">
        <v>82</v>
      </c>
      <c r="AF658" t="s" s="0">
        <v>82</v>
      </c>
      <c r="AG658" t="s" s="0">
        <v>15205</v>
      </c>
      <c r="AH658" t="s" s="0">
        <v>82</v>
      </c>
      <c r="AI658" t="s" s="0">
        <v>82</v>
      </c>
      <c r="AJ658" t="s" s="0">
        <v>15206</v>
      </c>
      <c r="AK658" t="s" s="0">
        <v>82</v>
      </c>
      <c r="AL658" t="s" s="0">
        <v>1186</v>
      </c>
      <c r="AM658" t="s" s="0">
        <v>137</v>
      </c>
      <c r="AN658" t="s" s="0">
        <v>149</v>
      </c>
      <c r="AO658" t="s" s="0">
        <v>136</v>
      </c>
      <c r="AP658" t="s" s="0">
        <v>238</v>
      </c>
      <c r="AQ658" t="s" s="0">
        <v>103</v>
      </c>
      <c r="AR658" t="s" s="0">
        <v>104</v>
      </c>
      <c r="AS658" t="s" s="0">
        <v>105</v>
      </c>
      <c r="AT658" t="s" s="0">
        <v>82</v>
      </c>
      <c r="AU658" t="s" s="0">
        <v>10007</v>
      </c>
      <c r="AV658" t="s" s="0">
        <v>82</v>
      </c>
      <c r="AW658" t="s" s="0">
        <v>10008</v>
      </c>
      <c r="AX658" t="s" s="0">
        <v>10009</v>
      </c>
      <c r="AY658" t="s" s="0">
        <v>15207</v>
      </c>
      <c r="AZ658" t="s" s="0">
        <v>147</v>
      </c>
      <c r="BA658" t="s" s="0">
        <v>685</v>
      </c>
      <c r="BB658" t="s" s="0">
        <v>77</v>
      </c>
      <c r="BC658" t="s" s="0">
        <v>82</v>
      </c>
      <c r="BD658" t="s" s="0">
        <v>82</v>
      </c>
      <c r="BE658" t="s" s="0">
        <v>82</v>
      </c>
      <c r="BF658" t="s" s="0">
        <v>82</v>
      </c>
      <c r="BG658" t="s" s="0">
        <v>82</v>
      </c>
      <c r="BH658" t="s" s="0">
        <v>82</v>
      </c>
      <c r="BI658" t="s" s="0">
        <v>4777</v>
      </c>
      <c r="BJ658" t="s" s="0">
        <v>15208</v>
      </c>
      <c r="BK658" t="s" s="1309">
        <f>HYPERLINK("http://dx.doi.org/10.1186/s12967-025-06102-4","http://dx.doi.org/10.1186/s12967-025-06102-4")</f>
        <v>15209</v>
      </c>
      <c r="BL658" t="s" s="0">
        <v>82</v>
      </c>
      <c r="BM658" t="s" s="0">
        <v>82</v>
      </c>
      <c r="BN658" t="s" s="0">
        <v>137</v>
      </c>
      <c r="BO658" t="s" s="0">
        <v>2464</v>
      </c>
      <c r="BP658" t="s" s="0">
        <v>2465</v>
      </c>
      <c r="BQ658" t="s" s="0">
        <v>15210</v>
      </c>
      <c r="BR658" t="s" s="0">
        <v>15211</v>
      </c>
      <c r="BS658" t="s" s="0">
        <v>15212</v>
      </c>
      <c r="BT658" t="s" s="1310">
        <f>HYPERLINK("https://www.webofscience.com/wos/woscc/full-record/WOS:001403031600003","View Record in Web of Science")</f>
        <v>120</v>
      </c>
      <c r="BU658" t="s" s="0">
        <v>121</v>
      </c>
      <c r="BV658" t="s" s="0">
        <v>82</v>
      </c>
      <c r="BW658" t="s" s="0">
        <v>82</v>
      </c>
      <c r="BX658" t="s" s="0">
        <v>122</v>
      </c>
    </row>
    <row r="659">
      <c r="A659" t="s" s="0">
        <v>78</v>
      </c>
      <c r="B659" t="s" s="0">
        <v>78</v>
      </c>
      <c r="C659" t="s" s="0">
        <v>77</v>
      </c>
      <c r="D659" t="s" s="0">
        <v>78</v>
      </c>
      <c r="E659" t="s" s="0">
        <v>15213</v>
      </c>
      <c r="F659" t="s" s="0">
        <v>15214</v>
      </c>
      <c r="G659" t="s" s="0">
        <v>15215</v>
      </c>
      <c r="H659" t="s" s="0">
        <v>82</v>
      </c>
      <c r="I659" t="s" s="0">
        <v>297</v>
      </c>
      <c r="J659" t="s" s="0">
        <v>15216</v>
      </c>
      <c r="K659" t="s" s="0">
        <v>15217</v>
      </c>
      <c r="L659" t="s" s="0">
        <v>82</v>
      </c>
      <c r="M659" t="s" s="0">
        <v>82</v>
      </c>
      <c r="N659" t="s" s="0">
        <v>82</v>
      </c>
      <c r="O659" t="s" s="0">
        <v>15218</v>
      </c>
      <c r="P659" t="s" s="0">
        <v>15219</v>
      </c>
      <c r="Q659" t="s" s="0">
        <v>91</v>
      </c>
      <c r="R659" t="s" s="0">
        <v>82</v>
      </c>
      <c r="S659" t="s" s="0">
        <v>82</v>
      </c>
      <c r="T659" t="s" s="0">
        <v>82</v>
      </c>
      <c r="U659" t="s" s="0">
        <v>82</v>
      </c>
      <c r="V659" t="s" s="0">
        <v>15220</v>
      </c>
      <c r="W659" t="s" s="0">
        <v>3542</v>
      </c>
      <c r="X659" t="s" s="0">
        <v>82</v>
      </c>
      <c r="Y659" t="s" s="0">
        <v>82</v>
      </c>
      <c r="Z659" t="s" s="0">
        <v>94</v>
      </c>
      <c r="AA659" t="s" s="0">
        <v>95</v>
      </c>
      <c r="AB659" t="s" s="0">
        <v>82</v>
      </c>
      <c r="AC659" t="s" s="0">
        <v>82</v>
      </c>
      <c r="AD659" t="s" s="0">
        <v>82</v>
      </c>
      <c r="AE659" t="s" s="0">
        <v>82</v>
      </c>
      <c r="AF659" t="s" s="0">
        <v>82</v>
      </c>
      <c r="AG659" t="s" s="0">
        <v>15221</v>
      </c>
      <c r="AH659" t="s" s="0">
        <v>15222</v>
      </c>
      <c r="AI659" t="s" s="0">
        <v>15223</v>
      </c>
      <c r="AJ659" t="s" s="0">
        <v>15224</v>
      </c>
      <c r="AK659" t="s" s="0">
        <v>82</v>
      </c>
      <c r="AL659" t="s" s="0">
        <v>1186</v>
      </c>
      <c r="AM659" t="s" s="0">
        <v>149</v>
      </c>
      <c r="AN659" t="s" s="0">
        <v>115</v>
      </c>
      <c r="AO659" t="s" s="0">
        <v>78</v>
      </c>
      <c r="AP659" t="s" s="0">
        <v>221</v>
      </c>
      <c r="AQ659" t="s" s="0">
        <v>2484</v>
      </c>
      <c r="AR659" t="s" s="0">
        <v>2485</v>
      </c>
      <c r="AS659" t="s" s="0">
        <v>2486</v>
      </c>
      <c r="AT659" t="s" s="0">
        <v>82</v>
      </c>
      <c r="AU659" t="s" s="0">
        <v>3547</v>
      </c>
      <c r="AV659" t="s" s="0">
        <v>82</v>
      </c>
      <c r="AW659" t="s" s="0">
        <v>3548</v>
      </c>
      <c r="AX659" t="s" s="0">
        <v>3549</v>
      </c>
      <c r="AY659" t="s" s="0">
        <v>15225</v>
      </c>
      <c r="AZ659" t="s" s="0">
        <v>210</v>
      </c>
      <c r="BA659" t="s" s="0">
        <v>221</v>
      </c>
      <c r="BB659" t="s" s="0">
        <v>82</v>
      </c>
      <c r="BC659" t="s" s="0">
        <v>82</v>
      </c>
      <c r="BD659" t="s" s="0">
        <v>82</v>
      </c>
      <c r="BE659" t="s" s="0">
        <v>82</v>
      </c>
      <c r="BF659" t="s" s="0">
        <v>82</v>
      </c>
      <c r="BG659" t="s" s="0">
        <v>82</v>
      </c>
      <c r="BH659" t="s" s="0">
        <v>82</v>
      </c>
      <c r="BI659" t="s" s="0">
        <v>15226</v>
      </c>
      <c r="BJ659" t="s" s="0">
        <v>15227</v>
      </c>
      <c r="BK659" t="s" s="1311">
        <f>HYPERLINK("http://dx.doi.org/10.3389/frai.2022.1050803","http://dx.doi.org/10.3389/frai.2022.1050803")</f>
        <v>15228</v>
      </c>
      <c r="BL659" t="s" s="0">
        <v>82</v>
      </c>
      <c r="BM659" t="s" s="0">
        <v>82</v>
      </c>
      <c r="BN659" t="s" s="0">
        <v>137</v>
      </c>
      <c r="BO659" t="s" s="0">
        <v>3554</v>
      </c>
      <c r="BP659" t="s" s="0">
        <v>1663</v>
      </c>
      <c r="BQ659" t="s" s="0">
        <v>15229</v>
      </c>
      <c r="BR659" t="s" s="0">
        <v>15230</v>
      </c>
      <c r="BS659" t="s" s="0">
        <v>15231</v>
      </c>
      <c r="BT659" t="s" s="1312">
        <f>HYPERLINK("https://www.webofscience.com/wos/woscc/full-record/WOS:000913862700001","View Record in Web of Science")</f>
        <v>120</v>
      </c>
      <c r="BU659" t="s" s="0">
        <v>121</v>
      </c>
      <c r="BV659" t="s" s="0">
        <v>82</v>
      </c>
      <c r="BW659" t="s" s="0">
        <v>82</v>
      </c>
      <c r="BX659" t="s" s="0">
        <v>122</v>
      </c>
    </row>
    <row r="660">
      <c r="A660" t="s" s="0">
        <v>78</v>
      </c>
      <c r="B660" t="s" s="0">
        <v>78</v>
      </c>
      <c r="C660" t="s" s="0">
        <v>101</v>
      </c>
      <c r="D660" t="s" s="0">
        <v>78</v>
      </c>
      <c r="E660" t="s" s="0">
        <v>15232</v>
      </c>
      <c r="F660" t="s" s="0">
        <v>15233</v>
      </c>
      <c r="G660" t="s" s="0">
        <v>15234</v>
      </c>
      <c r="H660" t="s" s="0">
        <v>82</v>
      </c>
      <c r="I660" t="s" s="0">
        <v>83</v>
      </c>
      <c r="J660" t="s" s="0">
        <v>15235</v>
      </c>
      <c r="K660" t="s" s="0">
        <v>15236</v>
      </c>
      <c r="L660" t="s" s="0">
        <v>15237</v>
      </c>
      <c r="M660" t="s" s="0">
        <v>15238</v>
      </c>
      <c r="N660" t="s" s="0">
        <v>15239</v>
      </c>
      <c r="O660" t="s" s="0">
        <v>15240</v>
      </c>
      <c r="P660" t="s" s="0">
        <v>15241</v>
      </c>
      <c r="Q660" t="s" s="0">
        <v>91</v>
      </c>
      <c r="R660" t="s" s="0">
        <v>82</v>
      </c>
      <c r="S660" t="s" s="0">
        <v>82</v>
      </c>
      <c r="T660" t="s" s="0">
        <v>82</v>
      </c>
      <c r="U660" t="s" s="0">
        <v>82</v>
      </c>
      <c r="V660" t="s" s="0">
        <v>15242</v>
      </c>
      <c r="W660" t="s" s="0">
        <v>3340</v>
      </c>
      <c r="X660" t="s" s="0">
        <v>82</v>
      </c>
      <c r="Y660" t="s" s="0">
        <v>82</v>
      </c>
      <c r="Z660" t="s" s="0">
        <v>94</v>
      </c>
      <c r="AA660" t="s" s="0">
        <v>95</v>
      </c>
      <c r="AB660" t="s" s="0">
        <v>82</v>
      </c>
      <c r="AC660" t="s" s="0">
        <v>82</v>
      </c>
      <c r="AD660" t="s" s="0">
        <v>82</v>
      </c>
      <c r="AE660" t="s" s="0">
        <v>82</v>
      </c>
      <c r="AF660" t="s" s="0">
        <v>82</v>
      </c>
      <c r="AG660" t="s" s="0">
        <v>15243</v>
      </c>
      <c r="AH660" t="s" s="0">
        <v>82</v>
      </c>
      <c r="AI660" t="s" s="0">
        <v>15244</v>
      </c>
      <c r="AJ660" t="s" s="0">
        <v>15245</v>
      </c>
      <c r="AK660" t="s" s="0">
        <v>82</v>
      </c>
      <c r="AL660" t="s" s="0">
        <v>374</v>
      </c>
      <c r="AM660" t="s" s="0">
        <v>173</v>
      </c>
      <c r="AN660" t="s" s="0">
        <v>173</v>
      </c>
      <c r="AO660" t="s" s="0">
        <v>78</v>
      </c>
      <c r="AP660" t="s" s="0">
        <v>136</v>
      </c>
      <c r="AQ660" t="s" s="0">
        <v>277</v>
      </c>
      <c r="AR660" t="s" s="0">
        <v>278</v>
      </c>
      <c r="AS660" t="s" s="0">
        <v>279</v>
      </c>
      <c r="AT660" t="s" s="0">
        <v>82</v>
      </c>
      <c r="AU660" t="s" s="0">
        <v>3345</v>
      </c>
      <c r="AV660" t="s" s="0">
        <v>82</v>
      </c>
      <c r="AW660" t="s" s="0">
        <v>3340</v>
      </c>
      <c r="AX660" t="s" s="0">
        <v>3346</v>
      </c>
      <c r="AY660" t="s" s="0">
        <v>728</v>
      </c>
      <c r="AZ660" t="s" s="0">
        <v>210</v>
      </c>
      <c r="BA660" t="s" s="0">
        <v>974</v>
      </c>
      <c r="BB660" t="s" s="0">
        <v>82</v>
      </c>
      <c r="BC660" t="s" s="0">
        <v>82</v>
      </c>
      <c r="BD660" t="s" s="0">
        <v>82</v>
      </c>
      <c r="BE660" t="s" s="0">
        <v>82</v>
      </c>
      <c r="BF660" t="s" s="0">
        <v>82</v>
      </c>
      <c r="BG660" t="s" s="0">
        <v>82</v>
      </c>
      <c r="BH660" t="s" s="0">
        <v>82</v>
      </c>
      <c r="BI660" t="s" s="0">
        <v>15246</v>
      </c>
      <c r="BJ660" t="s" s="0">
        <v>15247</v>
      </c>
      <c r="BK660" t="s" s="1313">
        <f>HYPERLINK("http://dx.doi.org/10.1016/j.eclinm.2022.101773","http://dx.doi.org/10.1016/j.eclinm.2022.101773")</f>
        <v>15248</v>
      </c>
      <c r="BL660" t="s" s="0">
        <v>82</v>
      </c>
      <c r="BM660" t="s" s="0">
        <v>3032</v>
      </c>
      <c r="BN660" t="s" s="0">
        <v>149</v>
      </c>
      <c r="BO660" t="s" s="0">
        <v>354</v>
      </c>
      <c r="BP660" t="s" s="0">
        <v>355</v>
      </c>
      <c r="BQ660" t="s" s="0">
        <v>15249</v>
      </c>
      <c r="BR660" t="s" s="0">
        <v>15250</v>
      </c>
      <c r="BS660" t="s" s="0">
        <v>15251</v>
      </c>
      <c r="BT660" t="s" s="1314">
        <f>HYPERLINK("https://www.webofscience.com/wos/woscc/full-record/WOS:000922650700008","View Record in Web of Science")</f>
        <v>120</v>
      </c>
      <c r="BU660" t="s" s="0">
        <v>1537</v>
      </c>
      <c r="BV660" t="s" s="0">
        <v>82</v>
      </c>
      <c r="BW660" t="s" s="0">
        <v>82</v>
      </c>
      <c r="BX660" t="s" s="0">
        <v>122</v>
      </c>
    </row>
    <row r="661">
      <c r="A661" t="s" s="0">
        <v>78</v>
      </c>
      <c r="B661" t="s" s="0">
        <v>78</v>
      </c>
      <c r="C661" t="s" s="0">
        <v>78</v>
      </c>
      <c r="D661" t="s" s="0">
        <v>78</v>
      </c>
      <c r="E661" t="s" s="0">
        <v>15252</v>
      </c>
      <c r="F661" t="s" s="0">
        <v>15253</v>
      </c>
      <c r="G661" t="s" s="0">
        <v>15254</v>
      </c>
      <c r="H661" t="s" s="0">
        <v>82</v>
      </c>
      <c r="I661" t="s" s="0">
        <v>83</v>
      </c>
      <c r="J661" t="s" s="0">
        <v>15255</v>
      </c>
      <c r="K661" t="s" s="0">
        <v>15256</v>
      </c>
      <c r="L661" t="s" s="0">
        <v>82</v>
      </c>
      <c r="M661" t="s" s="0">
        <v>82</v>
      </c>
      <c r="N661" t="s" s="0">
        <v>82</v>
      </c>
      <c r="O661" t="s" s="0">
        <v>15257</v>
      </c>
      <c r="P661" t="s" s="0">
        <v>15258</v>
      </c>
      <c r="Q661" t="s" s="0">
        <v>91</v>
      </c>
      <c r="R661" t="s" s="0">
        <v>82</v>
      </c>
      <c r="S661" t="s" s="0">
        <v>82</v>
      </c>
      <c r="T661" t="s" s="0">
        <v>82</v>
      </c>
      <c r="U661" t="s" s="0">
        <v>82</v>
      </c>
      <c r="V661" t="s" s="0">
        <v>15259</v>
      </c>
      <c r="W661" t="s" s="0">
        <v>15260</v>
      </c>
      <c r="X661" t="s" s="0">
        <v>82</v>
      </c>
      <c r="Y661" t="s" s="0">
        <v>82</v>
      </c>
      <c r="Z661" t="s" s="0">
        <v>94</v>
      </c>
      <c r="AA661" t="s" s="0">
        <v>95</v>
      </c>
      <c r="AB661" t="s" s="0">
        <v>82</v>
      </c>
      <c r="AC661" t="s" s="0">
        <v>82</v>
      </c>
      <c r="AD661" t="s" s="0">
        <v>82</v>
      </c>
      <c r="AE661" t="s" s="0">
        <v>82</v>
      </c>
      <c r="AF661" t="s" s="0">
        <v>82</v>
      </c>
      <c r="AG661" t="s" s="0">
        <v>15261</v>
      </c>
      <c r="AH661" t="s" s="0">
        <v>82</v>
      </c>
      <c r="AI661" t="s" s="0">
        <v>15262</v>
      </c>
      <c r="AJ661" t="s" s="0">
        <v>82</v>
      </c>
      <c r="AK661" t="s" s="0">
        <v>82</v>
      </c>
      <c r="AL661" t="s" s="0">
        <v>399</v>
      </c>
      <c r="AM661" t="s" s="0">
        <v>78</v>
      </c>
      <c r="AN661" t="s" s="0">
        <v>78</v>
      </c>
      <c r="AO661" t="s" s="0">
        <v>77</v>
      </c>
      <c r="AP661" t="s" s="0">
        <v>77</v>
      </c>
      <c r="AQ661" t="s" s="0">
        <v>2051</v>
      </c>
      <c r="AR661" t="s" s="0">
        <v>203</v>
      </c>
      <c r="AS661" t="s" s="0">
        <v>2052</v>
      </c>
      <c r="AT661" t="s" s="0">
        <v>15263</v>
      </c>
      <c r="AU661" t="s" s="0">
        <v>82</v>
      </c>
      <c r="AV661" t="s" s="0">
        <v>82</v>
      </c>
      <c r="AW661" t="s" s="0">
        <v>15264</v>
      </c>
      <c r="AX661" t="s" s="0">
        <v>15265</v>
      </c>
      <c r="AY661" t="s" s="0">
        <v>15266</v>
      </c>
      <c r="AZ661" t="s" s="0">
        <v>181</v>
      </c>
      <c r="BA661" t="s" s="0">
        <v>115</v>
      </c>
      <c r="BB661" t="s" s="0">
        <v>77</v>
      </c>
      <c r="BC661" t="s" s="0">
        <v>82</v>
      </c>
      <c r="BD661" t="s" s="0">
        <v>82</v>
      </c>
      <c r="BE661" t="s" s="0">
        <v>82</v>
      </c>
      <c r="BF661" t="s" s="0">
        <v>82</v>
      </c>
      <c r="BG661" t="s" s="0">
        <v>82</v>
      </c>
      <c r="BH661" t="s" s="0">
        <v>82</v>
      </c>
      <c r="BI661" t="s" s="0">
        <v>1780</v>
      </c>
      <c r="BJ661" t="s" s="0">
        <v>15267</v>
      </c>
      <c r="BK661" t="s" s="1315">
        <f>HYPERLINK("http://dx.doi.org/10.1186/s40658-026-00835-x","http://dx.doi.org/10.1186/s40658-026-00835-x")</f>
        <v>15268</v>
      </c>
      <c r="BL661" t="s" s="0">
        <v>82</v>
      </c>
      <c r="BM661" t="s" s="0">
        <v>82</v>
      </c>
      <c r="BN661" t="s" s="0">
        <v>173</v>
      </c>
      <c r="BO661" t="s" s="0">
        <v>414</v>
      </c>
      <c r="BP661" t="s" s="0">
        <v>414</v>
      </c>
      <c r="BQ661" t="s" s="0">
        <v>15269</v>
      </c>
      <c r="BR661" t="s" s="0">
        <v>15270</v>
      </c>
      <c r="BS661" t="s" s="0">
        <v>15271</v>
      </c>
      <c r="BT661" t="s" s="1316">
        <f>HYPERLINK("https://www.webofscience.com/wos/woscc/full-record/WOS:001724362500001","View Record in Web of Science")</f>
        <v>120</v>
      </c>
      <c r="BU661" t="s" s="0">
        <v>121</v>
      </c>
      <c r="BV661" t="s" s="0">
        <v>82</v>
      </c>
      <c r="BW661" t="s" s="0">
        <v>82</v>
      </c>
      <c r="BX661" t="s" s="0">
        <v>122</v>
      </c>
    </row>
    <row r="662">
      <c r="A662" t="s" s="0">
        <v>78</v>
      </c>
      <c r="B662" t="s" s="0">
        <v>78</v>
      </c>
      <c r="C662" t="s" s="0">
        <v>78</v>
      </c>
      <c r="D662" t="s" s="0">
        <v>78</v>
      </c>
      <c r="E662" t="s" s="0">
        <v>15272</v>
      </c>
      <c r="F662" t="s" s="0">
        <v>15273</v>
      </c>
      <c r="G662" t="s" s="0">
        <v>15274</v>
      </c>
      <c r="H662" t="s" s="0">
        <v>82</v>
      </c>
      <c r="I662" t="s" s="0">
        <v>83</v>
      </c>
      <c r="J662" t="s" s="0">
        <v>15275</v>
      </c>
      <c r="K662" t="s" s="0">
        <v>15276</v>
      </c>
      <c r="L662" t="s" s="0">
        <v>15277</v>
      </c>
      <c r="M662" t="s" s="0">
        <v>15278</v>
      </c>
      <c r="N662" t="s" s="0">
        <v>15279</v>
      </c>
      <c r="O662" t="s" s="0">
        <v>15280</v>
      </c>
      <c r="P662" t="s" s="0">
        <v>15281</v>
      </c>
      <c r="Q662" t="s" s="0">
        <v>91</v>
      </c>
      <c r="R662" t="s" s="0">
        <v>82</v>
      </c>
      <c r="S662" t="s" s="0">
        <v>82</v>
      </c>
      <c r="T662" t="s" s="0">
        <v>82</v>
      </c>
      <c r="U662" t="s" s="0">
        <v>82</v>
      </c>
      <c r="V662" t="s" s="0">
        <v>15282</v>
      </c>
      <c r="W662" t="s" s="0">
        <v>8894</v>
      </c>
      <c r="X662" t="s" s="0">
        <v>82</v>
      </c>
      <c r="Y662" t="s" s="0">
        <v>82</v>
      </c>
      <c r="Z662" t="s" s="0">
        <v>94</v>
      </c>
      <c r="AA662" t="s" s="0">
        <v>95</v>
      </c>
      <c r="AB662" t="s" s="0">
        <v>82</v>
      </c>
      <c r="AC662" t="s" s="0">
        <v>82</v>
      </c>
      <c r="AD662" t="s" s="0">
        <v>82</v>
      </c>
      <c r="AE662" t="s" s="0">
        <v>82</v>
      </c>
      <c r="AF662" t="s" s="0">
        <v>82</v>
      </c>
      <c r="AG662" t="s" s="0">
        <v>15283</v>
      </c>
      <c r="AH662" t="s" s="0">
        <v>15284</v>
      </c>
      <c r="AI662" t="s" s="0">
        <v>15285</v>
      </c>
      <c r="AJ662" t="s" s="0">
        <v>82</v>
      </c>
      <c r="AK662" t="s" s="0">
        <v>82</v>
      </c>
      <c r="AL662" t="s" s="0">
        <v>273</v>
      </c>
      <c r="AM662" t="s" s="0">
        <v>447</v>
      </c>
      <c r="AN662" t="s" s="0">
        <v>447</v>
      </c>
      <c r="AO662" t="s" s="0">
        <v>78</v>
      </c>
      <c r="AP662" t="s" s="0">
        <v>137</v>
      </c>
      <c r="AQ662" t="s" s="0">
        <v>5760</v>
      </c>
      <c r="AR662" t="s" s="0">
        <v>5761</v>
      </c>
      <c r="AS662" t="s" s="0">
        <v>5762</v>
      </c>
      <c r="AT662" t="s" s="0">
        <v>8897</v>
      </c>
      <c r="AU662" t="s" s="0">
        <v>8898</v>
      </c>
      <c r="AV662" t="s" s="0">
        <v>82</v>
      </c>
      <c r="AW662" t="s" s="0">
        <v>8899</v>
      </c>
      <c r="AX662" t="s" s="0">
        <v>8900</v>
      </c>
      <c r="AY662" t="s" s="0">
        <v>250</v>
      </c>
      <c r="AZ662" t="s" s="0">
        <v>110</v>
      </c>
      <c r="BA662" t="s" s="0">
        <v>323</v>
      </c>
      <c r="BB662" t="s" s="0">
        <v>136</v>
      </c>
      <c r="BC662" t="s" s="0">
        <v>82</v>
      </c>
      <c r="BD662" t="s" s="0">
        <v>82</v>
      </c>
      <c r="BE662" t="s" s="0">
        <v>82</v>
      </c>
      <c r="BF662" t="s" s="0">
        <v>82</v>
      </c>
      <c r="BG662" t="s" s="0">
        <v>82</v>
      </c>
      <c r="BH662" t="s" s="0">
        <v>82</v>
      </c>
      <c r="BI662" t="s" s="0">
        <v>82</v>
      </c>
      <c r="BJ662" t="s" s="0">
        <v>15286</v>
      </c>
      <c r="BK662" t="s" s="1317">
        <f>HYPERLINK("http://dx.doi.org/10.21037/qims-24-77","http://dx.doi.org/10.21037/qims-24-77")</f>
        <v>15287</v>
      </c>
      <c r="BL662" t="s" s="0">
        <v>82</v>
      </c>
      <c r="BM662" t="s" s="0">
        <v>82</v>
      </c>
      <c r="BN662" t="s" s="0">
        <v>323</v>
      </c>
      <c r="BO662" t="s" s="0">
        <v>414</v>
      </c>
      <c r="BP662" t="s" s="0">
        <v>414</v>
      </c>
      <c r="BQ662" t="s" s="0">
        <v>15288</v>
      </c>
      <c r="BR662" t="s" s="0">
        <v>15289</v>
      </c>
      <c r="BS662" t="s" s="0">
        <v>15290</v>
      </c>
      <c r="BT662" t="s" s="1318">
        <f>HYPERLINK("https://www.webofscience.com/wos/woscc/full-record/WOS:001312968100010","View Record in Web of Science")</f>
        <v>120</v>
      </c>
      <c r="BU662" t="s" s="0">
        <v>121</v>
      </c>
      <c r="BV662" t="s" s="0">
        <v>82</v>
      </c>
      <c r="BW662" t="s" s="0">
        <v>82</v>
      </c>
      <c r="BX662" t="s" s="0">
        <v>122</v>
      </c>
    </row>
    <row r="663">
      <c r="A663" t="s" s="0">
        <v>78</v>
      </c>
      <c r="B663" t="s" s="0">
        <v>78</v>
      </c>
      <c r="C663" t="s" s="0">
        <v>77</v>
      </c>
      <c r="D663" t="s" s="0">
        <v>78</v>
      </c>
      <c r="E663" t="s" s="0">
        <v>15291</v>
      </c>
      <c r="F663" t="s" s="0">
        <v>15292</v>
      </c>
      <c r="G663" t="s" s="0">
        <v>15293</v>
      </c>
      <c r="H663" t="s" s="0">
        <v>82</v>
      </c>
      <c r="I663" t="s" s="0">
        <v>83</v>
      </c>
      <c r="J663" t="s" s="0">
        <v>15294</v>
      </c>
      <c r="K663" t="s" s="0">
        <v>15295</v>
      </c>
      <c r="L663" t="s" s="0">
        <v>15296</v>
      </c>
      <c r="M663" t="s" s="0">
        <v>15296</v>
      </c>
      <c r="N663" t="s" s="0">
        <v>366</v>
      </c>
      <c r="O663" t="s" s="0">
        <v>15297</v>
      </c>
      <c r="P663" t="s" s="0">
        <v>15298</v>
      </c>
      <c r="Q663" t="s" s="0">
        <v>91</v>
      </c>
      <c r="R663" t="s" s="0">
        <v>82</v>
      </c>
      <c r="S663" t="s" s="0">
        <v>82</v>
      </c>
      <c r="T663" t="s" s="0">
        <v>82</v>
      </c>
      <c r="U663" t="s" s="0">
        <v>82</v>
      </c>
      <c r="V663" t="s" s="0">
        <v>15299</v>
      </c>
      <c r="W663" t="s" s="0">
        <v>5682</v>
      </c>
      <c r="X663" t="s" s="0">
        <v>82</v>
      </c>
      <c r="Y663" t="s" s="0">
        <v>82</v>
      </c>
      <c r="Z663" t="s" s="0">
        <v>94</v>
      </c>
      <c r="AA663" t="s" s="0">
        <v>95</v>
      </c>
      <c r="AB663" t="s" s="0">
        <v>82</v>
      </c>
      <c r="AC663" t="s" s="0">
        <v>82</v>
      </c>
      <c r="AD663" t="s" s="0">
        <v>82</v>
      </c>
      <c r="AE663" t="s" s="0">
        <v>82</v>
      </c>
      <c r="AF663" t="s" s="0">
        <v>82</v>
      </c>
      <c r="AG663" t="s" s="0">
        <v>15300</v>
      </c>
      <c r="AH663" t="s" s="0">
        <v>15301</v>
      </c>
      <c r="AI663" t="s" s="0">
        <v>15302</v>
      </c>
      <c r="AJ663" t="s" s="0">
        <v>15303</v>
      </c>
      <c r="AK663" t="s" s="0">
        <v>82</v>
      </c>
      <c r="AL663" t="s" s="0">
        <v>353</v>
      </c>
      <c r="AM663" t="s" s="0">
        <v>319</v>
      </c>
      <c r="AN663" t="s" s="0">
        <v>245</v>
      </c>
      <c r="AO663" t="s" s="0">
        <v>77</v>
      </c>
      <c r="AP663" t="s" s="0">
        <v>136</v>
      </c>
      <c r="AQ663" t="s" s="0">
        <v>832</v>
      </c>
      <c r="AR663" t="s" s="0">
        <v>833</v>
      </c>
      <c r="AS663" t="s" s="0">
        <v>834</v>
      </c>
      <c r="AT663" t="s" s="0">
        <v>5687</v>
      </c>
      <c r="AU663" t="s" s="0">
        <v>5688</v>
      </c>
      <c r="AV663" t="s" s="0">
        <v>82</v>
      </c>
      <c r="AW663" t="s" s="0">
        <v>5689</v>
      </c>
      <c r="AX663" t="s" s="0">
        <v>5690</v>
      </c>
      <c r="AY663" t="s" s="0">
        <v>2370</v>
      </c>
      <c r="AZ663" t="s" s="0">
        <v>110</v>
      </c>
      <c r="BA663" t="s" s="0">
        <v>863</v>
      </c>
      <c r="BB663" t="s" s="0">
        <v>101</v>
      </c>
      <c r="BC663" t="s" s="0">
        <v>82</v>
      </c>
      <c r="BD663" t="s" s="0">
        <v>82</v>
      </c>
      <c r="BE663" t="s" s="0">
        <v>82</v>
      </c>
      <c r="BF663" t="s" s="0">
        <v>82</v>
      </c>
      <c r="BG663" t="s" s="0">
        <v>15304</v>
      </c>
      <c r="BH663" t="s" s="0">
        <v>15305</v>
      </c>
      <c r="BI663" t="s" s="0">
        <v>82</v>
      </c>
      <c r="BJ663" t="s" s="0">
        <v>15306</v>
      </c>
      <c r="BK663" t="s" s="1319">
        <f>HYPERLINK("http://dx.doi.org/10.1097/CCM.0000000000006137","http://dx.doi.org/10.1097/CCM.0000000000006137")</f>
        <v>15307</v>
      </c>
      <c r="BL663" t="s" s="0">
        <v>82</v>
      </c>
      <c r="BM663" t="s" s="0">
        <v>82</v>
      </c>
      <c r="BN663" t="s" s="0">
        <v>137</v>
      </c>
      <c r="BO663" t="s" s="0">
        <v>2920</v>
      </c>
      <c r="BP663" t="s" s="0">
        <v>355</v>
      </c>
      <c r="BQ663" t="s" s="0">
        <v>15308</v>
      </c>
      <c r="BR663" t="s" s="0">
        <v>15309</v>
      </c>
      <c r="BS663" t="s" s="0">
        <v>15310</v>
      </c>
      <c r="BT663" t="s" s="1320">
        <f>HYPERLINK("https://www.webofscience.com/wos/woscc/full-record/WOS:001168124200014","View Record in Web of Science")</f>
        <v>120</v>
      </c>
      <c r="BU663" t="s" s="0">
        <v>256</v>
      </c>
      <c r="BV663" t="s" s="0">
        <v>82</v>
      </c>
      <c r="BW663" t="s" s="0">
        <v>82</v>
      </c>
      <c r="BX663" t="s" s="0">
        <v>122</v>
      </c>
    </row>
    <row r="664">
      <c r="A664" t="s" s="0">
        <v>78</v>
      </c>
      <c r="B664" t="s" s="0">
        <v>78</v>
      </c>
      <c r="C664" t="s" s="0">
        <v>375</v>
      </c>
      <c r="D664" t="s" s="0">
        <v>78</v>
      </c>
      <c r="E664" t="s" s="0">
        <v>15311</v>
      </c>
      <c r="F664" t="s" s="0">
        <v>15312</v>
      </c>
      <c r="G664" t="s" s="0">
        <v>15313</v>
      </c>
      <c r="H664" t="s" s="0">
        <v>82</v>
      </c>
      <c r="I664" t="s" s="0">
        <v>83</v>
      </c>
      <c r="J664" t="s" s="0">
        <v>15314</v>
      </c>
      <c r="K664" t="s" s="0">
        <v>15315</v>
      </c>
      <c r="L664" t="s" s="0">
        <v>15316</v>
      </c>
      <c r="M664" t="s" s="0">
        <v>15317</v>
      </c>
      <c r="N664" t="s" s="0">
        <v>15318</v>
      </c>
      <c r="O664" t="s" s="0">
        <v>15319</v>
      </c>
      <c r="P664" t="s" s="0">
        <v>15320</v>
      </c>
      <c r="Q664" t="s" s="0">
        <v>91</v>
      </c>
      <c r="R664" t="s" s="0">
        <v>82</v>
      </c>
      <c r="S664" t="s" s="0">
        <v>15321</v>
      </c>
      <c r="T664" t="s" s="0">
        <v>82</v>
      </c>
      <c r="U664" t="s" s="0">
        <v>82</v>
      </c>
      <c r="V664" t="s" s="0">
        <v>15322</v>
      </c>
      <c r="W664" t="s" s="0">
        <v>269</v>
      </c>
      <c r="X664" t="s" s="0">
        <v>82</v>
      </c>
      <c r="Y664" t="s" s="0">
        <v>82</v>
      </c>
      <c r="Z664" t="s" s="0">
        <v>94</v>
      </c>
      <c r="AA664" t="s" s="0">
        <v>95</v>
      </c>
      <c r="AB664" t="s" s="0">
        <v>82</v>
      </c>
      <c r="AC664" t="s" s="0">
        <v>82</v>
      </c>
      <c r="AD664" t="s" s="0">
        <v>82</v>
      </c>
      <c r="AE664" t="s" s="0">
        <v>82</v>
      </c>
      <c r="AF664" t="s" s="0">
        <v>82</v>
      </c>
      <c r="AG664" t="s" s="0">
        <v>82</v>
      </c>
      <c r="AH664" t="s" s="0">
        <v>15323</v>
      </c>
      <c r="AI664" t="s" s="0">
        <v>15324</v>
      </c>
      <c r="AJ664" t="s" s="0">
        <v>15325</v>
      </c>
      <c r="AK664" t="s" s="0">
        <v>82</v>
      </c>
      <c r="AL664" t="s" s="0">
        <v>399</v>
      </c>
      <c r="AM664" t="s" s="0">
        <v>173</v>
      </c>
      <c r="AN664" t="s" s="0">
        <v>831</v>
      </c>
      <c r="AO664" t="s" s="0">
        <v>102</v>
      </c>
      <c r="AP664" t="s" s="0">
        <v>136</v>
      </c>
      <c r="AQ664" t="s" s="0">
        <v>277</v>
      </c>
      <c r="AR664" t="s" s="0">
        <v>278</v>
      </c>
      <c r="AS664" t="s" s="0">
        <v>279</v>
      </c>
      <c r="AT664" t="s" s="0">
        <v>82</v>
      </c>
      <c r="AU664" t="s" s="0">
        <v>280</v>
      </c>
      <c r="AV664" t="s" s="0">
        <v>82</v>
      </c>
      <c r="AW664" t="s" s="0">
        <v>281</v>
      </c>
      <c r="AX664" t="s" s="0">
        <v>282</v>
      </c>
      <c r="AY664" t="s" s="0">
        <v>949</v>
      </c>
      <c r="AZ664" t="s" s="0">
        <v>147</v>
      </c>
      <c r="BA664" t="s" s="0">
        <v>138</v>
      </c>
      <c r="BB664" t="s" s="0">
        <v>138</v>
      </c>
      <c r="BC664" t="s" s="0">
        <v>82</v>
      </c>
      <c r="BD664" t="s" s="0">
        <v>82</v>
      </c>
      <c r="BE664" t="s" s="0">
        <v>82</v>
      </c>
      <c r="BF664" t="s" s="0">
        <v>82</v>
      </c>
      <c r="BG664" t="s" s="0">
        <v>82</v>
      </c>
      <c r="BH664" t="s" s="0">
        <v>82</v>
      </c>
      <c r="BI664" t="s" s="0">
        <v>15326</v>
      </c>
      <c r="BJ664" t="s" s="0">
        <v>15327</v>
      </c>
      <c r="BK664" t="s" s="1321">
        <f>HYPERLINK("http://dx.doi.org/10.1016/j.landig.2025.100885","http://dx.doi.org/10.1016/j.landig.2025.100885")</f>
        <v>15328</v>
      </c>
      <c r="BL664" t="s" s="0">
        <v>82</v>
      </c>
      <c r="BM664" t="s" s="0">
        <v>502</v>
      </c>
      <c r="BN664" t="s" s="0">
        <v>640</v>
      </c>
      <c r="BO664" t="s" s="0">
        <v>289</v>
      </c>
      <c r="BP664" t="s" s="0">
        <v>290</v>
      </c>
      <c r="BQ664" t="s" s="0">
        <v>15329</v>
      </c>
      <c r="BR664" t="s" s="0">
        <v>15330</v>
      </c>
      <c r="BS664" t="s" s="0">
        <v>15331</v>
      </c>
      <c r="BT664" t="s" s="1322">
        <f>HYPERLINK("https://www.webofscience.com/wos/woscc/full-record/WOS:001583605800007","View Record in Web of Science")</f>
        <v>120</v>
      </c>
      <c r="BU664" t="s" s="0">
        <v>15332</v>
      </c>
      <c r="BV664" t="s" s="0">
        <v>82</v>
      </c>
      <c r="BW664" t="s" s="0">
        <v>82</v>
      </c>
      <c r="BX664" t="s" s="0">
        <v>122</v>
      </c>
    </row>
    <row r="665">
      <c r="A665" t="s" s="0">
        <v>78</v>
      </c>
      <c r="B665" t="s" s="0">
        <v>78</v>
      </c>
      <c r="C665" t="s" s="0">
        <v>78</v>
      </c>
      <c r="D665" t="s" s="0">
        <v>78</v>
      </c>
      <c r="E665" t="s" s="0">
        <v>15333</v>
      </c>
      <c r="F665" t="s" s="0">
        <v>15334</v>
      </c>
      <c r="G665" t="s" s="0">
        <v>15335</v>
      </c>
      <c r="H665" t="s" s="0">
        <v>82</v>
      </c>
      <c r="I665" t="s" s="0">
        <v>83</v>
      </c>
      <c r="J665" t="s" s="0">
        <v>15336</v>
      </c>
      <c r="K665" t="s" s="0">
        <v>15337</v>
      </c>
      <c r="L665" t="s" s="0">
        <v>82</v>
      </c>
      <c r="M665" t="s" s="0">
        <v>82</v>
      </c>
      <c r="N665" t="s" s="0">
        <v>82</v>
      </c>
      <c r="O665" t="s" s="0">
        <v>15338</v>
      </c>
      <c r="P665" t="s" s="0">
        <v>15339</v>
      </c>
      <c r="Q665" t="s" s="0">
        <v>91</v>
      </c>
      <c r="R665" t="s" s="0">
        <v>82</v>
      </c>
      <c r="S665" t="s" s="0">
        <v>82</v>
      </c>
      <c r="T665" t="s" s="0">
        <v>82</v>
      </c>
      <c r="U665" t="s" s="0">
        <v>82</v>
      </c>
      <c r="V665" t="s" s="0">
        <v>15340</v>
      </c>
      <c r="W665" t="s" s="0">
        <v>15341</v>
      </c>
      <c r="X665" t="s" s="0">
        <v>82</v>
      </c>
      <c r="Y665" t="s" s="0">
        <v>82</v>
      </c>
      <c r="Z665" t="s" s="0">
        <v>94</v>
      </c>
      <c r="AA665" t="s" s="0">
        <v>95</v>
      </c>
      <c r="AB665" t="s" s="0">
        <v>82</v>
      </c>
      <c r="AC665" t="s" s="0">
        <v>82</v>
      </c>
      <c r="AD665" t="s" s="0">
        <v>82</v>
      </c>
      <c r="AE665" t="s" s="0">
        <v>82</v>
      </c>
      <c r="AF665" t="s" s="0">
        <v>82</v>
      </c>
      <c r="AG665" t="s" s="0">
        <v>15342</v>
      </c>
      <c r="AH665" t="s" s="0">
        <v>15343</v>
      </c>
      <c r="AI665" t="s" s="0">
        <v>15344</v>
      </c>
      <c r="AJ665" t="s" s="0">
        <v>15345</v>
      </c>
      <c r="AK665" t="s" s="0">
        <v>82</v>
      </c>
      <c r="AL665" t="s" s="0">
        <v>890</v>
      </c>
      <c r="AM665" t="s" s="0">
        <v>77</v>
      </c>
      <c r="AN665" t="s" s="0">
        <v>447</v>
      </c>
      <c r="AO665" t="s" s="0">
        <v>447</v>
      </c>
      <c r="AP665" t="s" s="0">
        <v>447</v>
      </c>
      <c r="AQ665" t="s" s="0">
        <v>15346</v>
      </c>
      <c r="AR665" t="s" s="0">
        <v>634</v>
      </c>
      <c r="AS665" t="s" s="0">
        <v>15347</v>
      </c>
      <c r="AT665" t="s" s="0">
        <v>15348</v>
      </c>
      <c r="AU665" t="s" s="0">
        <v>15349</v>
      </c>
      <c r="AV665" t="s" s="0">
        <v>82</v>
      </c>
      <c r="AW665" t="s" s="0">
        <v>15350</v>
      </c>
      <c r="AX665" t="s" s="0">
        <v>15351</v>
      </c>
      <c r="AY665" t="s" s="0">
        <v>15352</v>
      </c>
      <c r="AZ665" t="s" s="0">
        <v>181</v>
      </c>
      <c r="BA665" t="s" s="0">
        <v>4685</v>
      </c>
      <c r="BB665" t="s" s="0">
        <v>319</v>
      </c>
      <c r="BC665" t="s" s="0">
        <v>82</v>
      </c>
      <c r="BD665" t="s" s="0">
        <v>82</v>
      </c>
      <c r="BE665" t="s" s="0">
        <v>82</v>
      </c>
      <c r="BF665" t="s" s="0">
        <v>82</v>
      </c>
      <c r="BG665" t="s" s="0">
        <v>15353</v>
      </c>
      <c r="BH665" t="s" s="0">
        <v>15354</v>
      </c>
      <c r="BI665" t="s" s="0">
        <v>82</v>
      </c>
      <c r="BJ665" t="s" s="0">
        <v>15355</v>
      </c>
      <c r="BK665" t="s" s="1323">
        <f>HYPERLINK("http://dx.doi.org/10.1515/cclm-2025-1624","http://dx.doi.org/10.1515/cclm-2025-1624")</f>
        <v>15356</v>
      </c>
      <c r="BL665" t="s" s="0">
        <v>82</v>
      </c>
      <c r="BM665" t="s" s="0">
        <v>1365</v>
      </c>
      <c r="BN665" t="s" s="0">
        <v>319</v>
      </c>
      <c r="BO665" t="s" s="0">
        <v>2031</v>
      </c>
      <c r="BP665" t="s" s="0">
        <v>2031</v>
      </c>
      <c r="BQ665" t="s" s="0">
        <v>15357</v>
      </c>
      <c r="BR665" t="s" s="0">
        <v>15358</v>
      </c>
      <c r="BS665" t="s" s="0">
        <v>15359</v>
      </c>
      <c r="BT665" t="s" s="1324">
        <f>HYPERLINK("https://www.webofscience.com/wos/woscc/full-record/WOS:001753299200001","View Record in Web of Science")</f>
        <v>120</v>
      </c>
      <c r="BU665" t="s" s="0">
        <v>9291</v>
      </c>
      <c r="BV665" t="s" s="0">
        <v>82</v>
      </c>
      <c r="BW665" t="s" s="0">
        <v>82</v>
      </c>
      <c r="BX665" t="s" s="0">
        <v>122</v>
      </c>
    </row>
    <row r="666">
      <c r="A666" t="s" s="0">
        <v>78</v>
      </c>
      <c r="B666" t="s" s="0">
        <v>78</v>
      </c>
      <c r="C666" t="s" s="0">
        <v>102</v>
      </c>
      <c r="D666" t="s" s="0">
        <v>77</v>
      </c>
      <c r="E666" t="s" s="0">
        <v>15360</v>
      </c>
      <c r="F666" t="s" s="0">
        <v>15361</v>
      </c>
      <c r="G666" t="s" s="0">
        <v>15362</v>
      </c>
      <c r="H666" t="s" s="0">
        <v>82</v>
      </c>
      <c r="I666" t="s" s="0">
        <v>83</v>
      </c>
      <c r="J666" t="s" s="0">
        <v>15363</v>
      </c>
      <c r="K666" t="s" s="0">
        <v>15364</v>
      </c>
      <c r="L666" t="s" s="0">
        <v>15365</v>
      </c>
      <c r="M666" t="s" s="0">
        <v>15366</v>
      </c>
      <c r="N666" t="s" s="0">
        <v>15367</v>
      </c>
      <c r="O666" t="s" s="0">
        <v>15368</v>
      </c>
      <c r="P666" t="s" s="0">
        <v>15369</v>
      </c>
      <c r="Q666" t="s" s="0">
        <v>91</v>
      </c>
      <c r="R666" t="s" s="0">
        <v>82</v>
      </c>
      <c r="S666" t="s" s="0">
        <v>82</v>
      </c>
      <c r="T666" t="s" s="0">
        <v>82</v>
      </c>
      <c r="U666" t="s" s="0">
        <v>82</v>
      </c>
      <c r="V666" t="s" s="0">
        <v>15370</v>
      </c>
      <c r="W666" t="s" s="0">
        <v>4291</v>
      </c>
      <c r="X666" t="s" s="0">
        <v>82</v>
      </c>
      <c r="Y666" t="s" s="0">
        <v>82</v>
      </c>
      <c r="Z666" t="s" s="0">
        <v>94</v>
      </c>
      <c r="AA666" t="s" s="0">
        <v>95</v>
      </c>
      <c r="AB666" t="s" s="0">
        <v>82</v>
      </c>
      <c r="AC666" t="s" s="0">
        <v>82</v>
      </c>
      <c r="AD666" t="s" s="0">
        <v>82</v>
      </c>
      <c r="AE666" t="s" s="0">
        <v>82</v>
      </c>
      <c r="AF666" t="s" s="0">
        <v>82</v>
      </c>
      <c r="AG666" t="s" s="0">
        <v>82</v>
      </c>
      <c r="AH666" t="s" s="0">
        <v>15371</v>
      </c>
      <c r="AI666" t="s" s="0">
        <v>15372</v>
      </c>
      <c r="AJ666" t="s" s="0">
        <v>15373</v>
      </c>
      <c r="AK666" t="s" s="0">
        <v>82</v>
      </c>
      <c r="AL666" t="s" s="0">
        <v>276</v>
      </c>
      <c r="AM666" t="s" s="0">
        <v>349</v>
      </c>
      <c r="AN666" t="s" s="0">
        <v>154</v>
      </c>
      <c r="AO666" t="s" s="0">
        <v>77</v>
      </c>
      <c r="AP666" t="s" s="0">
        <v>375</v>
      </c>
      <c r="AQ666" t="s" s="0">
        <v>4295</v>
      </c>
      <c r="AR666" t="s" s="0">
        <v>4296</v>
      </c>
      <c r="AS666" t="s" s="0">
        <v>4297</v>
      </c>
      <c r="AT666" t="s" s="0">
        <v>82</v>
      </c>
      <c r="AU666" t="s" s="0">
        <v>4298</v>
      </c>
      <c r="AV666" t="s" s="0">
        <v>82</v>
      </c>
      <c r="AW666" t="s" s="0">
        <v>4291</v>
      </c>
      <c r="AX666" t="s" s="0">
        <v>4299</v>
      </c>
      <c r="AY666" t="s" s="0">
        <v>15374</v>
      </c>
      <c r="AZ666" t="s" s="0">
        <v>408</v>
      </c>
      <c r="BA666" t="s" s="0">
        <v>239</v>
      </c>
      <c r="BB666" t="s" s="0">
        <v>77</v>
      </c>
      <c r="BC666" t="s" s="0">
        <v>82</v>
      </c>
      <c r="BD666" t="s" s="0">
        <v>82</v>
      </c>
      <c r="BE666" t="s" s="0">
        <v>82</v>
      </c>
      <c r="BF666" t="s" s="0">
        <v>82</v>
      </c>
      <c r="BG666" t="s" s="0">
        <v>82</v>
      </c>
      <c r="BH666" t="s" s="0">
        <v>82</v>
      </c>
      <c r="BI666" t="s" s="0">
        <v>15375</v>
      </c>
      <c r="BJ666" t="s" s="0">
        <v>15376</v>
      </c>
      <c r="BK666" t="s" s="1325">
        <f>HYPERLINK("http://dx.doi.org/10.1371/journal.pone.0262193","http://dx.doi.org/10.1371/journal.pone.0262193")</f>
        <v>15377</v>
      </c>
      <c r="BL666" t="s" s="0">
        <v>82</v>
      </c>
      <c r="BM666" t="s" s="0">
        <v>82</v>
      </c>
      <c r="BN666" t="s" s="0">
        <v>154</v>
      </c>
      <c r="BO666" t="s" s="0">
        <v>644</v>
      </c>
      <c r="BP666" t="s" s="0">
        <v>645</v>
      </c>
      <c r="BQ666" t="s" s="0">
        <v>15378</v>
      </c>
      <c r="BR666" t="s" s="0">
        <v>15379</v>
      </c>
      <c r="BS666" t="s" s="0">
        <v>15380</v>
      </c>
      <c r="BT666" t="s" s="1326">
        <f>HYPERLINK("https://www.webofscience.com/wos/woscc/full-record/WOS:000765956200023","View Record in Web of Science")</f>
        <v>120</v>
      </c>
      <c r="BU666" t="s" s="0">
        <v>121</v>
      </c>
      <c r="BV666" t="s" s="0">
        <v>82</v>
      </c>
      <c r="BW666" t="s" s="0">
        <v>82</v>
      </c>
      <c r="BX666" t="s" s="0">
        <v>122</v>
      </c>
    </row>
    <row r="667">
      <c r="A667" t="s" s="0">
        <v>78</v>
      </c>
      <c r="B667" t="s" s="0">
        <v>78</v>
      </c>
      <c r="C667" t="s" s="0">
        <v>77</v>
      </c>
      <c r="D667" t="s" s="0">
        <v>78</v>
      </c>
      <c r="E667" t="s" s="0">
        <v>15381</v>
      </c>
      <c r="F667" t="s" s="0">
        <v>15382</v>
      </c>
      <c r="G667" t="s" s="0">
        <v>15383</v>
      </c>
      <c r="H667" t="s" s="0">
        <v>82</v>
      </c>
      <c r="I667" t="s" s="0">
        <v>83</v>
      </c>
      <c r="J667" t="s" s="0">
        <v>15384</v>
      </c>
      <c r="K667" t="s" s="0">
        <v>15385</v>
      </c>
      <c r="L667" t="s" s="0">
        <v>15386</v>
      </c>
      <c r="M667" t="s" s="0">
        <v>2848</v>
      </c>
      <c r="N667" t="s" s="0">
        <v>15387</v>
      </c>
      <c r="O667" t="s" s="0">
        <v>15388</v>
      </c>
      <c r="P667" t="s" s="0">
        <v>15389</v>
      </c>
      <c r="Q667" t="s" s="0">
        <v>91</v>
      </c>
      <c r="R667" t="s" s="0">
        <v>82</v>
      </c>
      <c r="S667" t="s" s="0">
        <v>82</v>
      </c>
      <c r="T667" t="s" s="0">
        <v>82</v>
      </c>
      <c r="U667" t="s" s="0">
        <v>82</v>
      </c>
      <c r="V667" t="s" s="0">
        <v>15390</v>
      </c>
      <c r="W667" t="s" s="0">
        <v>6387</v>
      </c>
      <c r="X667" t="s" s="0">
        <v>82</v>
      </c>
      <c r="Y667" t="s" s="0">
        <v>82</v>
      </c>
      <c r="Z667" t="s" s="0">
        <v>94</v>
      </c>
      <c r="AA667" t="s" s="0">
        <v>95</v>
      </c>
      <c r="AB667" t="s" s="0">
        <v>82</v>
      </c>
      <c r="AC667" t="s" s="0">
        <v>82</v>
      </c>
      <c r="AD667" t="s" s="0">
        <v>82</v>
      </c>
      <c r="AE667" t="s" s="0">
        <v>82</v>
      </c>
      <c r="AF667" t="s" s="0">
        <v>82</v>
      </c>
      <c r="AG667" t="s" s="0">
        <v>15391</v>
      </c>
      <c r="AH667" t="s" s="0">
        <v>82</v>
      </c>
      <c r="AI667" t="s" s="0">
        <v>15392</v>
      </c>
      <c r="AJ667" t="s" s="0">
        <v>82</v>
      </c>
      <c r="AK667" t="s" s="0">
        <v>82</v>
      </c>
      <c r="AL667" t="s" s="0">
        <v>399</v>
      </c>
      <c r="AM667" t="s" s="0">
        <v>77</v>
      </c>
      <c r="AN667" t="s" s="0">
        <v>77</v>
      </c>
      <c r="AO667" t="s" s="0">
        <v>101</v>
      </c>
      <c r="AP667" t="s" s="0">
        <v>221</v>
      </c>
      <c r="AQ667" t="s" s="0">
        <v>2484</v>
      </c>
      <c r="AR667" t="s" s="0">
        <v>2485</v>
      </c>
      <c r="AS667" t="s" s="0">
        <v>2486</v>
      </c>
      <c r="AT667" t="s" s="0">
        <v>6391</v>
      </c>
      <c r="AU667" t="s" s="0">
        <v>82</v>
      </c>
      <c r="AV667" t="s" s="0">
        <v>82</v>
      </c>
      <c r="AW667" t="s" s="0">
        <v>6392</v>
      </c>
      <c r="AX667" t="s" s="0">
        <v>6393</v>
      </c>
      <c r="AY667" t="s" s="0">
        <v>15393</v>
      </c>
      <c r="AZ667" t="s" s="0">
        <v>147</v>
      </c>
      <c r="BA667" t="s" s="0">
        <v>349</v>
      </c>
      <c r="BB667" t="s" s="0">
        <v>82</v>
      </c>
      <c r="BC667" t="s" s="0">
        <v>82</v>
      </c>
      <c r="BD667" t="s" s="0">
        <v>82</v>
      </c>
      <c r="BE667" t="s" s="0">
        <v>82</v>
      </c>
      <c r="BF667" t="s" s="0">
        <v>82</v>
      </c>
      <c r="BG667" t="s" s="0">
        <v>82</v>
      </c>
      <c r="BH667" t="s" s="0">
        <v>82</v>
      </c>
      <c r="BI667" t="s" s="0">
        <v>15394</v>
      </c>
      <c r="BJ667" t="s" s="0">
        <v>15395</v>
      </c>
      <c r="BK667" t="s" s="1327">
        <f>HYPERLINK("http://dx.doi.org/10.3389/fonc.2025.1586262","http://dx.doi.org/10.3389/fonc.2025.1586262")</f>
        <v>15396</v>
      </c>
      <c r="BL667" t="s" s="0">
        <v>82</v>
      </c>
      <c r="BM667" t="s" s="0">
        <v>82</v>
      </c>
      <c r="BN667" t="s" s="0">
        <v>149</v>
      </c>
      <c r="BO667" t="s" s="0">
        <v>4833</v>
      </c>
      <c r="BP667" t="s" s="0">
        <v>4833</v>
      </c>
      <c r="BQ667" t="s" s="0">
        <v>15397</v>
      </c>
      <c r="BR667" t="s" s="0">
        <v>15398</v>
      </c>
      <c r="BS667" t="s" s="0">
        <v>15399</v>
      </c>
      <c r="BT667" t="s" s="1328">
        <f>HYPERLINK("https://www.webofscience.com/wos/woscc/full-record/WOS:001503708700001","View Record in Web of Science")</f>
        <v>120</v>
      </c>
      <c r="BU667" t="s" s="0">
        <v>121</v>
      </c>
      <c r="BV667" t="s" s="0">
        <v>82</v>
      </c>
      <c r="BW667" t="s" s="0">
        <v>82</v>
      </c>
      <c r="BX667" t="s" s="0">
        <v>122</v>
      </c>
    </row>
    <row r="668"/>
  </sheetData>
  <hyperlinks>
    <hyperlink ref="BK2" r:id="rId1"/>
    <hyperlink ref="BT2" r:id="rId2"/>
    <hyperlink ref="BK3" r:id="rId3"/>
    <hyperlink ref="BT3" r:id="rId4"/>
    <hyperlink ref="BK4" r:id="rId5"/>
    <hyperlink ref="BT4" r:id="rId6"/>
    <hyperlink ref="BK5" r:id="rId7"/>
    <hyperlink ref="BT5" r:id="rId8"/>
    <hyperlink ref="BK6" r:id="rId9"/>
    <hyperlink ref="BT6" r:id="rId10"/>
    <hyperlink ref="BK7" r:id="rId11"/>
    <hyperlink ref="BT7" r:id="rId12"/>
    <hyperlink ref="BK8" r:id="rId13"/>
    <hyperlink ref="BT8" r:id="rId14"/>
    <hyperlink ref="BK9" r:id="rId15"/>
    <hyperlink ref="BT9" r:id="rId16"/>
    <hyperlink ref="BK10" r:id="rId17"/>
    <hyperlink ref="BT10" r:id="rId18"/>
    <hyperlink ref="BK11" r:id="rId19"/>
    <hyperlink ref="BT11" r:id="rId20"/>
    <hyperlink ref="BK12" r:id="rId21"/>
    <hyperlink ref="BT12" r:id="rId22"/>
    <hyperlink ref="BK13" r:id="rId23"/>
    <hyperlink ref="BT13" r:id="rId24"/>
    <hyperlink ref="BK14" r:id="rId25"/>
    <hyperlink ref="BT14" r:id="rId26"/>
    <hyperlink ref="BK15" r:id="rId27"/>
    <hyperlink ref="BT15" r:id="rId28"/>
    <hyperlink ref="BK16" r:id="rId29"/>
    <hyperlink ref="BT16" r:id="rId30"/>
    <hyperlink ref="BK17" r:id="rId31"/>
    <hyperlink ref="BT17" r:id="rId32"/>
    <hyperlink ref="BK18" r:id="rId33"/>
    <hyperlink ref="BT18" r:id="rId34"/>
    <hyperlink ref="BK19" r:id="rId35"/>
    <hyperlink ref="BT19" r:id="rId36"/>
    <hyperlink ref="BK20" r:id="rId37"/>
    <hyperlink ref="BT20" r:id="rId38"/>
    <hyperlink ref="BK21" r:id="rId39"/>
    <hyperlink ref="BT21" r:id="rId40"/>
    <hyperlink ref="BK22" r:id="rId41"/>
    <hyperlink ref="BT22" r:id="rId42"/>
    <hyperlink ref="BK23" r:id="rId43"/>
    <hyperlink ref="BT23" r:id="rId44"/>
    <hyperlink ref="BK24" r:id="rId45"/>
    <hyperlink ref="BT24" r:id="rId46"/>
    <hyperlink ref="BK25" r:id="rId47"/>
    <hyperlink ref="BT25" r:id="rId48"/>
    <hyperlink ref="BK26" r:id="rId49"/>
    <hyperlink ref="BT26" r:id="rId50"/>
    <hyperlink ref="BK27" r:id="rId51"/>
    <hyperlink ref="BT27" r:id="rId52"/>
    <hyperlink ref="BK28" r:id="rId53"/>
    <hyperlink ref="BT28" r:id="rId54"/>
    <hyperlink ref="BK29" r:id="rId55"/>
    <hyperlink ref="BT29" r:id="rId56"/>
    <hyperlink ref="BK30" r:id="rId57"/>
    <hyperlink ref="BT30" r:id="rId58"/>
    <hyperlink ref="BK31" r:id="rId59"/>
    <hyperlink ref="BT31" r:id="rId60"/>
    <hyperlink ref="BK32" r:id="rId61"/>
    <hyperlink ref="BT32" r:id="rId62"/>
    <hyperlink ref="BK33" r:id="rId63"/>
    <hyperlink ref="BT33" r:id="rId64"/>
    <hyperlink ref="BK34" r:id="rId65"/>
    <hyperlink ref="BT34" r:id="rId66"/>
    <hyperlink ref="BK35" r:id="rId67"/>
    <hyperlink ref="BT35" r:id="rId68"/>
    <hyperlink ref="BK36" r:id="rId69"/>
    <hyperlink ref="BT36" r:id="rId70"/>
    <hyperlink ref="BK37" r:id="rId71"/>
    <hyperlink ref="BT37" r:id="rId72"/>
    <hyperlink ref="BK38" r:id="rId73"/>
    <hyperlink ref="BT38" r:id="rId74"/>
    <hyperlink ref="BK39" r:id="rId75"/>
    <hyperlink ref="BT39" r:id="rId76"/>
    <hyperlink ref="BK40" r:id="rId77"/>
    <hyperlink ref="BT40" r:id="rId78"/>
    <hyperlink ref="BK41" r:id="rId79"/>
    <hyperlink ref="BT41" r:id="rId80"/>
    <hyperlink ref="BK42" r:id="rId81"/>
    <hyperlink ref="BT42" r:id="rId82"/>
    <hyperlink ref="BK43" r:id="rId83"/>
    <hyperlink ref="BT43" r:id="rId84"/>
    <hyperlink ref="BK44" r:id="rId85"/>
    <hyperlink ref="BT44" r:id="rId86"/>
    <hyperlink ref="BK45" r:id="rId87"/>
    <hyperlink ref="BT45" r:id="rId88"/>
    <hyperlink ref="BK46" r:id="rId89"/>
    <hyperlink ref="BT46" r:id="rId90"/>
    <hyperlink ref="BK47" r:id="rId91"/>
    <hyperlink ref="BT47" r:id="rId92"/>
    <hyperlink ref="BK48" r:id="rId93"/>
    <hyperlink ref="BT48" r:id="rId94"/>
    <hyperlink ref="BK49" r:id="rId95"/>
    <hyperlink ref="BT49" r:id="rId96"/>
    <hyperlink ref="BK50" r:id="rId97"/>
    <hyperlink ref="BT50" r:id="rId98"/>
    <hyperlink ref="BK51" r:id="rId99"/>
    <hyperlink ref="BT51" r:id="rId100"/>
    <hyperlink ref="BK52" r:id="rId101"/>
    <hyperlink ref="BT52" r:id="rId102"/>
    <hyperlink ref="BK53" r:id="rId103"/>
    <hyperlink ref="BT53" r:id="rId104"/>
    <hyperlink ref="BK54" r:id="rId105"/>
    <hyperlink ref="BT54" r:id="rId106"/>
    <hyperlink ref="BK55" r:id="rId107"/>
    <hyperlink ref="BT55" r:id="rId108"/>
    <hyperlink ref="BK56" r:id="rId109"/>
    <hyperlink ref="BT56" r:id="rId110"/>
    <hyperlink ref="BK57" r:id="rId111"/>
    <hyperlink ref="BT57" r:id="rId112"/>
    <hyperlink ref="BK58" r:id="rId113"/>
    <hyperlink ref="BT58" r:id="rId114"/>
    <hyperlink ref="BK59" r:id="rId115"/>
    <hyperlink ref="BT59" r:id="rId116"/>
    <hyperlink ref="BK60" r:id="rId117"/>
    <hyperlink ref="BT60" r:id="rId118"/>
    <hyperlink ref="BK61" r:id="rId119"/>
    <hyperlink ref="BT61" r:id="rId120"/>
    <hyperlink ref="BK62" r:id="rId121"/>
    <hyperlink ref="BT62" r:id="rId122"/>
    <hyperlink ref="BK63" r:id="rId123"/>
    <hyperlink ref="BT63" r:id="rId124"/>
    <hyperlink ref="BK64" r:id="rId125"/>
    <hyperlink ref="BT64" r:id="rId126"/>
    <hyperlink ref="BK65" r:id="rId127"/>
    <hyperlink ref="BT65" r:id="rId128"/>
    <hyperlink ref="BK66" r:id="rId129"/>
    <hyperlink ref="BT66" r:id="rId130"/>
    <hyperlink ref="BK67" r:id="rId131"/>
    <hyperlink ref="BT67" r:id="rId132"/>
    <hyperlink ref="BK68" r:id="rId133"/>
    <hyperlink ref="BT68" r:id="rId134"/>
    <hyperlink ref="BK69" r:id="rId135"/>
    <hyperlink ref="BT69" r:id="rId136"/>
    <hyperlink ref="BK70" r:id="rId137"/>
    <hyperlink ref="BT70" r:id="rId138"/>
    <hyperlink ref="BK71" r:id="rId139"/>
    <hyperlink ref="BT71" r:id="rId140"/>
    <hyperlink ref="BK72" r:id="rId141"/>
    <hyperlink ref="BT72" r:id="rId142"/>
    <hyperlink ref="BK73" r:id="rId143"/>
    <hyperlink ref="BT73" r:id="rId144"/>
    <hyperlink ref="BK74" r:id="rId145"/>
    <hyperlink ref="BT74" r:id="rId146"/>
    <hyperlink ref="BK75" r:id="rId147"/>
    <hyperlink ref="BT75" r:id="rId148"/>
    <hyperlink ref="BK76" r:id="rId149"/>
    <hyperlink ref="BT76" r:id="rId150"/>
    <hyperlink ref="BK77" r:id="rId151"/>
    <hyperlink ref="BT77" r:id="rId152"/>
    <hyperlink ref="BK78" r:id="rId153"/>
    <hyperlink ref="BT78" r:id="rId154"/>
    <hyperlink ref="BK79" r:id="rId155"/>
    <hyperlink ref="BT79" r:id="rId156"/>
    <hyperlink ref="BK80" r:id="rId157"/>
    <hyperlink ref="BT80" r:id="rId158"/>
    <hyperlink ref="BK81" r:id="rId159"/>
    <hyperlink ref="BT81" r:id="rId160"/>
    <hyperlink ref="BK82" r:id="rId161"/>
    <hyperlink ref="BT82" r:id="rId162"/>
    <hyperlink ref="BK83" r:id="rId163"/>
    <hyperlink ref="BT83" r:id="rId164"/>
    <hyperlink ref="BK84" r:id="rId165"/>
    <hyperlink ref="BT84" r:id="rId166"/>
    <hyperlink ref="BK85" r:id="rId167"/>
    <hyperlink ref="BT85" r:id="rId168"/>
    <hyperlink ref="BK86" r:id="rId169"/>
    <hyperlink ref="BT86" r:id="rId170"/>
    <hyperlink ref="BK87" r:id="rId171"/>
    <hyperlink ref="BT87" r:id="rId172"/>
    <hyperlink ref="BK88" r:id="rId173"/>
    <hyperlink ref="BT88" r:id="rId174"/>
    <hyperlink ref="BK89" r:id="rId175"/>
    <hyperlink ref="BT89" r:id="rId176"/>
    <hyperlink ref="BK90" r:id="rId177"/>
    <hyperlink ref="BT90" r:id="rId178"/>
    <hyperlink ref="BK91" r:id="rId179"/>
    <hyperlink ref="BT91" r:id="rId180"/>
    <hyperlink ref="BK92" r:id="rId181"/>
    <hyperlink ref="BT92" r:id="rId182"/>
    <hyperlink ref="BK93" r:id="rId183"/>
    <hyperlink ref="BT93" r:id="rId184"/>
    <hyperlink ref="BK94" r:id="rId185"/>
    <hyperlink ref="BT94" r:id="rId186"/>
    <hyperlink ref="BK95" r:id="rId187"/>
    <hyperlink ref="BT95" r:id="rId188"/>
    <hyperlink ref="BK96" r:id="rId189"/>
    <hyperlink ref="BT96" r:id="rId190"/>
    <hyperlink ref="BK97" r:id="rId191"/>
    <hyperlink ref="BT97" r:id="rId192"/>
    <hyperlink ref="BK98" r:id="rId193"/>
    <hyperlink ref="BT98" r:id="rId194"/>
    <hyperlink ref="BK99" r:id="rId195"/>
    <hyperlink ref="BT99" r:id="rId196"/>
    <hyperlink ref="BK100" r:id="rId197"/>
    <hyperlink ref="BT100" r:id="rId198"/>
    <hyperlink ref="BK101" r:id="rId199"/>
    <hyperlink ref="BT101" r:id="rId200"/>
    <hyperlink ref="BK102" r:id="rId201"/>
    <hyperlink ref="BT102" r:id="rId202"/>
    <hyperlink ref="BK103" r:id="rId203"/>
    <hyperlink ref="BT103" r:id="rId204"/>
    <hyperlink ref="BK104" r:id="rId205"/>
    <hyperlink ref="BT104" r:id="rId206"/>
    <hyperlink ref="BK105" r:id="rId207"/>
    <hyperlink ref="BT105" r:id="rId208"/>
    <hyperlink ref="BK106" r:id="rId209"/>
    <hyperlink ref="BT106" r:id="rId210"/>
    <hyperlink ref="BK107" r:id="rId211"/>
    <hyperlink ref="BT107" r:id="rId212"/>
    <hyperlink ref="BK108" r:id="rId213"/>
    <hyperlink ref="BT108" r:id="rId214"/>
    <hyperlink ref="BK109" r:id="rId215"/>
    <hyperlink ref="BT109" r:id="rId216"/>
    <hyperlink ref="BK110" r:id="rId217"/>
    <hyperlink ref="BT110" r:id="rId218"/>
    <hyperlink ref="BK111" r:id="rId219"/>
    <hyperlink ref="BT111" r:id="rId220"/>
    <hyperlink ref="BK112" r:id="rId221"/>
    <hyperlink ref="BT112" r:id="rId222"/>
    <hyperlink ref="BK113" r:id="rId223"/>
    <hyperlink ref="BT113" r:id="rId224"/>
    <hyperlink ref="BK114" r:id="rId225"/>
    <hyperlink ref="BT114" r:id="rId226"/>
    <hyperlink ref="BK115" r:id="rId227"/>
    <hyperlink ref="BT115" r:id="rId228"/>
    <hyperlink ref="BK116" r:id="rId229"/>
    <hyperlink ref="BT116" r:id="rId230"/>
    <hyperlink ref="BK117" r:id="rId231"/>
    <hyperlink ref="BT117" r:id="rId232"/>
    <hyperlink ref="BK118" r:id="rId233"/>
    <hyperlink ref="BT118" r:id="rId234"/>
    <hyperlink ref="BK119" r:id="rId235"/>
    <hyperlink ref="BT119" r:id="rId236"/>
    <hyperlink ref="BK120" r:id="rId237"/>
    <hyperlink ref="BT120" r:id="rId238"/>
    <hyperlink ref="BK121" r:id="rId239"/>
    <hyperlink ref="BT121" r:id="rId240"/>
    <hyperlink ref="BK122" r:id="rId241"/>
    <hyperlink ref="BT122" r:id="rId242"/>
    <hyperlink ref="BK123" r:id="rId243"/>
    <hyperlink ref="BT123" r:id="rId244"/>
    <hyperlink ref="BK124" r:id="rId245"/>
    <hyperlink ref="BT124" r:id="rId246"/>
    <hyperlink ref="BK125" r:id="rId247"/>
    <hyperlink ref="BT125" r:id="rId248"/>
    <hyperlink ref="BK126" r:id="rId249"/>
    <hyperlink ref="BT126" r:id="rId250"/>
    <hyperlink ref="BK127" r:id="rId251"/>
    <hyperlink ref="BT127" r:id="rId252"/>
    <hyperlink ref="BK128" r:id="rId253"/>
    <hyperlink ref="BT128" r:id="rId254"/>
    <hyperlink ref="BK129" r:id="rId255"/>
    <hyperlink ref="BT129" r:id="rId256"/>
    <hyperlink ref="BK130" r:id="rId257"/>
    <hyperlink ref="BT130" r:id="rId258"/>
    <hyperlink ref="BK131" r:id="rId259"/>
    <hyperlink ref="BT131" r:id="rId260"/>
    <hyperlink ref="BK132" r:id="rId261"/>
    <hyperlink ref="BT132" r:id="rId262"/>
    <hyperlink ref="BK133" r:id="rId263"/>
    <hyperlink ref="BT133" r:id="rId264"/>
    <hyperlink ref="BK134" r:id="rId265"/>
    <hyperlink ref="BT134" r:id="rId266"/>
    <hyperlink ref="BK135" r:id="rId267"/>
    <hyperlink ref="BT135" r:id="rId268"/>
    <hyperlink ref="BK136" r:id="rId269"/>
    <hyperlink ref="BT136" r:id="rId270"/>
    <hyperlink ref="BK137" r:id="rId271"/>
    <hyperlink ref="BT137" r:id="rId272"/>
    <hyperlink ref="BK138" r:id="rId273"/>
    <hyperlink ref="BT138" r:id="rId274"/>
    <hyperlink ref="BK139" r:id="rId275"/>
    <hyperlink ref="BT139" r:id="rId276"/>
    <hyperlink ref="BK140" r:id="rId277"/>
    <hyperlink ref="BT140" r:id="rId278"/>
    <hyperlink ref="BK141" r:id="rId279"/>
    <hyperlink ref="BT141" r:id="rId280"/>
    <hyperlink ref="BK142" r:id="rId281"/>
    <hyperlink ref="BT142" r:id="rId282"/>
    <hyperlink ref="BK143" r:id="rId283"/>
    <hyperlink ref="BT143" r:id="rId284"/>
    <hyperlink ref="BK144" r:id="rId285"/>
    <hyperlink ref="BT144" r:id="rId286"/>
    <hyperlink ref="BK145" r:id="rId287"/>
    <hyperlink ref="BT145" r:id="rId288"/>
    <hyperlink ref="BK146" r:id="rId289"/>
    <hyperlink ref="BT146" r:id="rId290"/>
    <hyperlink ref="BK147" r:id="rId291"/>
    <hyperlink ref="BT147" r:id="rId292"/>
    <hyperlink ref="BK148" r:id="rId293"/>
    <hyperlink ref="BT148" r:id="rId294"/>
    <hyperlink ref="BK149" r:id="rId295"/>
    <hyperlink ref="BT149" r:id="rId296"/>
    <hyperlink ref="BK150" r:id="rId297"/>
    <hyperlink ref="BT150" r:id="rId298"/>
    <hyperlink ref="BK151" r:id="rId299"/>
    <hyperlink ref="BT151" r:id="rId300"/>
    <hyperlink ref="BK152" r:id="rId301"/>
    <hyperlink ref="BT152" r:id="rId302"/>
    <hyperlink ref="BK153" r:id="rId303"/>
    <hyperlink ref="BT153" r:id="rId304"/>
    <hyperlink ref="BK154" r:id="rId305"/>
    <hyperlink ref="BT154" r:id="rId306"/>
    <hyperlink ref="BK155" r:id="rId307"/>
    <hyperlink ref="BT155" r:id="rId308"/>
    <hyperlink ref="BK156" r:id="rId309"/>
    <hyperlink ref="BT156" r:id="rId310"/>
    <hyperlink ref="BK157" r:id="rId311"/>
    <hyperlink ref="BT157" r:id="rId312"/>
    <hyperlink ref="BK158" r:id="rId313"/>
    <hyperlink ref="BT158" r:id="rId314"/>
    <hyperlink ref="BK159" r:id="rId315"/>
    <hyperlink ref="BT159" r:id="rId316"/>
    <hyperlink ref="BK160" r:id="rId317"/>
    <hyperlink ref="BT160" r:id="rId318"/>
    <hyperlink ref="BK161" r:id="rId319"/>
    <hyperlink ref="BT161" r:id="rId320"/>
    <hyperlink ref="BK162" r:id="rId321"/>
    <hyperlink ref="BT162" r:id="rId322"/>
    <hyperlink ref="BK163" r:id="rId323"/>
    <hyperlink ref="BT163" r:id="rId324"/>
    <hyperlink ref="BK164" r:id="rId325"/>
    <hyperlink ref="BT164" r:id="rId326"/>
    <hyperlink ref="BK165" r:id="rId327"/>
    <hyperlink ref="BT165" r:id="rId328"/>
    <hyperlink ref="BK166" r:id="rId329"/>
    <hyperlink ref="BT166" r:id="rId330"/>
    <hyperlink ref="BK167" r:id="rId331"/>
    <hyperlink ref="BT167" r:id="rId332"/>
    <hyperlink ref="BK168" r:id="rId333"/>
    <hyperlink ref="BT168" r:id="rId334"/>
    <hyperlink ref="BK169" r:id="rId335"/>
    <hyperlink ref="BT169" r:id="rId336"/>
    <hyperlink ref="BK170" r:id="rId337"/>
    <hyperlink ref="BT170" r:id="rId338"/>
    <hyperlink ref="BK171" r:id="rId339"/>
    <hyperlink ref="BT171" r:id="rId340"/>
    <hyperlink ref="BK172" r:id="rId341"/>
    <hyperlink ref="BT172" r:id="rId342"/>
    <hyperlink ref="BK173" r:id="rId343"/>
    <hyperlink ref="BT173" r:id="rId344"/>
    <hyperlink ref="BK174" r:id="rId345"/>
    <hyperlink ref="BT174" r:id="rId346"/>
    <hyperlink ref="BK175" r:id="rId347"/>
    <hyperlink ref="BT175" r:id="rId348"/>
    <hyperlink ref="BK176" r:id="rId349"/>
    <hyperlink ref="BT176" r:id="rId350"/>
    <hyperlink ref="BK177" r:id="rId351"/>
    <hyperlink ref="BT177" r:id="rId352"/>
    <hyperlink ref="BK178" r:id="rId353"/>
    <hyperlink ref="BT178" r:id="rId354"/>
    <hyperlink ref="BK179" r:id="rId355"/>
    <hyperlink ref="BT179" r:id="rId356"/>
    <hyperlink ref="BK180" r:id="rId357"/>
    <hyperlink ref="BT180" r:id="rId358"/>
    <hyperlink ref="BK181" r:id="rId359"/>
    <hyperlink ref="BT181" r:id="rId360"/>
    <hyperlink ref="BK182" r:id="rId361"/>
    <hyperlink ref="BT182" r:id="rId362"/>
    <hyperlink ref="BK183" r:id="rId363"/>
    <hyperlink ref="BT183" r:id="rId364"/>
    <hyperlink ref="BK184" r:id="rId365"/>
    <hyperlink ref="BT184" r:id="rId366"/>
    <hyperlink ref="BK185" r:id="rId367"/>
    <hyperlink ref="BT185" r:id="rId368"/>
    <hyperlink ref="BK186" r:id="rId369"/>
    <hyperlink ref="BT186" r:id="rId370"/>
    <hyperlink ref="BK187" r:id="rId371"/>
    <hyperlink ref="BT187" r:id="rId372"/>
    <hyperlink ref="BK188" r:id="rId373"/>
    <hyperlink ref="BT188" r:id="rId374"/>
    <hyperlink ref="BK189" r:id="rId375"/>
    <hyperlink ref="BT189" r:id="rId376"/>
    <hyperlink ref="BK190" r:id="rId377"/>
    <hyperlink ref="BT190" r:id="rId378"/>
    <hyperlink ref="BK191" r:id="rId379"/>
    <hyperlink ref="BT191" r:id="rId380"/>
    <hyperlink ref="BK192" r:id="rId381"/>
    <hyperlink ref="BT192" r:id="rId382"/>
    <hyperlink ref="BK193" r:id="rId383"/>
    <hyperlink ref="BT193" r:id="rId384"/>
    <hyperlink ref="BK194" r:id="rId385"/>
    <hyperlink ref="BT194" r:id="rId386"/>
    <hyperlink ref="BK195" r:id="rId387"/>
    <hyperlink ref="BT195" r:id="rId388"/>
    <hyperlink ref="BK196" r:id="rId389"/>
    <hyperlink ref="BT196" r:id="rId390"/>
    <hyperlink ref="BK197" r:id="rId391"/>
    <hyperlink ref="BT197" r:id="rId392"/>
    <hyperlink ref="BK198" r:id="rId393"/>
    <hyperlink ref="BT198" r:id="rId394"/>
    <hyperlink ref="BK199" r:id="rId395"/>
    <hyperlink ref="BT199" r:id="rId396"/>
    <hyperlink ref="BK200" r:id="rId397"/>
    <hyperlink ref="BT200" r:id="rId398"/>
    <hyperlink ref="BK201" r:id="rId399"/>
    <hyperlink ref="BT201" r:id="rId400"/>
    <hyperlink ref="BK202" r:id="rId401"/>
    <hyperlink ref="BT202" r:id="rId402"/>
    <hyperlink ref="BK203" r:id="rId403"/>
    <hyperlink ref="BT203" r:id="rId404"/>
    <hyperlink ref="BK204" r:id="rId405"/>
    <hyperlink ref="BT204" r:id="rId406"/>
    <hyperlink ref="BK205" r:id="rId407"/>
    <hyperlink ref="BT205" r:id="rId408"/>
    <hyperlink ref="BK206" r:id="rId409"/>
    <hyperlink ref="BT206" r:id="rId410"/>
    <hyperlink ref="BK207" r:id="rId411"/>
    <hyperlink ref="BT207" r:id="rId412"/>
    <hyperlink ref="BK208" r:id="rId413"/>
    <hyperlink ref="BT208" r:id="rId414"/>
    <hyperlink ref="BK209" r:id="rId415"/>
    <hyperlink ref="BT209" r:id="rId416"/>
    <hyperlink ref="BK210" r:id="rId417"/>
    <hyperlink ref="BT210" r:id="rId418"/>
    <hyperlink ref="BK211" r:id="rId419"/>
    <hyperlink ref="BT211" r:id="rId420"/>
    <hyperlink ref="BK212" r:id="rId421"/>
    <hyperlink ref="BT212" r:id="rId422"/>
    <hyperlink ref="BK213" r:id="rId423"/>
    <hyperlink ref="BT213" r:id="rId424"/>
    <hyperlink ref="BK214" r:id="rId425"/>
    <hyperlink ref="BT214" r:id="rId426"/>
    <hyperlink ref="BK215" r:id="rId427"/>
    <hyperlink ref="BT215" r:id="rId428"/>
    <hyperlink ref="BK216" r:id="rId429"/>
    <hyperlink ref="BT216" r:id="rId430"/>
    <hyperlink ref="BK217" r:id="rId431"/>
    <hyperlink ref="BT217" r:id="rId432"/>
    <hyperlink ref="BK218" r:id="rId433"/>
    <hyperlink ref="BT218" r:id="rId434"/>
    <hyperlink ref="BK219" r:id="rId435"/>
    <hyperlink ref="BT219" r:id="rId436"/>
    <hyperlink ref="BK220" r:id="rId437"/>
    <hyperlink ref="BT220" r:id="rId438"/>
    <hyperlink ref="BK221" r:id="rId439"/>
    <hyperlink ref="BT221" r:id="rId440"/>
    <hyperlink ref="BK222" r:id="rId441"/>
    <hyperlink ref="BT222" r:id="rId442"/>
    <hyperlink ref="BK223" r:id="rId443"/>
    <hyperlink ref="BT223" r:id="rId444"/>
    <hyperlink ref="BK224" r:id="rId445"/>
    <hyperlink ref="BT224" r:id="rId446"/>
    <hyperlink ref="BK225" r:id="rId447"/>
    <hyperlink ref="BT225" r:id="rId448"/>
    <hyperlink ref="BK226" r:id="rId449"/>
    <hyperlink ref="BT226" r:id="rId450"/>
    <hyperlink ref="BK227" r:id="rId451"/>
    <hyperlink ref="BT227" r:id="rId452"/>
    <hyperlink ref="BK228" r:id="rId453"/>
    <hyperlink ref="BT228" r:id="rId454"/>
    <hyperlink ref="BK229" r:id="rId455"/>
    <hyperlink ref="BT229" r:id="rId456"/>
    <hyperlink ref="BK230" r:id="rId457"/>
    <hyperlink ref="BT230" r:id="rId458"/>
    <hyperlink ref="BK231" r:id="rId459"/>
    <hyperlink ref="BT231" r:id="rId460"/>
    <hyperlink ref="BK232" r:id="rId461"/>
    <hyperlink ref="BT232" r:id="rId462"/>
    <hyperlink ref="BK233" r:id="rId463"/>
    <hyperlink ref="BT233" r:id="rId464"/>
    <hyperlink ref="BK234" r:id="rId465"/>
    <hyperlink ref="BT234" r:id="rId466"/>
    <hyperlink ref="BK235" r:id="rId467"/>
    <hyperlink ref="BT235" r:id="rId468"/>
    <hyperlink ref="BK236" r:id="rId469"/>
    <hyperlink ref="BT236" r:id="rId470"/>
    <hyperlink ref="BK237" r:id="rId471"/>
    <hyperlink ref="BT237" r:id="rId472"/>
    <hyperlink ref="BK238" r:id="rId473"/>
    <hyperlink ref="BT238" r:id="rId474"/>
    <hyperlink ref="BK239" r:id="rId475"/>
    <hyperlink ref="BT239" r:id="rId476"/>
    <hyperlink ref="BK240" r:id="rId477"/>
    <hyperlink ref="BT240" r:id="rId478"/>
    <hyperlink ref="BK241" r:id="rId479"/>
    <hyperlink ref="BT241" r:id="rId480"/>
    <hyperlink ref="BK242" r:id="rId481"/>
    <hyperlink ref="BT242" r:id="rId482"/>
    <hyperlink ref="BK243" r:id="rId483"/>
    <hyperlink ref="BT243" r:id="rId484"/>
    <hyperlink ref="BK244" r:id="rId485"/>
    <hyperlink ref="BT244" r:id="rId486"/>
    <hyperlink ref="BK245" r:id="rId487"/>
    <hyperlink ref="BT245" r:id="rId488"/>
    <hyperlink ref="BK246" r:id="rId489"/>
    <hyperlink ref="BT246" r:id="rId490"/>
    <hyperlink ref="BK247" r:id="rId491"/>
    <hyperlink ref="BT247" r:id="rId492"/>
    <hyperlink ref="BK248" r:id="rId493"/>
    <hyperlink ref="BT248" r:id="rId494"/>
    <hyperlink ref="BK249" r:id="rId495"/>
    <hyperlink ref="BT249" r:id="rId496"/>
    <hyperlink ref="BK250" r:id="rId497"/>
    <hyperlink ref="BT250" r:id="rId498"/>
    <hyperlink ref="BK251" r:id="rId499"/>
    <hyperlink ref="BT251" r:id="rId500"/>
    <hyperlink ref="BK252" r:id="rId501"/>
    <hyperlink ref="BT252" r:id="rId502"/>
    <hyperlink ref="BK253" r:id="rId503"/>
    <hyperlink ref="BT253" r:id="rId504"/>
    <hyperlink ref="BK254" r:id="rId505"/>
    <hyperlink ref="BT254" r:id="rId506"/>
    <hyperlink ref="BK255" r:id="rId507"/>
    <hyperlink ref="BT255" r:id="rId508"/>
    <hyperlink ref="BK256" r:id="rId509"/>
    <hyperlink ref="BT256" r:id="rId510"/>
    <hyperlink ref="BK257" r:id="rId511"/>
    <hyperlink ref="BT257" r:id="rId512"/>
    <hyperlink ref="BT258" r:id="rId513"/>
    <hyperlink ref="BK259" r:id="rId514"/>
    <hyperlink ref="BT259" r:id="rId515"/>
    <hyperlink ref="BK260" r:id="rId516"/>
    <hyperlink ref="BT260" r:id="rId517"/>
    <hyperlink ref="BK261" r:id="rId518"/>
    <hyperlink ref="BT261" r:id="rId519"/>
    <hyperlink ref="BK262" r:id="rId520"/>
    <hyperlink ref="BT262" r:id="rId521"/>
    <hyperlink ref="BK263" r:id="rId522"/>
    <hyperlink ref="BT263" r:id="rId523"/>
    <hyperlink ref="BK264" r:id="rId524"/>
    <hyperlink ref="BT264" r:id="rId525"/>
    <hyperlink ref="BK265" r:id="rId526"/>
    <hyperlink ref="BT265" r:id="rId527"/>
    <hyperlink ref="BK266" r:id="rId528"/>
    <hyperlink ref="BT266" r:id="rId529"/>
    <hyperlink ref="BK267" r:id="rId530"/>
    <hyperlink ref="BT267" r:id="rId531"/>
    <hyperlink ref="BK268" r:id="rId532"/>
    <hyperlink ref="BT268" r:id="rId533"/>
    <hyperlink ref="BK269" r:id="rId534"/>
    <hyperlink ref="BT269" r:id="rId535"/>
    <hyperlink ref="BK270" r:id="rId536"/>
    <hyperlink ref="BT270" r:id="rId537"/>
    <hyperlink ref="BK271" r:id="rId538"/>
    <hyperlink ref="BT271" r:id="rId539"/>
    <hyperlink ref="BK272" r:id="rId540"/>
    <hyperlink ref="BT272" r:id="rId541"/>
    <hyperlink ref="BK273" r:id="rId542"/>
    <hyperlink ref="BT273" r:id="rId543"/>
    <hyperlink ref="BK274" r:id="rId544"/>
    <hyperlink ref="BT274" r:id="rId545"/>
    <hyperlink ref="BK275" r:id="rId546"/>
    <hyperlink ref="BT275" r:id="rId547"/>
    <hyperlink ref="BK276" r:id="rId548"/>
    <hyperlink ref="BT276" r:id="rId549"/>
    <hyperlink ref="BK277" r:id="rId550"/>
    <hyperlink ref="BT277" r:id="rId551"/>
    <hyperlink ref="BK278" r:id="rId552"/>
    <hyperlink ref="BT278" r:id="rId553"/>
    <hyperlink ref="BK279" r:id="rId554"/>
    <hyperlink ref="BT279" r:id="rId555"/>
    <hyperlink ref="BK280" r:id="rId556"/>
    <hyperlink ref="BT280" r:id="rId557"/>
    <hyperlink ref="BK281" r:id="rId558"/>
    <hyperlink ref="BT281" r:id="rId559"/>
    <hyperlink ref="BK282" r:id="rId560"/>
    <hyperlink ref="BT282" r:id="rId561"/>
    <hyperlink ref="BK283" r:id="rId562"/>
    <hyperlink ref="BT283" r:id="rId563"/>
    <hyperlink ref="BK284" r:id="rId564"/>
    <hyperlink ref="BT284" r:id="rId565"/>
    <hyperlink ref="BK285" r:id="rId566"/>
    <hyperlink ref="BT285" r:id="rId567"/>
    <hyperlink ref="BK286" r:id="rId568"/>
    <hyperlink ref="BT286" r:id="rId569"/>
    <hyperlink ref="BK287" r:id="rId570"/>
    <hyperlink ref="BT287" r:id="rId571"/>
    <hyperlink ref="BK288" r:id="rId572"/>
    <hyperlink ref="BT288" r:id="rId573"/>
    <hyperlink ref="BK289" r:id="rId574"/>
    <hyperlink ref="BT289" r:id="rId575"/>
    <hyperlink ref="BK290" r:id="rId576"/>
    <hyperlink ref="BT290" r:id="rId577"/>
    <hyperlink ref="BK291" r:id="rId578"/>
    <hyperlink ref="BT291" r:id="rId579"/>
    <hyperlink ref="BK292" r:id="rId580"/>
    <hyperlink ref="BT292" r:id="rId581"/>
    <hyperlink ref="BK293" r:id="rId582"/>
    <hyperlink ref="BT293" r:id="rId583"/>
    <hyperlink ref="BK294" r:id="rId584"/>
    <hyperlink ref="BT294" r:id="rId585"/>
    <hyperlink ref="BK295" r:id="rId586"/>
    <hyperlink ref="BT295" r:id="rId587"/>
    <hyperlink ref="BK296" r:id="rId588"/>
    <hyperlink ref="BT296" r:id="rId589"/>
    <hyperlink ref="BK297" r:id="rId590"/>
    <hyperlink ref="BT297" r:id="rId591"/>
    <hyperlink ref="BK298" r:id="rId592"/>
    <hyperlink ref="BT298" r:id="rId593"/>
    <hyperlink ref="BK299" r:id="rId594"/>
    <hyperlink ref="BT299" r:id="rId595"/>
    <hyperlink ref="BK300" r:id="rId596"/>
    <hyperlink ref="BT300" r:id="rId597"/>
    <hyperlink ref="BK301" r:id="rId598"/>
    <hyperlink ref="BT301" r:id="rId599"/>
    <hyperlink ref="BK302" r:id="rId600"/>
    <hyperlink ref="BT302" r:id="rId601"/>
    <hyperlink ref="BK303" r:id="rId602"/>
    <hyperlink ref="BT303" r:id="rId603"/>
    <hyperlink ref="BK304" r:id="rId604"/>
    <hyperlink ref="BT304" r:id="rId605"/>
    <hyperlink ref="BK305" r:id="rId606"/>
    <hyperlink ref="BT305" r:id="rId607"/>
    <hyperlink ref="BK306" r:id="rId608"/>
    <hyperlink ref="BT306" r:id="rId609"/>
    <hyperlink ref="BK307" r:id="rId610"/>
    <hyperlink ref="BT307" r:id="rId611"/>
    <hyperlink ref="BK308" r:id="rId612"/>
    <hyperlink ref="BT308" r:id="rId613"/>
    <hyperlink ref="BK309" r:id="rId614"/>
    <hyperlink ref="BT309" r:id="rId615"/>
    <hyperlink ref="BK310" r:id="rId616"/>
    <hyperlink ref="BT310" r:id="rId617"/>
    <hyperlink ref="BK311" r:id="rId618"/>
    <hyperlink ref="BT311" r:id="rId619"/>
    <hyperlink ref="BK312" r:id="rId620"/>
    <hyperlink ref="BT312" r:id="rId621"/>
    <hyperlink ref="BK313" r:id="rId622"/>
    <hyperlink ref="BT313" r:id="rId623"/>
    <hyperlink ref="BK314" r:id="rId624"/>
    <hyperlink ref="BT314" r:id="rId625"/>
    <hyperlink ref="BK315" r:id="rId626"/>
    <hyperlink ref="BT315" r:id="rId627"/>
    <hyperlink ref="BK316" r:id="rId628"/>
    <hyperlink ref="BT316" r:id="rId629"/>
    <hyperlink ref="BK317" r:id="rId630"/>
    <hyperlink ref="BT317" r:id="rId631"/>
    <hyperlink ref="BK318" r:id="rId632"/>
    <hyperlink ref="BT318" r:id="rId633"/>
    <hyperlink ref="BK319" r:id="rId634"/>
    <hyperlink ref="BT319" r:id="rId635"/>
    <hyperlink ref="BK320" r:id="rId636"/>
    <hyperlink ref="BT320" r:id="rId637"/>
    <hyperlink ref="BK321" r:id="rId638"/>
    <hyperlink ref="BT321" r:id="rId639"/>
    <hyperlink ref="BK322" r:id="rId640"/>
    <hyperlink ref="BT322" r:id="rId641"/>
    <hyperlink ref="BK323" r:id="rId642"/>
    <hyperlink ref="BT323" r:id="rId643"/>
    <hyperlink ref="BK324" r:id="rId644"/>
    <hyperlink ref="BT324" r:id="rId645"/>
    <hyperlink ref="BK325" r:id="rId646"/>
    <hyperlink ref="BT325" r:id="rId647"/>
    <hyperlink ref="BK326" r:id="rId648"/>
    <hyperlink ref="BT326" r:id="rId649"/>
    <hyperlink ref="BK327" r:id="rId650"/>
    <hyperlink ref="BT327" r:id="rId651"/>
    <hyperlink ref="BK328" r:id="rId652"/>
    <hyperlink ref="BT328" r:id="rId653"/>
    <hyperlink ref="BK329" r:id="rId654"/>
    <hyperlink ref="BT329" r:id="rId655"/>
    <hyperlink ref="BK330" r:id="rId656"/>
    <hyperlink ref="BT330" r:id="rId657"/>
    <hyperlink ref="BK331" r:id="rId658"/>
    <hyperlink ref="BT331" r:id="rId659"/>
    <hyperlink ref="BK332" r:id="rId660"/>
    <hyperlink ref="BT332" r:id="rId661"/>
    <hyperlink ref="BK333" r:id="rId662"/>
    <hyperlink ref="BT333" r:id="rId663"/>
    <hyperlink ref="BK334" r:id="rId664"/>
    <hyperlink ref="BT334" r:id="rId665"/>
    <hyperlink ref="BK335" r:id="rId666"/>
    <hyperlink ref="BT335" r:id="rId667"/>
    <hyperlink ref="BK336" r:id="rId668"/>
    <hyperlink ref="BT336" r:id="rId669"/>
    <hyperlink ref="BK337" r:id="rId670"/>
    <hyperlink ref="BT337" r:id="rId671"/>
    <hyperlink ref="BK338" r:id="rId672"/>
    <hyperlink ref="BT338" r:id="rId673"/>
    <hyperlink ref="BK339" r:id="rId674"/>
    <hyperlink ref="BT339" r:id="rId675"/>
    <hyperlink ref="BK340" r:id="rId676"/>
    <hyperlink ref="BT340" r:id="rId677"/>
    <hyperlink ref="BK341" r:id="rId678"/>
    <hyperlink ref="BT341" r:id="rId679"/>
    <hyperlink ref="BK342" r:id="rId680"/>
    <hyperlink ref="BT342" r:id="rId681"/>
    <hyperlink ref="BK343" r:id="rId682"/>
    <hyperlink ref="BT343" r:id="rId683"/>
    <hyperlink ref="BK344" r:id="rId684"/>
    <hyperlink ref="BT344" r:id="rId685"/>
    <hyperlink ref="BK345" r:id="rId686"/>
    <hyperlink ref="BT345" r:id="rId687"/>
    <hyperlink ref="BK346" r:id="rId688"/>
    <hyperlink ref="BT346" r:id="rId689"/>
    <hyperlink ref="BK347" r:id="rId690"/>
    <hyperlink ref="BT347" r:id="rId691"/>
    <hyperlink ref="BK348" r:id="rId692"/>
    <hyperlink ref="BT348" r:id="rId693"/>
    <hyperlink ref="BK349" r:id="rId694"/>
    <hyperlink ref="BT349" r:id="rId695"/>
    <hyperlink ref="BK350" r:id="rId696"/>
    <hyperlink ref="BT350" r:id="rId697"/>
    <hyperlink ref="BK351" r:id="rId698"/>
    <hyperlink ref="BT351" r:id="rId699"/>
    <hyperlink ref="BK352" r:id="rId700"/>
    <hyperlink ref="BT352" r:id="rId701"/>
    <hyperlink ref="BK353" r:id="rId702"/>
    <hyperlink ref="BT353" r:id="rId703"/>
    <hyperlink ref="BK354" r:id="rId704"/>
    <hyperlink ref="BT354" r:id="rId705"/>
    <hyperlink ref="BK355" r:id="rId706"/>
    <hyperlink ref="BT355" r:id="rId707"/>
    <hyperlink ref="BK356" r:id="rId708"/>
    <hyperlink ref="BT356" r:id="rId709"/>
    <hyperlink ref="BK357" r:id="rId710"/>
    <hyperlink ref="BT357" r:id="rId711"/>
    <hyperlink ref="BK358" r:id="rId712"/>
    <hyperlink ref="BT358" r:id="rId713"/>
    <hyperlink ref="BK359" r:id="rId714"/>
    <hyperlink ref="BT359" r:id="rId715"/>
    <hyperlink ref="BK360" r:id="rId716"/>
    <hyperlink ref="BT360" r:id="rId717"/>
    <hyperlink ref="BK361" r:id="rId718"/>
    <hyperlink ref="BT361" r:id="rId719"/>
    <hyperlink ref="BK362" r:id="rId720"/>
    <hyperlink ref="BT362" r:id="rId721"/>
    <hyperlink ref="BK363" r:id="rId722"/>
    <hyperlink ref="BT363" r:id="rId723"/>
    <hyperlink ref="BK364" r:id="rId724"/>
    <hyperlink ref="BT364" r:id="rId725"/>
    <hyperlink ref="BK365" r:id="rId726"/>
    <hyperlink ref="BT365" r:id="rId727"/>
    <hyperlink ref="BK366" r:id="rId728"/>
    <hyperlink ref="BT366" r:id="rId729"/>
    <hyperlink ref="BK367" r:id="rId730"/>
    <hyperlink ref="BT367" r:id="rId731"/>
    <hyperlink ref="BK368" r:id="rId732"/>
    <hyperlink ref="BT368" r:id="rId733"/>
    <hyperlink ref="BK369" r:id="rId734"/>
    <hyperlink ref="BT369" r:id="rId735"/>
    <hyperlink ref="BK370" r:id="rId736"/>
    <hyperlink ref="BT370" r:id="rId737"/>
    <hyperlink ref="BK371" r:id="rId738"/>
    <hyperlink ref="BT371" r:id="rId739"/>
    <hyperlink ref="BK372" r:id="rId740"/>
    <hyperlink ref="BT372" r:id="rId741"/>
    <hyperlink ref="BK373" r:id="rId742"/>
    <hyperlink ref="BT373" r:id="rId743"/>
    <hyperlink ref="BK374" r:id="rId744"/>
    <hyperlink ref="BT374" r:id="rId745"/>
    <hyperlink ref="BT375" r:id="rId746"/>
    <hyperlink ref="BK376" r:id="rId747"/>
    <hyperlink ref="BT376" r:id="rId748"/>
    <hyperlink ref="BK377" r:id="rId749"/>
    <hyperlink ref="BT377" r:id="rId750"/>
    <hyperlink ref="BK378" r:id="rId751"/>
    <hyperlink ref="BT378" r:id="rId752"/>
    <hyperlink ref="BK379" r:id="rId753"/>
    <hyperlink ref="BT379" r:id="rId754"/>
    <hyperlink ref="BK380" r:id="rId755"/>
    <hyperlink ref="BT380" r:id="rId756"/>
    <hyperlink ref="BK381" r:id="rId757"/>
    <hyperlink ref="BT381" r:id="rId758"/>
    <hyperlink ref="BK382" r:id="rId759"/>
    <hyperlink ref="BT382" r:id="rId760"/>
    <hyperlink ref="BK383" r:id="rId761"/>
    <hyperlink ref="BT383" r:id="rId762"/>
    <hyperlink ref="BK384" r:id="rId763"/>
    <hyperlink ref="BT384" r:id="rId764"/>
    <hyperlink ref="BK385" r:id="rId765"/>
    <hyperlink ref="BT385" r:id="rId766"/>
    <hyperlink ref="BK386" r:id="rId767"/>
    <hyperlink ref="BT386" r:id="rId768"/>
    <hyperlink ref="BK387" r:id="rId769"/>
    <hyperlink ref="BT387" r:id="rId770"/>
    <hyperlink ref="BK388" r:id="rId771"/>
    <hyperlink ref="BT388" r:id="rId772"/>
    <hyperlink ref="BK389" r:id="rId773"/>
    <hyperlink ref="BT389" r:id="rId774"/>
    <hyperlink ref="BK390" r:id="rId775"/>
    <hyperlink ref="BT390" r:id="rId776"/>
    <hyperlink ref="BK391" r:id="rId777"/>
    <hyperlink ref="BT391" r:id="rId778"/>
    <hyperlink ref="BK392" r:id="rId779"/>
    <hyperlink ref="BT392" r:id="rId780"/>
    <hyperlink ref="BK393" r:id="rId781"/>
    <hyperlink ref="BT393" r:id="rId782"/>
    <hyperlink ref="BK394" r:id="rId783"/>
    <hyperlink ref="BT394" r:id="rId784"/>
    <hyperlink ref="BK395" r:id="rId785"/>
    <hyperlink ref="BT395" r:id="rId786"/>
    <hyperlink ref="BK396" r:id="rId787"/>
    <hyperlink ref="BT396" r:id="rId788"/>
    <hyperlink ref="BK397" r:id="rId789"/>
    <hyperlink ref="BT397" r:id="rId790"/>
    <hyperlink ref="BK398" r:id="rId791"/>
    <hyperlink ref="BT398" r:id="rId792"/>
    <hyperlink ref="BK399" r:id="rId793"/>
    <hyperlink ref="BT399" r:id="rId794"/>
    <hyperlink ref="BK400" r:id="rId795"/>
    <hyperlink ref="BT400" r:id="rId796"/>
    <hyperlink ref="BK401" r:id="rId797"/>
    <hyperlink ref="BT401" r:id="rId798"/>
    <hyperlink ref="BK402" r:id="rId799"/>
    <hyperlink ref="BT402" r:id="rId800"/>
    <hyperlink ref="BK403" r:id="rId801"/>
    <hyperlink ref="BT403" r:id="rId802"/>
    <hyperlink ref="BK404" r:id="rId803"/>
    <hyperlink ref="BT404" r:id="rId804"/>
    <hyperlink ref="BK405" r:id="rId805"/>
    <hyperlink ref="BT405" r:id="rId806"/>
    <hyperlink ref="BK406" r:id="rId807"/>
    <hyperlink ref="BT406" r:id="rId808"/>
    <hyperlink ref="BK407" r:id="rId809"/>
    <hyperlink ref="BT407" r:id="rId810"/>
    <hyperlink ref="BK408" r:id="rId811"/>
    <hyperlink ref="BT408" r:id="rId812"/>
    <hyperlink ref="BK409" r:id="rId813"/>
    <hyperlink ref="BT409" r:id="rId814"/>
    <hyperlink ref="BK410" r:id="rId815"/>
    <hyperlink ref="BT410" r:id="rId816"/>
    <hyperlink ref="BK411" r:id="rId817"/>
    <hyperlink ref="BT411" r:id="rId818"/>
    <hyperlink ref="BK412" r:id="rId819"/>
    <hyperlink ref="BT412" r:id="rId820"/>
    <hyperlink ref="BK413" r:id="rId821"/>
    <hyperlink ref="BT413" r:id="rId822"/>
    <hyperlink ref="BK414" r:id="rId823"/>
    <hyperlink ref="BT414" r:id="rId824"/>
    <hyperlink ref="BK415" r:id="rId825"/>
    <hyperlink ref="BT415" r:id="rId826"/>
    <hyperlink ref="BK416" r:id="rId827"/>
    <hyperlink ref="BT416" r:id="rId828"/>
    <hyperlink ref="BK417" r:id="rId829"/>
    <hyperlink ref="BT417" r:id="rId830"/>
    <hyperlink ref="BK418" r:id="rId831"/>
    <hyperlink ref="BT418" r:id="rId832"/>
    <hyperlink ref="BK419" r:id="rId833"/>
    <hyperlink ref="BT419" r:id="rId834"/>
    <hyperlink ref="BK420" r:id="rId835"/>
    <hyperlink ref="BT420" r:id="rId836"/>
    <hyperlink ref="BK421" r:id="rId837"/>
    <hyperlink ref="BT421" r:id="rId838"/>
    <hyperlink ref="BK422" r:id="rId839"/>
    <hyperlink ref="BT422" r:id="rId840"/>
    <hyperlink ref="BK423" r:id="rId841"/>
    <hyperlink ref="BT423" r:id="rId842"/>
    <hyperlink ref="BK424" r:id="rId843"/>
    <hyperlink ref="BT424" r:id="rId844"/>
    <hyperlink ref="BK425" r:id="rId845"/>
    <hyperlink ref="BT425" r:id="rId846"/>
    <hyperlink ref="BK426" r:id="rId847"/>
    <hyperlink ref="BT426" r:id="rId848"/>
    <hyperlink ref="BK427" r:id="rId849"/>
    <hyperlink ref="BT427" r:id="rId850"/>
    <hyperlink ref="BK428" r:id="rId851"/>
    <hyperlink ref="BT428" r:id="rId852"/>
    <hyperlink ref="BK429" r:id="rId853"/>
    <hyperlink ref="BT429" r:id="rId854"/>
    <hyperlink ref="BK430" r:id="rId855"/>
    <hyperlink ref="BT430" r:id="rId856"/>
    <hyperlink ref="BK431" r:id="rId857"/>
    <hyperlink ref="BT431" r:id="rId858"/>
    <hyperlink ref="BK432" r:id="rId859"/>
    <hyperlink ref="BT432" r:id="rId860"/>
    <hyperlink ref="BK433" r:id="rId861"/>
    <hyperlink ref="BT433" r:id="rId862"/>
    <hyperlink ref="BK434" r:id="rId863"/>
    <hyperlink ref="BT434" r:id="rId864"/>
    <hyperlink ref="BK435" r:id="rId865"/>
    <hyperlink ref="BT435" r:id="rId866"/>
    <hyperlink ref="BK436" r:id="rId867"/>
    <hyperlink ref="BT436" r:id="rId868"/>
    <hyperlink ref="BK437" r:id="rId869"/>
    <hyperlink ref="BT437" r:id="rId870"/>
    <hyperlink ref="BK438" r:id="rId871"/>
    <hyperlink ref="BT438" r:id="rId872"/>
    <hyperlink ref="BK439" r:id="rId873"/>
    <hyperlink ref="BT439" r:id="rId874"/>
    <hyperlink ref="BK440" r:id="rId875"/>
    <hyperlink ref="BT440" r:id="rId876"/>
    <hyperlink ref="BK441" r:id="rId877"/>
    <hyperlink ref="BT441" r:id="rId878"/>
    <hyperlink ref="BK442" r:id="rId879"/>
    <hyperlink ref="BT442" r:id="rId880"/>
    <hyperlink ref="BK443" r:id="rId881"/>
    <hyperlink ref="BT443" r:id="rId882"/>
    <hyperlink ref="BK444" r:id="rId883"/>
    <hyperlink ref="BT444" r:id="rId884"/>
    <hyperlink ref="BK445" r:id="rId885"/>
    <hyperlink ref="BT445" r:id="rId886"/>
    <hyperlink ref="BK446" r:id="rId887"/>
    <hyperlink ref="BT446" r:id="rId888"/>
    <hyperlink ref="BK447" r:id="rId889"/>
    <hyperlink ref="BT447" r:id="rId890"/>
    <hyperlink ref="BK448" r:id="rId891"/>
    <hyperlink ref="BT448" r:id="rId892"/>
    <hyperlink ref="BK449" r:id="rId893"/>
    <hyperlink ref="BT449" r:id="rId894"/>
    <hyperlink ref="BK450" r:id="rId895"/>
    <hyperlink ref="BT450" r:id="rId896"/>
    <hyperlink ref="BK451" r:id="rId897"/>
    <hyperlink ref="BT451" r:id="rId898"/>
    <hyperlink ref="BK452" r:id="rId899"/>
    <hyperlink ref="BT452" r:id="rId900"/>
    <hyperlink ref="BK453" r:id="rId901"/>
    <hyperlink ref="BT453" r:id="rId902"/>
    <hyperlink ref="BK454" r:id="rId903"/>
    <hyperlink ref="BT454" r:id="rId904"/>
    <hyperlink ref="BK455" r:id="rId905"/>
    <hyperlink ref="BT455" r:id="rId906"/>
    <hyperlink ref="BK456" r:id="rId907"/>
    <hyperlink ref="BT456" r:id="rId908"/>
    <hyperlink ref="BK457" r:id="rId909"/>
    <hyperlink ref="BT457" r:id="rId910"/>
    <hyperlink ref="BK458" r:id="rId911"/>
    <hyperlink ref="BT458" r:id="rId912"/>
    <hyperlink ref="BK459" r:id="rId913"/>
    <hyperlink ref="BT459" r:id="rId914"/>
    <hyperlink ref="BK460" r:id="rId915"/>
    <hyperlink ref="BT460" r:id="rId916"/>
    <hyperlink ref="BK461" r:id="rId917"/>
    <hyperlink ref="BT461" r:id="rId918"/>
    <hyperlink ref="BK462" r:id="rId919"/>
    <hyperlink ref="BT462" r:id="rId920"/>
    <hyperlink ref="BK463" r:id="rId921"/>
    <hyperlink ref="BT463" r:id="rId922"/>
    <hyperlink ref="BK464" r:id="rId923"/>
    <hyperlink ref="BT464" r:id="rId924"/>
    <hyperlink ref="BK465" r:id="rId925"/>
    <hyperlink ref="BT465" r:id="rId926"/>
    <hyperlink ref="BK466" r:id="rId927"/>
    <hyperlink ref="BT466" r:id="rId928"/>
    <hyperlink ref="BK467" r:id="rId929"/>
    <hyperlink ref="BT467" r:id="rId930"/>
    <hyperlink ref="BK468" r:id="rId931"/>
    <hyperlink ref="BT468" r:id="rId932"/>
    <hyperlink ref="BK469" r:id="rId933"/>
    <hyperlink ref="BT469" r:id="rId934"/>
    <hyperlink ref="BK470" r:id="rId935"/>
    <hyperlink ref="BT470" r:id="rId936"/>
    <hyperlink ref="BK471" r:id="rId937"/>
    <hyperlink ref="BT471" r:id="rId938"/>
    <hyperlink ref="BK472" r:id="rId939"/>
    <hyperlink ref="BT472" r:id="rId940"/>
    <hyperlink ref="BK473" r:id="rId941"/>
    <hyperlink ref="BT473" r:id="rId942"/>
    <hyperlink ref="BK474" r:id="rId943"/>
    <hyperlink ref="BT474" r:id="rId944"/>
    <hyperlink ref="BK475" r:id="rId945"/>
    <hyperlink ref="BT475" r:id="rId946"/>
    <hyperlink ref="BK476" r:id="rId947"/>
    <hyperlink ref="BT476" r:id="rId948"/>
    <hyperlink ref="BT477" r:id="rId949"/>
    <hyperlink ref="BK478" r:id="rId950"/>
    <hyperlink ref="BT478" r:id="rId951"/>
    <hyperlink ref="BK479" r:id="rId952"/>
    <hyperlink ref="BT479" r:id="rId953"/>
    <hyperlink ref="BK480" r:id="rId954"/>
    <hyperlink ref="BT480" r:id="rId955"/>
    <hyperlink ref="BK481" r:id="rId956"/>
    <hyperlink ref="BT481" r:id="rId957"/>
    <hyperlink ref="BK482" r:id="rId958"/>
    <hyperlink ref="BT482" r:id="rId959"/>
    <hyperlink ref="BK483" r:id="rId960"/>
    <hyperlink ref="BT483" r:id="rId961"/>
    <hyperlink ref="BK484" r:id="rId962"/>
    <hyperlink ref="BT484" r:id="rId963"/>
    <hyperlink ref="BK485" r:id="rId964"/>
    <hyperlink ref="BT485" r:id="rId965"/>
    <hyperlink ref="BK486" r:id="rId966"/>
    <hyperlink ref="BT486" r:id="rId967"/>
    <hyperlink ref="BK487" r:id="rId968"/>
    <hyperlink ref="BT487" r:id="rId969"/>
    <hyperlink ref="BK488" r:id="rId970"/>
    <hyperlink ref="BT488" r:id="rId971"/>
    <hyperlink ref="BK489" r:id="rId972"/>
    <hyperlink ref="BT489" r:id="rId973"/>
    <hyperlink ref="BK490" r:id="rId974"/>
    <hyperlink ref="BT490" r:id="rId975"/>
    <hyperlink ref="BK491" r:id="rId976"/>
    <hyperlink ref="BT491" r:id="rId977"/>
    <hyperlink ref="BK492" r:id="rId978"/>
    <hyperlink ref="BT492" r:id="rId979"/>
    <hyperlink ref="BK493" r:id="rId980"/>
    <hyperlink ref="BT493" r:id="rId981"/>
    <hyperlink ref="BK494" r:id="rId982"/>
    <hyperlink ref="BT494" r:id="rId983"/>
    <hyperlink ref="BK495" r:id="rId984"/>
    <hyperlink ref="BT495" r:id="rId985"/>
    <hyperlink ref="BK496" r:id="rId986"/>
    <hyperlink ref="BT496" r:id="rId987"/>
    <hyperlink ref="BK497" r:id="rId988"/>
    <hyperlink ref="BT497" r:id="rId989"/>
    <hyperlink ref="BK498" r:id="rId990"/>
    <hyperlink ref="BT498" r:id="rId991"/>
    <hyperlink ref="BK499" r:id="rId992"/>
    <hyperlink ref="BT499" r:id="rId993"/>
    <hyperlink ref="BK500" r:id="rId994"/>
    <hyperlink ref="BT500" r:id="rId995"/>
    <hyperlink ref="BK501" r:id="rId996"/>
    <hyperlink ref="BT501" r:id="rId997"/>
    <hyperlink ref="BK502" r:id="rId998"/>
    <hyperlink ref="BT502" r:id="rId999"/>
    <hyperlink ref="BK503" r:id="rId1000"/>
    <hyperlink ref="BT503" r:id="rId1001"/>
    <hyperlink ref="BK504" r:id="rId1002"/>
    <hyperlink ref="BT504" r:id="rId1003"/>
    <hyperlink ref="BK505" r:id="rId1004"/>
    <hyperlink ref="BT505" r:id="rId1005"/>
    <hyperlink ref="BK506" r:id="rId1006"/>
    <hyperlink ref="BT506" r:id="rId1007"/>
    <hyperlink ref="BK507" r:id="rId1008"/>
    <hyperlink ref="BT507" r:id="rId1009"/>
    <hyperlink ref="BK508" r:id="rId1010"/>
    <hyperlink ref="BT508" r:id="rId1011"/>
    <hyperlink ref="BK509" r:id="rId1012"/>
    <hyperlink ref="BT509" r:id="rId1013"/>
    <hyperlink ref="BK510" r:id="rId1014"/>
    <hyperlink ref="BT510" r:id="rId1015"/>
    <hyperlink ref="BK511" r:id="rId1016"/>
    <hyperlink ref="BT511" r:id="rId1017"/>
    <hyperlink ref="BK512" r:id="rId1018"/>
    <hyperlink ref="BT512" r:id="rId1019"/>
    <hyperlink ref="BK513" r:id="rId1020"/>
    <hyperlink ref="BT513" r:id="rId1021"/>
    <hyperlink ref="BK514" r:id="rId1022"/>
    <hyperlink ref="BT514" r:id="rId1023"/>
    <hyperlink ref="BK515" r:id="rId1024"/>
    <hyperlink ref="BT515" r:id="rId1025"/>
    <hyperlink ref="BK516" r:id="rId1026"/>
    <hyperlink ref="BT516" r:id="rId1027"/>
    <hyperlink ref="BK517" r:id="rId1028"/>
    <hyperlink ref="BT517" r:id="rId1029"/>
    <hyperlink ref="BK518" r:id="rId1030"/>
    <hyperlink ref="BT518" r:id="rId1031"/>
    <hyperlink ref="BK519" r:id="rId1032"/>
    <hyperlink ref="BT519" r:id="rId1033"/>
    <hyperlink ref="BK520" r:id="rId1034"/>
    <hyperlink ref="BT520" r:id="rId1035"/>
    <hyperlink ref="BK521" r:id="rId1036"/>
    <hyperlink ref="BT521" r:id="rId1037"/>
    <hyperlink ref="BK522" r:id="rId1038"/>
    <hyperlink ref="BT522" r:id="rId1039"/>
    <hyperlink ref="BK523" r:id="rId1040"/>
    <hyperlink ref="BT523" r:id="rId1041"/>
    <hyperlink ref="BK524" r:id="rId1042"/>
    <hyperlink ref="BT524" r:id="rId1043"/>
    <hyperlink ref="BK525" r:id="rId1044"/>
    <hyperlink ref="BT525" r:id="rId1045"/>
    <hyperlink ref="BK526" r:id="rId1046"/>
    <hyperlink ref="BT526" r:id="rId1047"/>
    <hyperlink ref="BK527" r:id="rId1048"/>
    <hyperlink ref="BT527" r:id="rId1049"/>
    <hyperlink ref="BK528" r:id="rId1050"/>
    <hyperlink ref="BT528" r:id="rId1051"/>
    <hyperlink ref="BK529" r:id="rId1052"/>
    <hyperlink ref="BT529" r:id="rId1053"/>
    <hyperlink ref="BK530" r:id="rId1054"/>
    <hyperlink ref="BT530" r:id="rId1055"/>
    <hyperlink ref="BK531" r:id="rId1056"/>
    <hyperlink ref="BT531" r:id="rId1057"/>
    <hyperlink ref="BK532" r:id="rId1058"/>
    <hyperlink ref="BT532" r:id="rId1059"/>
    <hyperlink ref="BK533" r:id="rId1060"/>
    <hyperlink ref="BT533" r:id="rId1061"/>
    <hyperlink ref="BK534" r:id="rId1062"/>
    <hyperlink ref="BT534" r:id="rId1063"/>
    <hyperlink ref="BK535" r:id="rId1064"/>
    <hyperlink ref="BT535" r:id="rId1065"/>
    <hyperlink ref="BK536" r:id="rId1066"/>
    <hyperlink ref="BT536" r:id="rId1067"/>
    <hyperlink ref="BK537" r:id="rId1068"/>
    <hyperlink ref="BT537" r:id="rId1069"/>
    <hyperlink ref="BK538" r:id="rId1070"/>
    <hyperlink ref="BT538" r:id="rId1071"/>
    <hyperlink ref="BK539" r:id="rId1072"/>
    <hyperlink ref="BT539" r:id="rId1073"/>
    <hyperlink ref="BK540" r:id="rId1074"/>
    <hyperlink ref="BT540" r:id="rId1075"/>
    <hyperlink ref="BK541" r:id="rId1076"/>
    <hyperlink ref="BT541" r:id="rId1077"/>
    <hyperlink ref="BK542" r:id="rId1078"/>
    <hyperlink ref="BT542" r:id="rId1079"/>
    <hyperlink ref="BK543" r:id="rId1080"/>
    <hyperlink ref="BT543" r:id="rId1081"/>
    <hyperlink ref="BK544" r:id="rId1082"/>
    <hyperlink ref="BT544" r:id="rId1083"/>
    <hyperlink ref="BK545" r:id="rId1084"/>
    <hyperlink ref="BT545" r:id="rId1085"/>
    <hyperlink ref="BK546" r:id="rId1086"/>
    <hyperlink ref="BT546" r:id="rId1087"/>
    <hyperlink ref="BK547" r:id="rId1088"/>
    <hyperlink ref="BT547" r:id="rId1089"/>
    <hyperlink ref="BK548" r:id="rId1090"/>
    <hyperlink ref="BT548" r:id="rId1091"/>
    <hyperlink ref="BK549" r:id="rId1092"/>
    <hyperlink ref="BT549" r:id="rId1093"/>
    <hyperlink ref="BK550" r:id="rId1094"/>
    <hyperlink ref="BT550" r:id="rId1095"/>
    <hyperlink ref="BK551" r:id="rId1096"/>
    <hyperlink ref="BT551" r:id="rId1097"/>
    <hyperlink ref="BK552" r:id="rId1098"/>
    <hyperlink ref="BT552" r:id="rId1099"/>
    <hyperlink ref="BK553" r:id="rId1100"/>
    <hyperlink ref="BT553" r:id="rId1101"/>
    <hyperlink ref="BK554" r:id="rId1102"/>
    <hyperlink ref="BT554" r:id="rId1103"/>
    <hyperlink ref="BK555" r:id="rId1104"/>
    <hyperlink ref="BT555" r:id="rId1105"/>
    <hyperlink ref="BK556" r:id="rId1106"/>
    <hyperlink ref="BT556" r:id="rId1107"/>
    <hyperlink ref="BK557" r:id="rId1108"/>
    <hyperlink ref="BT557" r:id="rId1109"/>
    <hyperlink ref="BK558" r:id="rId1110"/>
    <hyperlink ref="BT558" r:id="rId1111"/>
    <hyperlink ref="BK559" r:id="rId1112"/>
    <hyperlink ref="BT559" r:id="rId1113"/>
    <hyperlink ref="BK560" r:id="rId1114"/>
    <hyperlink ref="BT560" r:id="rId1115"/>
    <hyperlink ref="BK561" r:id="rId1116"/>
    <hyperlink ref="BT561" r:id="rId1117"/>
    <hyperlink ref="BK562" r:id="rId1118"/>
    <hyperlink ref="BT562" r:id="rId1119"/>
    <hyperlink ref="BT563" r:id="rId1120"/>
    <hyperlink ref="BK564" r:id="rId1121"/>
    <hyperlink ref="BT564" r:id="rId1122"/>
    <hyperlink ref="BK565" r:id="rId1123"/>
    <hyperlink ref="BT565" r:id="rId1124"/>
    <hyperlink ref="BK566" r:id="rId1125"/>
    <hyperlink ref="BT566" r:id="rId1126"/>
    <hyperlink ref="BK567" r:id="rId1127"/>
    <hyperlink ref="BT567" r:id="rId1128"/>
    <hyperlink ref="BK568" r:id="rId1129"/>
    <hyperlink ref="BT568" r:id="rId1130"/>
    <hyperlink ref="BK569" r:id="rId1131"/>
    <hyperlink ref="BT569" r:id="rId1132"/>
    <hyperlink ref="BK570" r:id="rId1133"/>
    <hyperlink ref="BT570" r:id="rId1134"/>
    <hyperlink ref="BK571" r:id="rId1135"/>
    <hyperlink ref="BT571" r:id="rId1136"/>
    <hyperlink ref="BK572" r:id="rId1137"/>
    <hyperlink ref="BT572" r:id="rId1138"/>
    <hyperlink ref="BK573" r:id="rId1139"/>
    <hyperlink ref="BT573" r:id="rId1140"/>
    <hyperlink ref="BK574" r:id="rId1141"/>
    <hyperlink ref="BT574" r:id="rId1142"/>
    <hyperlink ref="BK575" r:id="rId1143"/>
    <hyperlink ref="BT575" r:id="rId1144"/>
    <hyperlink ref="BK576" r:id="rId1145"/>
    <hyperlink ref="BT576" r:id="rId1146"/>
    <hyperlink ref="BK577" r:id="rId1147"/>
    <hyperlink ref="BT577" r:id="rId1148"/>
    <hyperlink ref="BK578" r:id="rId1149"/>
    <hyperlink ref="BT578" r:id="rId1150"/>
    <hyperlink ref="BK579" r:id="rId1151"/>
    <hyperlink ref="BT579" r:id="rId1152"/>
    <hyperlink ref="BK580" r:id="rId1153"/>
    <hyperlink ref="BT580" r:id="rId1154"/>
    <hyperlink ref="BK581" r:id="rId1155"/>
    <hyperlink ref="BT581" r:id="rId1156"/>
    <hyperlink ref="BK582" r:id="rId1157"/>
    <hyperlink ref="BT582" r:id="rId1158"/>
    <hyperlink ref="BK583" r:id="rId1159"/>
    <hyperlink ref="BT583" r:id="rId1160"/>
    <hyperlink ref="BK584" r:id="rId1161"/>
    <hyperlink ref="BT584" r:id="rId1162"/>
    <hyperlink ref="BK585" r:id="rId1163"/>
    <hyperlink ref="BT585" r:id="rId1164"/>
    <hyperlink ref="BK586" r:id="rId1165"/>
    <hyperlink ref="BT586" r:id="rId1166"/>
    <hyperlink ref="BK587" r:id="rId1167"/>
    <hyperlink ref="BT587" r:id="rId1168"/>
    <hyperlink ref="BK588" r:id="rId1169"/>
    <hyperlink ref="BT588" r:id="rId1170"/>
    <hyperlink ref="BK589" r:id="rId1171"/>
    <hyperlink ref="BT589" r:id="rId1172"/>
    <hyperlink ref="BK590" r:id="rId1173"/>
    <hyperlink ref="BT590" r:id="rId1174"/>
    <hyperlink ref="BK591" r:id="rId1175"/>
    <hyperlink ref="BT591" r:id="rId1176"/>
    <hyperlink ref="BK592" r:id="rId1177"/>
    <hyperlink ref="BT592" r:id="rId1178"/>
    <hyperlink ref="BK593" r:id="rId1179"/>
    <hyperlink ref="BT593" r:id="rId1180"/>
    <hyperlink ref="BK594" r:id="rId1181"/>
    <hyperlink ref="BT594" r:id="rId1182"/>
    <hyperlink ref="BK595" r:id="rId1183"/>
    <hyperlink ref="BT595" r:id="rId1184"/>
    <hyperlink ref="BK596" r:id="rId1185"/>
    <hyperlink ref="BT596" r:id="rId1186"/>
    <hyperlink ref="BK597" r:id="rId1187"/>
    <hyperlink ref="BT597" r:id="rId1188"/>
    <hyperlink ref="BK598" r:id="rId1189"/>
    <hyperlink ref="BT598" r:id="rId1190"/>
    <hyperlink ref="BK599" r:id="rId1191"/>
    <hyperlink ref="BT599" r:id="rId1192"/>
    <hyperlink ref="BK600" r:id="rId1193"/>
    <hyperlink ref="BT600" r:id="rId1194"/>
    <hyperlink ref="BK601" r:id="rId1195"/>
    <hyperlink ref="BT601" r:id="rId1196"/>
    <hyperlink ref="BK602" r:id="rId1197"/>
    <hyperlink ref="BT602" r:id="rId1198"/>
    <hyperlink ref="BK603" r:id="rId1199"/>
    <hyperlink ref="BT603" r:id="rId1200"/>
    <hyperlink ref="BK604" r:id="rId1201"/>
    <hyperlink ref="BT604" r:id="rId1202"/>
    <hyperlink ref="BK605" r:id="rId1203"/>
    <hyperlink ref="BT605" r:id="rId1204"/>
    <hyperlink ref="BK606" r:id="rId1205"/>
    <hyperlink ref="BT606" r:id="rId1206"/>
    <hyperlink ref="BK607" r:id="rId1207"/>
    <hyperlink ref="BT607" r:id="rId1208"/>
    <hyperlink ref="BK608" r:id="rId1209"/>
    <hyperlink ref="BT608" r:id="rId1210"/>
    <hyperlink ref="BK609" r:id="rId1211"/>
    <hyperlink ref="BT609" r:id="rId1212"/>
    <hyperlink ref="BK610" r:id="rId1213"/>
    <hyperlink ref="BT610" r:id="rId1214"/>
    <hyperlink ref="BK611" r:id="rId1215"/>
    <hyperlink ref="BT611" r:id="rId1216"/>
    <hyperlink ref="BK612" r:id="rId1217"/>
    <hyperlink ref="BT612" r:id="rId1218"/>
    <hyperlink ref="BK613" r:id="rId1219"/>
    <hyperlink ref="BT613" r:id="rId1220"/>
    <hyperlink ref="BK614" r:id="rId1221"/>
    <hyperlink ref="BT614" r:id="rId1222"/>
    <hyperlink ref="BK615" r:id="rId1223"/>
    <hyperlink ref="BT615" r:id="rId1224"/>
    <hyperlink ref="BK616" r:id="rId1225"/>
    <hyperlink ref="BT616" r:id="rId1226"/>
    <hyperlink ref="BK617" r:id="rId1227"/>
    <hyperlink ref="BT617" r:id="rId1228"/>
    <hyperlink ref="BK618" r:id="rId1229"/>
    <hyperlink ref="BT618" r:id="rId1230"/>
    <hyperlink ref="BK619" r:id="rId1231"/>
    <hyperlink ref="BT619" r:id="rId1232"/>
    <hyperlink ref="BK620" r:id="rId1233"/>
    <hyperlink ref="BT620" r:id="rId1234"/>
    <hyperlink ref="BK621" r:id="rId1235"/>
    <hyperlink ref="BT621" r:id="rId1236"/>
    <hyperlink ref="BK622" r:id="rId1237"/>
    <hyperlink ref="BT622" r:id="rId1238"/>
    <hyperlink ref="BK623" r:id="rId1239"/>
    <hyperlink ref="BT623" r:id="rId1240"/>
    <hyperlink ref="BK624" r:id="rId1241"/>
    <hyperlink ref="BT624" r:id="rId1242"/>
    <hyperlink ref="BK625" r:id="rId1243"/>
    <hyperlink ref="BT625" r:id="rId1244"/>
    <hyperlink ref="BK626" r:id="rId1245"/>
    <hyperlink ref="BT626" r:id="rId1246"/>
    <hyperlink ref="BK627" r:id="rId1247"/>
    <hyperlink ref="BT627" r:id="rId1248"/>
    <hyperlink ref="BK628" r:id="rId1249"/>
    <hyperlink ref="BT628" r:id="rId1250"/>
    <hyperlink ref="BK629" r:id="rId1251"/>
    <hyperlink ref="BT629" r:id="rId1252"/>
    <hyperlink ref="BK630" r:id="rId1253"/>
    <hyperlink ref="BT630" r:id="rId1254"/>
    <hyperlink ref="BK631" r:id="rId1255"/>
    <hyperlink ref="BT631" r:id="rId1256"/>
    <hyperlink ref="BK632" r:id="rId1257"/>
    <hyperlink ref="BT632" r:id="rId1258"/>
    <hyperlink ref="BK633" r:id="rId1259"/>
    <hyperlink ref="BT633" r:id="rId1260"/>
    <hyperlink ref="BK634" r:id="rId1261"/>
    <hyperlink ref="BT634" r:id="rId1262"/>
    <hyperlink ref="BK635" r:id="rId1263"/>
    <hyperlink ref="BT635" r:id="rId1264"/>
    <hyperlink ref="BK636" r:id="rId1265"/>
    <hyperlink ref="BT636" r:id="rId1266"/>
    <hyperlink ref="BK637" r:id="rId1267"/>
    <hyperlink ref="BT637" r:id="rId1268"/>
    <hyperlink ref="BK638" r:id="rId1269"/>
    <hyperlink ref="BT638" r:id="rId1270"/>
    <hyperlink ref="BK639" r:id="rId1271"/>
    <hyperlink ref="BT639" r:id="rId1272"/>
    <hyperlink ref="BK640" r:id="rId1273"/>
    <hyperlink ref="BT640" r:id="rId1274"/>
    <hyperlink ref="BK641" r:id="rId1275"/>
    <hyperlink ref="BT641" r:id="rId1276"/>
    <hyperlink ref="BK642" r:id="rId1277"/>
    <hyperlink ref="BT642" r:id="rId1278"/>
    <hyperlink ref="BK643" r:id="rId1279"/>
    <hyperlink ref="BT643" r:id="rId1280"/>
    <hyperlink ref="BK644" r:id="rId1281"/>
    <hyperlink ref="BT644" r:id="rId1282"/>
    <hyperlink ref="BK645" r:id="rId1283"/>
    <hyperlink ref="BT645" r:id="rId1284"/>
    <hyperlink ref="BK646" r:id="rId1285"/>
    <hyperlink ref="BT646" r:id="rId1286"/>
    <hyperlink ref="BK647" r:id="rId1287"/>
    <hyperlink ref="BT647" r:id="rId1288"/>
    <hyperlink ref="BK648" r:id="rId1289"/>
    <hyperlink ref="BT648" r:id="rId1290"/>
    <hyperlink ref="BK649" r:id="rId1291"/>
    <hyperlink ref="BT649" r:id="rId1292"/>
    <hyperlink ref="BK650" r:id="rId1293"/>
    <hyperlink ref="BT650" r:id="rId1294"/>
    <hyperlink ref="BK651" r:id="rId1295"/>
    <hyperlink ref="BT651" r:id="rId1296"/>
    <hyperlink ref="BK652" r:id="rId1297"/>
    <hyperlink ref="BT652" r:id="rId1298"/>
    <hyperlink ref="BK653" r:id="rId1299"/>
    <hyperlink ref="BT653" r:id="rId1300"/>
    <hyperlink ref="BK654" r:id="rId1301"/>
    <hyperlink ref="BT654" r:id="rId1302"/>
    <hyperlink ref="BK655" r:id="rId1303"/>
    <hyperlink ref="BT655" r:id="rId1304"/>
    <hyperlink ref="BK656" r:id="rId1305"/>
    <hyperlink ref="BT656" r:id="rId1306"/>
    <hyperlink ref="BK657" r:id="rId1307"/>
    <hyperlink ref="BT657" r:id="rId1308"/>
    <hyperlink ref="BK658" r:id="rId1309"/>
    <hyperlink ref="BT658" r:id="rId1310"/>
    <hyperlink ref="BK659" r:id="rId1311"/>
    <hyperlink ref="BT659" r:id="rId1312"/>
    <hyperlink ref="BK660" r:id="rId1313"/>
    <hyperlink ref="BT660" r:id="rId1314"/>
    <hyperlink ref="BK661" r:id="rId1315"/>
    <hyperlink ref="BT661" r:id="rId1316"/>
    <hyperlink ref="BK662" r:id="rId1317"/>
    <hyperlink ref="BT662" r:id="rId1318"/>
    <hyperlink ref="BK663" r:id="rId1319"/>
    <hyperlink ref="BT663" r:id="rId1320"/>
    <hyperlink ref="BK664" r:id="rId1321"/>
    <hyperlink ref="BT664" r:id="rId1322"/>
    <hyperlink ref="BK665" r:id="rId1323"/>
    <hyperlink ref="BT665" r:id="rId1324"/>
    <hyperlink ref="BK666" r:id="rId1325"/>
    <hyperlink ref="BT666" r:id="rId1326"/>
    <hyperlink ref="BK667" r:id="rId1327"/>
    <hyperlink ref="BT667" r:id="rId1328"/>
  </hyperlinks>
  <printOptions horizontalCentered="true"/>
  <pageMargins bottom="0.75" footer="0.3" header="0.3" left="0.7" right="0.7" top="0.75"/>
  <pageSetup orientation="landscape" fitToHeight="1" fitToWidth="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2026-08-26T12:50:40Z</dcterms:created>
  <dc:creator>Apache POI</dc:creator>
</cp:coreProperties>
</file>