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H192"/>
  <c r="H81"/>
  <c r="H138"/>
  <c r="H18"/>
  <c r="H3"/>
  <c r="H67"/>
  <c r="H26"/>
  <c r="H4"/>
  <c r="H91"/>
  <c r="H46"/>
  <c r="H7"/>
  <c r="H191"/>
  <c r="H187"/>
  <c r="H183"/>
  <c r="H163"/>
  <c r="H158"/>
  <c r="H134"/>
  <c r="H131"/>
  <c r="H127"/>
  <c r="H119"/>
  <c r="H117"/>
  <c r="H106"/>
  <c r="H101"/>
  <c r="H48"/>
  <c r="H89"/>
  <c r="H86"/>
  <c r="H83"/>
  <c r="H66"/>
  <c r="H57"/>
  <c r="H55"/>
  <c r="H53"/>
  <c r="H42"/>
  <c r="H41"/>
  <c r="H38"/>
  <c r="H33"/>
  <c r="H32"/>
  <c r="H31"/>
  <c r="H28"/>
  <c r="H25"/>
  <c r="H22"/>
  <c r="H20"/>
  <c r="H19"/>
  <c r="H15"/>
  <c r="H13"/>
  <c r="H8"/>
  <c r="F138"/>
  <c r="G138"/>
  <c r="D138"/>
  <c r="F135"/>
  <c r="F128"/>
  <c r="F120"/>
  <c r="G120"/>
  <c r="D120"/>
  <c r="F111"/>
  <c r="F102"/>
  <c r="F100"/>
  <c r="F93"/>
  <c r="F86"/>
  <c r="G86"/>
  <c r="D86"/>
  <c r="F81"/>
  <c r="G81"/>
  <c r="D81"/>
  <c r="F80"/>
  <c r="G80"/>
  <c r="D80"/>
  <c r="F75"/>
  <c r="F73"/>
  <c r="G73"/>
  <c r="D73"/>
  <c r="F65"/>
  <c r="D65"/>
  <c r="F48"/>
  <c r="G48"/>
  <c r="D48"/>
  <c r="F45"/>
  <c r="F9"/>
  <c r="F42"/>
  <c r="G42"/>
  <c r="D42"/>
  <c r="F41"/>
  <c r="G41"/>
  <c r="D41"/>
  <c r="F36"/>
  <c r="F33"/>
  <c r="G33"/>
  <c r="D33"/>
  <c r="F32"/>
  <c r="G32"/>
  <c r="D32"/>
  <c r="F26"/>
  <c r="F23"/>
  <c r="D23"/>
  <c r="F22"/>
  <c r="G22"/>
  <c r="D22"/>
  <c r="F20"/>
  <c r="D20"/>
  <c r="D19"/>
  <c r="F19"/>
  <c r="F6"/>
  <c r="G11"/>
  <c r="F10"/>
  <c r="F13"/>
  <c r="G17"/>
  <c r="F29"/>
  <c r="G37"/>
  <c r="G61"/>
  <c r="F91"/>
  <c r="F158"/>
  <c r="F189"/>
  <c r="D38"/>
  <c r="D34"/>
  <c r="D175"/>
  <c r="D78"/>
  <c r="D71"/>
  <c r="D52"/>
  <c r="D45"/>
  <c r="D178"/>
  <c r="D56"/>
  <c r="D76"/>
  <c r="D26"/>
  <c r="D9"/>
  <c r="C180"/>
  <c r="C176"/>
  <c r="C165"/>
  <c r="C164"/>
  <c r="C143"/>
  <c r="C142"/>
  <c r="C141"/>
  <c r="C139"/>
  <c r="C133"/>
  <c r="C128"/>
  <c r="C127"/>
  <c r="C23"/>
  <c r="B21"/>
  <c r="C21"/>
  <c r="C22"/>
  <c r="C24"/>
  <c r="C25"/>
  <c r="C26"/>
  <c r="C28"/>
  <c r="C29"/>
  <c r="C31"/>
  <c r="B33"/>
  <c r="C33"/>
  <c r="C35"/>
  <c r="C39"/>
  <c r="C37"/>
  <c r="C38"/>
  <c r="C41"/>
  <c r="C42"/>
  <c r="C46"/>
  <c r="C47"/>
  <c r="C48"/>
  <c r="C50"/>
  <c r="C51"/>
  <c r="C57"/>
  <c r="C59"/>
  <c r="C60"/>
  <c r="C64"/>
  <c r="C65"/>
  <c r="C66"/>
  <c r="C67"/>
  <c r="C68"/>
  <c r="C69"/>
  <c r="C73"/>
  <c r="C74"/>
  <c r="C77"/>
  <c r="C78"/>
  <c r="C79"/>
  <c r="C81"/>
  <c r="C90"/>
  <c r="C91"/>
  <c r="C97"/>
  <c r="C6"/>
  <c r="B6"/>
  <c r="D6"/>
  <c r="D5"/>
  <c r="C10"/>
  <c r="C20"/>
  <c r="C19"/>
  <c r="C18"/>
  <c r="C17"/>
  <c r="B17"/>
  <c r="C15"/>
  <c r="C14"/>
  <c r="C13"/>
  <c r="B13"/>
  <c r="C12"/>
  <c r="C11"/>
  <c r="C9"/>
  <c r="B9"/>
  <c r="C8"/>
  <c r="B8"/>
  <c r="C7"/>
  <c r="B7"/>
  <c r="C5"/>
  <c r="B5"/>
  <c r="C3"/>
  <c r="B3"/>
  <c r="C2"/>
  <c r="B2"/>
</calcChain>
</file>

<file path=xl/sharedStrings.xml><?xml version="1.0" encoding="utf-8"?>
<sst xmlns="http://schemas.openxmlformats.org/spreadsheetml/2006/main">
  <si>
    <t>Profession</t>
  </si>
  <si>
    <t>Raw_Count</t>
  </si>
  <si>
    <t>Normalized_Count</t>
  </si>
  <si>
    <t>Quantity</t>
  </si>
  <si>
    <t>Source</t>
  </si>
  <si>
    <t>Salary</t>
  </si>
  <si>
    <t>Salary_Year</t>
  </si>
  <si>
    <t>Prestige</t>
  </si>
  <si>
    <t>Unknown</t>
  </si>
  <si>
    <t>Writer</t>
  </si>
  <si>
    <t>https://data.bls.gov/oes/#/industry/000000</t>
  </si>
  <si>
    <t>Detective</t>
  </si>
  <si>
    <t>Student</t>
  </si>
  <si>
    <t>https://nces.ed.gov/fastfacts/display.asp?id=372#fn2</t>
  </si>
  <si>
    <t>Secret agent</t>
  </si>
  <si>
    <t>https://www.fbi.gov/news/speeches-and-testimony/federal-bureau-of-investigation-budget-request-for-fiscal-year-2024, https://www.payscale.com/research/US/Job=FBI_Agent/Salary</t>
  </si>
  <si>
    <t>Police</t>
  </si>
  <si>
    <t>Lawyer/attorney/law clerk/paralegal</t>
  </si>
  <si>
    <t>Soldier</t>
  </si>
  <si>
    <t>https://www.statista.com/statistics/239383/total-military-personnel-of-the-us-army-by-grade/</t>
  </si>
  <si>
    <t>Athlete</t>
  </si>
  <si>
    <t>Musician</t>
  </si>
  <si>
    <t>Child/teenager</t>
  </si>
  <si>
    <t>https://www.census.gov/quickfacts/fact/table/US/PST045224</t>
  </si>
  <si>
    <t>Teacher</t>
  </si>
  <si>
    <t>Journalist</t>
  </si>
  <si>
    <t>Artist</t>
  </si>
  <si>
    <t>CEO</t>
  </si>
  <si>
    <t>Actor</t>
  </si>
  <si>
    <t>Doctor</t>
  </si>
  <si>
    <t>Professor/academic/scholar</t>
  </si>
  <si>
    <t>Scientist</t>
  </si>
  <si>
    <t>Housekeeper</t>
  </si>
  <si>
    <t>Farmer/agricultural worker</t>
  </si>
  <si>
    <t>Bar/club/cafe/restaurant owner</t>
  </si>
  <si>
    <t>https://www.statista.com/statistics/1000058/number-of-coffeehouse-stores-in-the-us/ AND https://market.us/report/pubs-bars-and-nightclubs-market/ AND https://www.statista.com/topics/1670/coffeehouse-chain-market/ AND https://www.foodindustry.com/articles/independents-account-for-70-percent-of-all-us-restaurants/ AND https://www.ziprecruiter.com/Salaries/Bar-Owner-Salary&amp;ved=2ahUKEwi1oOaOiM2MAxWaFBAIHdNuGFcQFnoECBQQAw&amp;usg=AOvVaw27_BtjLLEKEnt-IRL4uvB1 AND https://www.glassdoor.com/Salaries/cafe-owner-salary-SRCH_KO0%252C10.htm AND https://www.glassdoor.com/Salaries/restaurant-owner-salary-SRCH_KO0%252C16.htm</t>
  </si>
  <si>
    <t>Crime boss</t>
  </si>
  <si>
    <t>https://www.fbi.gov/investigate/violent-crime/gangs</t>
  </si>
  <si>
    <t>Security agent/bodyguard/enforcer</t>
  </si>
  <si>
    <t>Bookshop owner/assistant</t>
  </si>
  <si>
    <t>https://www.census.gov/library/stories/2021/12/do-not-turn-the-page-on-bookstores.html AND https://www.glassdoor.com/Salaries/bookstore-assistant-salary-SRCH_KO0%2C19.htm</t>
  </si>
  <si>
    <t>Assassin</t>
  </si>
  <si>
    <t>https://www.cdc.gov/nchs/fastats/homicide.htm AND https://washingtoncitypaper.com/article/208854/straight-dope-how-many-people-get-killed-for-money-each/</t>
  </si>
  <si>
    <t>Nurse</t>
  </si>
  <si>
    <t>Government minister/politician</t>
  </si>
  <si>
    <t>Medical examiner</t>
  </si>
  <si>
    <t>Psychologist/therapist/counselor</t>
  </si>
  <si>
    <t>Librarian/archivist</t>
  </si>
  <si>
    <t>Film/TV producer/editor/director/maker</t>
  </si>
  <si>
    <t>Not applicable</t>
  </si>
  <si>
    <t>https://eyeonhousing.org/2025/03/people-not-in-the-labor-force/</t>
  </si>
  <si>
    <t>Business executive</t>
  </si>
  <si>
    <t>Game designer</t>
  </si>
  <si>
    <t>https://www.statista.com/topics/8790/video-game-industry-in-the-united-states/ AND https://roomescapeartist.com/2024/12/29/us-escape-room-industry-report-december-2024/ AND https://www.glassdoor.com/Salaries/game-designer-salary-SRCH_KO0%252C13.htm</t>
  </si>
  <si>
    <t>Personal assistant</t>
  </si>
  <si>
    <t>https://www.zippia.com/personal-assistant-jobs/trends/</t>
  </si>
  <si>
    <t>Computer worker</t>
  </si>
  <si>
    <t>Bartender</t>
  </si>
  <si>
    <t>Business owner</t>
  </si>
  <si>
    <t>https://www.census.gov/newsroom/press-releases/2023/annual-business-survey-employer-business-characteristics.html#:~</t>
  </si>
  <si>
    <t>Gallery owner/curator/creative director/assistant</t>
  </si>
  <si>
    <t>Finance/investment</t>
  </si>
  <si>
    <t>Athletic/literary/artistic director/agent</t>
  </si>
  <si>
    <t>Chef/chocolatier/pastry chef</t>
  </si>
  <si>
    <t>Navy officer/Marines</t>
  </si>
  <si>
    <t>https://www.statista.com/statistics/232330/us-military-force-numbers-by-service-branch-and-reserve-component/ AND https://www.indeed.com/cmp/US-Navy-faba947a/salaries/Petty-Officer</t>
  </si>
  <si>
    <t>Podcaster/TV host</t>
  </si>
  <si>
    <t>Forensic specialist</t>
  </si>
  <si>
    <t>Marketing/PR/communications</t>
  </si>
  <si>
    <t>Heir</t>
  </si>
  <si>
    <t>Photographer</t>
  </si>
  <si>
    <t>Sex worker</t>
  </si>
  <si>
    <t>https://pmc.ncbi.nlm.nih.gov/articles/PMC6424363/</t>
  </si>
  <si>
    <t>Bounty hunter</t>
  </si>
  <si>
    <t>https://nafra.info/</t>
  </si>
  <si>
    <t>Military leader/strategist</t>
  </si>
  <si>
    <t>Nanny/children's caretaker</t>
  </si>
  <si>
    <t>Shepherd/herder/rancher</t>
  </si>
  <si>
    <t>Unemployed</t>
  </si>
  <si>
    <t>Conservation officer/park ranger</t>
  </si>
  <si>
    <t>Real estate agent</t>
  </si>
  <si>
    <t>Editor</t>
  </si>
  <si>
    <t>Florist/plant sales</t>
  </si>
  <si>
    <t>Comedian/entertainer/fool</t>
  </si>
  <si>
    <t>Diver</t>
  </si>
  <si>
    <t>Prisoner</t>
  </si>
  <si>
    <t>https://bjs.ojp.gov/library/publications/prisoners-2022-statistical-tables AND https://en.wikipedia.org/wiki/Prison%E2%80%93industrial_complex</t>
  </si>
  <si>
    <t>Shop assistant/shopkeeper</t>
  </si>
  <si>
    <t>Non-profit/charity/aid work</t>
  </si>
  <si>
    <t>Dancer/choreographer</t>
  </si>
  <si>
    <t>Engineer</t>
  </si>
  <si>
    <t>Architect</t>
  </si>
  <si>
    <t>Aristocrat</t>
  </si>
  <si>
    <t>Royalty</t>
  </si>
  <si>
    <t>Murderer</t>
  </si>
  <si>
    <t>https://www.statista.com/statistics/251886/murder-offenders-in-the-us-by-gender/</t>
  </si>
  <si>
    <t>Ship captain</t>
  </si>
  <si>
    <t>Businessperson</t>
  </si>
  <si>
    <t>Thief/con artist</t>
  </si>
  <si>
    <t>Government employee</t>
  </si>
  <si>
    <t>https://www.pewresearch.org/short-reads/2025/01/07/what-the-data-says-about-federal-workers</t>
  </si>
  <si>
    <t>Homemaker</t>
  </si>
  <si>
    <t>Manager</t>
  </si>
  <si>
    <t>Influencer/content creator</t>
  </si>
  <si>
    <t>https://www.mbopartners.com/state-of-independence/creator-economy-report/</t>
  </si>
  <si>
    <t>Server</t>
  </si>
  <si>
    <t>Banker</t>
  </si>
  <si>
    <t>Gardener/landscaper</t>
  </si>
  <si>
    <t>Business consultant</t>
  </si>
  <si>
    <t>Driver</t>
  </si>
  <si>
    <t>Administrator</t>
  </si>
  <si>
    <t>Criminal (unspecified)</t>
  </si>
  <si>
    <t>https://www.ussc.gov/research/quick-facts/career-offenders</t>
  </si>
  <si>
    <t>Graphic/web designer</t>
  </si>
  <si>
    <t>Mercenary</t>
  </si>
  <si>
    <t>Vigilante</t>
  </si>
  <si>
    <t>Auditor/forensic accountant/accountant/bookkeeper</t>
  </si>
  <si>
    <t>Event planner</t>
  </si>
  <si>
    <t>Athletic coach</t>
  </si>
  <si>
    <t>Psychiatrist</t>
  </si>
  <si>
    <t>Camp counselor</t>
  </si>
  <si>
    <t>https://www.zippia.com/camp-counselor-jobs/demographics/</t>
  </si>
  <si>
    <t>Hotel/resort owner/manager</t>
  </si>
  <si>
    <t>https://www.bls.gov/ooh/management/lodging-managers.htm</t>
  </si>
  <si>
    <t>Intern</t>
  </si>
  <si>
    <t>https://standout-cv.com/usa/stats-usa/internship-statistics#key-statistics</t>
  </si>
  <si>
    <t>Non-human animal</t>
  </si>
  <si>
    <t>Secretary</t>
  </si>
  <si>
    <t>Union leader</t>
  </si>
  <si>
    <t>Baker</t>
  </si>
  <si>
    <t>Antique dealer</t>
  </si>
  <si>
    <t>https://www.bbb.org/us/category/antique-dealers AND https://careers.stateuniversity.com/pages/7793/Antique-Dealer.html</t>
  </si>
  <si>
    <t>Archeologist/anthropologist</t>
  </si>
  <si>
    <t>Astronaut</t>
  </si>
  <si>
    <t>https://www.nasa.gov/humans-in-space/astronauts/active-astronauts/ AND https://www.nasa.gov/humans-in-space/becoming-an-astronaut-frequently-asked-questions</t>
  </si>
  <si>
    <t>Personal and home care aide</t>
  </si>
  <si>
    <t>Executive assistant</t>
  </si>
  <si>
    <t>Fantasy/sci-fi occupation</t>
  </si>
  <si>
    <t>https://apnews.com/article/psychic-readings-norfolk-virginia-ban-tarot-cards-3d687dd365bdf799c4d9fd7ce0589fb9</t>
  </si>
  <si>
    <t>Firefighter</t>
  </si>
  <si>
    <t>Gas station vendor</t>
  </si>
  <si>
    <t>Healer</t>
  </si>
  <si>
    <t>Hospital worker</t>
  </si>
  <si>
    <t>https://datausa.io/profile/naics/hospitals</t>
  </si>
  <si>
    <t>Host</t>
  </si>
  <si>
    <t>House flipper</t>
  </si>
  <si>
    <t>Interior designer</t>
  </si>
  <si>
    <t>Jeweler</t>
  </si>
  <si>
    <t>Mathematician</t>
  </si>
  <si>
    <t>Merchant</t>
  </si>
  <si>
    <t>Postal service/envoy/courier</t>
  </si>
  <si>
    <t>Railway worker</t>
  </si>
  <si>
    <t>Resident assistant</t>
  </si>
  <si>
    <t>Salesperson</t>
  </si>
  <si>
    <t>Laborers and Material Movers</t>
  </si>
  <si>
    <t>Slave</t>
  </si>
  <si>
    <t>https://www.walkfree.org/global-slavery-index/country-studies/united-states</t>
  </si>
  <si>
    <t>Socialite/debutante</t>
  </si>
  <si>
    <t>Tailor</t>
  </si>
  <si>
    <t>Veterenarian</t>
  </si>
  <si>
    <t>Woodworker</t>
  </si>
  <si>
    <t>Auctioneer/stall and market sales</t>
  </si>
  <si>
    <t>Groundskeeper/Janitor</t>
  </si>
  <si>
    <t>Home organizer</t>
  </si>
  <si>
    <t>https://professionalorganizermavericks.com/start/is-professional-organizing-a-lucrative-business</t>
  </si>
  <si>
    <t>Hunter</t>
  </si>
  <si>
    <t>https://en.wikipedia.org/wiki/Professional_hunter AND https://www.ziprecruiter.com/Salaries/Professional-Hunter-Salary&amp;ved=2ahUKEwiprquTr82MAxWjKRAIHTbGLLoQFnoECBwQAQ&amp;usg=AOvVaw0Cxth3b_JAfVcDDMnkiOU6</t>
  </si>
  <si>
    <t>Office assistant</t>
  </si>
  <si>
    <t>Social/case worker</t>
  </si>
  <si>
    <t>Translator/interpreter</t>
  </si>
  <si>
    <t>Art restorer</t>
  </si>
  <si>
    <t>Guide</t>
  </si>
  <si>
    <t>Real estate developer</t>
  </si>
  <si>
    <t>https://www.bakertilly.com/insights/capitalizing-on-opportunities-for-underrepresented-developers AND https://www.glassdoor.com/Salaries/real-estate-developer-salary-SRCH_KO0,21.htm</t>
  </si>
  <si>
    <t>Entertainment and recreation manager/director</t>
  </si>
  <si>
    <t>Construction worker</t>
  </si>
  <si>
    <t>Oil company worker</t>
  </si>
  <si>
    <t>Entrepreneur</t>
  </si>
  <si>
    <t>Education/childcare management</t>
  </si>
  <si>
    <t>Fashion designer/industry worker</t>
  </si>
  <si>
    <t>Sales director</t>
  </si>
  <si>
    <t>Warehouse worker</t>
  </si>
  <si>
    <t>Orderly</t>
  </si>
  <si>
    <t>Bookbinder/restorer</t>
  </si>
  <si>
    <t>Carpenter</t>
  </si>
  <si>
    <t>Cashier</t>
  </si>
  <si>
    <t>Counterfeiter</t>
  </si>
  <si>
    <t>https://www.ussc.gov/sites/default/files/pdf/research-and-publications/quick-facts/Quick_Facts_Counterfeiting_FY14.pdf</t>
  </si>
  <si>
    <t>Demolition expert</t>
  </si>
  <si>
    <t>EMT</t>
  </si>
  <si>
    <t>Food courier</t>
  </si>
  <si>
    <t>Gig worker</t>
  </si>
  <si>
    <t>https://www.bls.gov/news.release/conemp.nr0.htm</t>
  </si>
  <si>
    <t>Hairdresser</t>
  </si>
  <si>
    <t>Land owner</t>
  </si>
  <si>
    <t>https://www.pewresearch.org/short-reads/2021/08/02/as-national-eviction-ban-expires-a-look-at-who-rents-and-who-owns-in-the-u-s</t>
  </si>
  <si>
    <t>Movie studio executive</t>
  </si>
  <si>
    <t>Museum worker</t>
  </si>
  <si>
    <t>Pharmacist</t>
  </si>
  <si>
    <t>Pilot</t>
  </si>
  <si>
    <t>Sound engineering technician</t>
  </si>
  <si>
    <t>Surrogate</t>
  </si>
  <si>
    <t>https://www.law.georgetown.edu/gender-journal/wp-content/uploads/sites/20/2019/11/Alicia_Surrogacy-6.pdf</t>
  </si>
  <si>
    <t>Zookeeper</t>
  </si>
  <si>
    <t>Model</t>
  </si>
  <si>
    <t>Social scientist</t>
  </si>
  <si>
    <t>Activist</t>
  </si>
  <si>
    <t>Physical therapist</t>
  </si>
  <si>
    <t>Bank teller</t>
  </si>
  <si>
    <t>Butcher</t>
  </si>
  <si>
    <t>Car mechanic</t>
  </si>
  <si>
    <t>Concierge</t>
  </si>
  <si>
    <t>Crypto miner</t>
  </si>
  <si>
    <t>https://www.euci.com/facing-a-growing-crypto-mining-sector-the-u-s-to-require-reports-of-power-use-by-miners/?utm_source=chatgpt.com</t>
  </si>
  <si>
    <t>Doula</t>
  </si>
  <si>
    <t>Drug dealer</t>
  </si>
  <si>
    <t>Funeral home director</t>
  </si>
  <si>
    <t>Grocer (first-line supervisor retail sales)</t>
  </si>
  <si>
    <t>Motivational speaker</t>
  </si>
  <si>
    <t>https://www.tcaa.co/motivational-speakers-in-usa/</t>
  </si>
  <si>
    <t>Office clerk</t>
  </si>
  <si>
    <t>Religious leader</t>
  </si>
  <si>
    <t>https://web.archive.org/web/20161204122936/http://www.nytimes.com/2006/08/28/nyregion/28religion.html?pagewanted=print</t>
  </si>
  <si>
    <t>Retiree</t>
  </si>
  <si>
    <t>Tech executive</t>
  </si>
  <si>
    <t>Barista</t>
  </si>
  <si>
    <t>https://oysterlink.com/spotlight/barista-statistics-2025</t>
  </si>
  <si>
    <t>Adventurer/traveler/explorer</t>
  </si>
  <si>
    <t>Dishwasher</t>
  </si>
  <si>
    <t>HR</t>
  </si>
  <si>
    <t>Monk/nun</t>
  </si>
  <si>
    <t>Actuary</t>
  </si>
  <si>
    <t>Body artist</t>
  </si>
  <si>
    <t>Estate/building manager</t>
  </si>
  <si>
    <t>Factory owner</t>
  </si>
  <si>
    <t>https://www.ibisworld.com/united-states/number-of-businesses/manufacturing/210/</t>
  </si>
  <si>
    <t>Flight attendant</t>
  </si>
  <si>
    <t>Handyperson</t>
  </si>
  <si>
    <t>Lab assistant</t>
  </si>
  <si>
    <t>Technician/machinist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</si>
</sst>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/>
    <border>
      <left style="thin"/>
      <right style="thin"/>
      <top style="thin"/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>
        <color indexed="64"/>
      </diagonal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94">
      <selection activeCell="A110" sqref="A110"/>
    </sheetView>
  </sheetViews>
  <sheetFormatPr defaultRowHeight="15"/>
  <cols>
    <col min="1" max="1" width="22.85547" customWidth="1"/>
    <col min="2" max="2" width="18.42578" customWidth="1"/>
    <col min="3" max="3" width="25.28516" customWidth="1"/>
    <col min="4" max="4" width="12.14063" customWidth="1"/>
    <col min="6" max="6" width="11.57031" bestFit="1" customWidth="1"/>
    <col min="7" max="7" width="11.57031" bestFit="1" customWidth="1"/>
    <col min="8" max="8" width="11.57031" bestFit="1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t="s">
        <v>8</v>
      </c>
      <c r="B2">
        <f>168+69</f>
        <v>237</v>
      </c>
      <c r="C2">
        <f>78.3860805860806+34.5</f>
        <v>112.8860805860806</v>
      </c>
    </row>
    <row r="3">
      <c r="A3" t="s">
        <v>9</v>
      </c>
      <c r="B3">
        <f>82+21</f>
        <v>103</v>
      </c>
      <c r="C3">
        <f>45.9038461538462+8.5417</f>
        <v>54.445546153846202</v>
      </c>
      <c r="D3" s="3">
        <v>47800</v>
      </c>
      <c r="E3" t="s">
        <v>10</v>
      </c>
      <c r="F3">
        <v>41.240000000000002</v>
      </c>
      <c r="G3" s="3">
        <v>85780</v>
      </c>
      <c r="H3">
        <f>AVERAGE(70,68.97,57.81,54.41,51.05)</f>
        <v>60.448</v>
      </c>
    </row>
    <row r="4">
      <c r="A4" t="s">
        <v>11</v>
      </c>
      <c r="B4">
        <v>74</v>
      </c>
      <c r="C4">
        <v>45.740256410256407</v>
      </c>
      <c r="D4" s="3">
        <v>110790</v>
      </c>
      <c r="F4">
        <v>47.479999999999997</v>
      </c>
      <c r="G4" s="3">
        <v>98770</v>
      </c>
      <c r="H4">
        <f>AVERAGE(55.54,64.51)</f>
        <v>60.025000000000006</v>
      </c>
    </row>
    <row r="5">
      <c r="A5" t="s">
        <v>12</v>
      </c>
      <c r="B5">
        <f>58+35</f>
        <v>93</v>
      </c>
      <c r="C5">
        <f>27.0297008547008+14.375</f>
        <v>41.404700854700799</v>
      </c>
      <c r="D5">
        <f>15569000+19000000</f>
        <v>34569000</v>
      </c>
      <c r="E5" t="s">
        <v>13</v>
      </c>
      <c r="F5">
        <v>0</v>
      </c>
      <c r="G5">
        <v>0</v>
      </c>
    </row>
    <row r="6">
      <c r="A6" t="s">
        <v>14</v>
      </c>
      <c r="B6">
        <f>44+17</f>
        <v>61</v>
      </c>
      <c r="C6">
        <f>24.1633333333333+0.5+8.75</f>
        <v>33.413333333333298</v>
      </c>
      <c r="D6">
        <f>13662+2000</f>
        <v>15662</v>
      </c>
      <c r="E6" t="s">
        <v>15</v>
      </c>
      <c r="F6">
        <f>G6/2080</f>
        <v>35.137980769230801</v>
      </c>
      <c r="G6" s="3">
        <v>73087</v>
      </c>
      <c r="H6">
        <v>67.450000000000003</v>
      </c>
    </row>
    <row r="7">
      <c r="A7" t="s">
        <v>16</v>
      </c>
      <c r="B7">
        <f>18+14+8</f>
        <v>40</v>
      </c>
      <c r="C7">
        <f>11.4133333333333+0.5+7.33+2.2666667</f>
        <v>21.510000033333299</v>
      </c>
      <c r="D7" s="3">
        <v>669990</v>
      </c>
      <c r="F7">
        <v>38.159999999999997</v>
      </c>
      <c r="G7" s="3">
        <v>79380</v>
      </c>
      <c r="H7">
        <f>AVERAGE(64.84,61.81,60.8,58.07,65.12)</f>
        <v>62.128</v>
      </c>
    </row>
    <row r="8">
      <c r="A8" t="s">
        <v>17</v>
      </c>
      <c r="B8">
        <f>21+12+5</f>
        <v>38</v>
      </c>
      <c r="C8">
        <f>12.75+1.56666666666667+2.75+2.08333333333333</f>
        <v>19.149999999999999</v>
      </c>
      <c r="D8" s="3">
        <v>810640</v>
      </c>
      <c r="F8">
        <v>85.370000000000005</v>
      </c>
      <c r="G8" s="3">
        <v>177570</v>
      </c>
      <c r="H8">
        <f>AVERAGE(72.94,57.92,57.49)</f>
        <v>62.783333333333339</v>
      </c>
    </row>
    <row r="9">
      <c r="A9" t="s">
        <v>18</v>
      </c>
      <c r="B9">
        <f>17+14</f>
        <v>31</v>
      </c>
      <c r="C9">
        <f>5.60384615384615+3.83333333333333+8.66666666666667</f>
        <v>18.103846153846149</v>
      </c>
      <c r="D9">
        <f>453551-28500</f>
        <v>425051</v>
      </c>
      <c r="E9" t="s">
        <v>19</v>
      </c>
      <c r="F9">
        <f>G9/2080</f>
        <v>25.961538461538499</v>
      </c>
      <c r="G9">
        <v>54000</v>
      </c>
      <c r="H9">
        <v>60.240000000000002</v>
      </c>
    </row>
    <row r="10">
      <c r="A10" t="s">
        <v>20</v>
      </c>
      <c r="B10">
        <v>45</v>
      </c>
      <c r="C10">
        <f>2.90833333333333+14.08+0.5</f>
        <v>17.48833333333333</v>
      </c>
      <c r="D10" s="3">
        <v>14370</v>
      </c>
      <c r="F10">
        <f>G10/2080</f>
        <v>124.87980769230801</v>
      </c>
      <c r="G10" s="3">
        <v>259750</v>
      </c>
      <c r="H10">
        <v>71.030000000000001</v>
      </c>
    </row>
    <row r="11">
      <c r="A11" t="s">
        <v>21</v>
      </c>
      <c r="B11">
        <v>35</v>
      </c>
      <c r="C11">
        <f>3.89166666666667+10.25</f>
        <v>14.141666666666669</v>
      </c>
      <c r="D11" s="3">
        <v>38350</v>
      </c>
      <c r="F11">
        <v>55.130000000000003</v>
      </c>
      <c r="G11">
        <f>F11*2080</f>
        <v>114670.39999999999</v>
      </c>
      <c r="H11">
        <v>67.069999999999993</v>
      </c>
    </row>
    <row r="12">
      <c r="A12" t="s">
        <v>22</v>
      </c>
      <c r="B12">
        <v>30</v>
      </c>
      <c r="C12">
        <f>3.33333333333333+10.5128571428571</f>
        <v>13.846190476190431</v>
      </c>
      <c r="D12">
        <v>73800000</v>
      </c>
      <c r="E12" t="s">
        <v>23</v>
      </c>
      <c r="F12">
        <v>0</v>
      </c>
      <c r="G12">
        <v>0</v>
      </c>
    </row>
    <row r="13">
      <c r="A13" t="s">
        <v>24</v>
      </c>
      <c r="B13">
        <f>19+9</f>
        <v>28</v>
      </c>
      <c r="C13">
        <f>8.66666666666667+3.5</f>
        <v>12.16666666666667</v>
      </c>
      <c r="D13" s="3">
        <v>4321590</v>
      </c>
      <c r="F13">
        <f>G13/2080</f>
        <v>32.754807692307701</v>
      </c>
      <c r="G13" s="3">
        <v>68130</v>
      </c>
      <c r="H13">
        <f>AVERAGE(59.29,57.51,57.35,55.37,55.35)</f>
        <v>56.974000000000004</v>
      </c>
    </row>
    <row r="14">
      <c r="A14" t="s">
        <v>25</v>
      </c>
      <c r="B14">
        <v>23</v>
      </c>
      <c r="C14">
        <f>10.7833333333333+0.25</f>
        <v>11.033333333333299</v>
      </c>
      <c r="D14" s="3">
        <v>41550</v>
      </c>
      <c r="F14">
        <v>50.979999999999997</v>
      </c>
      <c r="G14" s="3">
        <v>106030</v>
      </c>
      <c r="H14">
        <v>58.740000000000002</v>
      </c>
    </row>
    <row r="15">
      <c r="A15" t="s">
        <v>26</v>
      </c>
      <c r="B15">
        <v>28</v>
      </c>
      <c r="C15">
        <f>3.18333333333333+4+3.11025641025641</f>
        <v>10.29358974358974</v>
      </c>
      <c r="D15" s="3">
        <v>10000</v>
      </c>
      <c r="F15">
        <v>36.759999999999998</v>
      </c>
      <c r="G15" s="3">
        <v>76450</v>
      </c>
      <c r="H15">
        <f>AVERAGE(64.74,51.68,47.02)</f>
        <v>54.479999999999997</v>
      </c>
    </row>
    <row r="16">
      <c r="A16" t="s">
        <v>27</v>
      </c>
      <c r="B16">
        <v>21</v>
      </c>
      <c r="C16">
        <v>10.166700000000001</v>
      </c>
      <c r="D16" s="3">
        <v>211850</v>
      </c>
      <c r="F16">
        <v>126.41</v>
      </c>
      <c r="G16" s="3">
        <v>262930</v>
      </c>
      <c r="H16">
        <v>80.370000000000005</v>
      </c>
    </row>
    <row r="17">
      <c r="A17" t="s">
        <v>28</v>
      </c>
      <c r="B17">
        <f>19+3</f>
        <v>22</v>
      </c>
      <c r="C17">
        <f>6.38717948717949+1.75+1.83333333333333</f>
        <v>9.9705128205128215</v>
      </c>
      <c r="D17" s="3">
        <v>38800</v>
      </c>
      <c r="F17">
        <v>44.399999999999999</v>
      </c>
      <c r="G17">
        <f>F17*2080</f>
        <v>92352</v>
      </c>
      <c r="H17">
        <v>69.519999999999996</v>
      </c>
    </row>
    <row r="18">
      <c r="A18" t="s">
        <v>29</v>
      </c>
      <c r="B18">
        <v>21</v>
      </c>
      <c r="C18">
        <f>4.58333333333333+5.25</f>
        <v>9.8333333333333304</v>
      </c>
      <c r="D18" s="3">
        <v>727050</v>
      </c>
      <c r="F18">
        <v>130.91999999999999</v>
      </c>
      <c r="G18" s="3">
        <v>272320</v>
      </c>
      <c r="H18">
        <f>AVERAGE(88.91,88.15,87.94,82.71,81.82,81.4,80.17,78.97,78.77,78.21,78.13,76.14,75.51,74.26,73.98,73.88,70.67)</f>
        <v>79.389411764705869</v>
      </c>
    </row>
    <row r="19">
      <c r="A19" t="s">
        <v>30</v>
      </c>
      <c r="B19">
        <v>20</v>
      </c>
      <c r="C19">
        <f>5.03333333333333+1.25+1.58333333333333+1.61111</f>
        <v>9.4777766666666601</v>
      </c>
      <c r="D19">
        <f>1396300-303970-13350-2630-12680-111150</f>
        <v>952520</v>
      </c>
      <c r="F19">
        <f>G19/2080</f>
        <v>49.235576923076898</v>
      </c>
      <c r="G19" s="3">
        <v>102410</v>
      </c>
      <c r="H19">
        <f>AVERAGE(73.42,72.5,71.36,70.11,69.37,67.69,67.63,67.33,66.56,66.52,66.23,65.2,64.31,64.15,64,63.68,63.45,63.38,63.36,63.09,62.62,62.38,61.18,59.73,59.56,59.52,59.51,58.21,58.14,56.56,56.48,56.45)</f>
        <v>63.865000000000002</v>
      </c>
    </row>
    <row r="20">
      <c r="A20" t="s">
        <v>31</v>
      </c>
      <c r="B20">
        <v>19</v>
      </c>
      <c r="C20">
        <f>7.52051282051282+1.25</f>
        <v>8.7705128205128204</v>
      </c>
      <c r="D20">
        <f>1446770-279960</f>
        <v>1166810</v>
      </c>
      <c r="F20">
        <f>G20/2080</f>
        <v>41.788461538461497</v>
      </c>
      <c r="G20">
        <v>86920</v>
      </c>
      <c r="H20">
        <f>AVERAGE(81.23,80.29,78.12,75.94,75.79,73.02,72.94,72.55,71.41,69.62,68.86,68.73,67.17,66.87,63.58)</f>
        <v>72.407999999999987</v>
      </c>
    </row>
    <row r="21">
      <c r="A21" t="s">
        <v>32</v>
      </c>
      <c r="B21">
        <f>8+6+1</f>
        <v>15</v>
      </c>
      <c r="C21">
        <f>1.33333333333333+1.25+0.16667+0.5+5.2+0.125</f>
        <v>8.5750033333333295</v>
      </c>
      <c r="D21" s="3">
        <v>854910</v>
      </c>
      <c r="F21">
        <v>17.390000000000001</v>
      </c>
      <c r="G21" s="3">
        <v>36180</v>
      </c>
      <c r="H21">
        <v>22.66</v>
      </c>
    </row>
    <row r="22">
      <c r="A22" t="s">
        <v>33</v>
      </c>
      <c r="B22">
        <v>18</v>
      </c>
      <c r="C22">
        <f>1.90692307692308+4.75+1</f>
        <v>7.6569230769230803</v>
      </c>
      <c r="D22" s="3">
        <f>5910+261690</f>
        <v>267600</v>
      </c>
      <c r="F22">
        <f>G22/2080</f>
        <v>18.827711603139001</v>
      </c>
      <c r="G22">
        <f>(5910*97240 + 261690*37850)/(5910+261690)</f>
        <v>39161.640134529101</v>
      </c>
      <c r="H22">
        <f>AVERAGE(54.42,51.91,47.04,42.66,41.79,39.23)</f>
        <v>46.175000000000004</v>
      </c>
    </row>
    <row r="23">
      <c r="A23" t="s">
        <v>34</v>
      </c>
      <c r="B23">
        <v>15</v>
      </c>
      <c r="C23">
        <f>3.5+1.5+0.666666666666667+1.91667</f>
        <v>7.5833366666666668</v>
      </c>
      <c r="D23">
        <f>31600+150115+18000</f>
        <v>199715</v>
      </c>
      <c r="E23" t="s">
        <v>35</v>
      </c>
      <c r="F23">
        <f>G23/2080</f>
        <v>34.191826923076903</v>
      </c>
      <c r="G23">
        <v>71119</v>
      </c>
      <c r="H23">
        <v>40.020000000000003</v>
      </c>
    </row>
    <row r="24">
      <c r="A24" t="s">
        <v>36</v>
      </c>
      <c r="B24">
        <v>16</v>
      </c>
      <c r="C24">
        <f>6.75+2/3</f>
        <v>7.416666666666667</v>
      </c>
      <c r="D24">
        <v>33000</v>
      </c>
      <c r="E24" t="s">
        <v>37</v>
      </c>
    </row>
    <row r="25">
      <c r="A25" t="s">
        <v>38</v>
      </c>
      <c r="B25">
        <v>14</v>
      </c>
      <c r="C25">
        <f>3.66666666666667+3.15</f>
        <v>6.81666666666667</v>
      </c>
      <c r="D25" s="3">
        <v>1241770</v>
      </c>
      <c r="F25">
        <v>20.620000000000001</v>
      </c>
      <c r="G25" s="3">
        <v>42890</v>
      </c>
      <c r="H25">
        <f>AVERAGE(60.45,46.49,37.98)</f>
        <v>48.306666666666665</v>
      </c>
    </row>
    <row r="26">
      <c r="A26" t="s">
        <v>39</v>
      </c>
      <c r="B26">
        <v>13</v>
      </c>
      <c r="C26">
        <f>5.73333333333333+0.875</f>
        <v>6.6083333333333298</v>
      </c>
      <c r="D26">
        <f>2433+61068</f>
        <v>63501</v>
      </c>
      <c r="E26" t="s">
        <v>40</v>
      </c>
      <c r="F26">
        <f>G26/2080</f>
        <v>16.878846153846201</v>
      </c>
      <c r="G26" s="3">
        <v>35108</v>
      </c>
      <c r="H26">
        <f>AVERAGE(47.87,31.04)</f>
        <v>39.454999999999998</v>
      </c>
    </row>
    <row r="27">
      <c r="A27" t="s">
        <v>41</v>
      </c>
      <c r="B27">
        <v>14</v>
      </c>
      <c r="C27">
        <v>6.5</v>
      </c>
      <c r="D27">
        <v>250</v>
      </c>
      <c r="E27" t="s">
        <v>42</v>
      </c>
    </row>
    <row r="28">
      <c r="A28" t="s">
        <v>43</v>
      </c>
      <c r="B28">
        <v>13</v>
      </c>
      <c r="C28">
        <f>5.05+1.25</f>
        <v>6.2999999999999998</v>
      </c>
      <c r="D28" s="3">
        <v>307390</v>
      </c>
      <c r="F28">
        <v>63.460000000000001</v>
      </c>
      <c r="G28" s="3">
        <v>132000</v>
      </c>
      <c r="H28">
        <f>AVERAGE(71.04,70.87,69.46,69.04,68.15,68.03,66.6,66.12)</f>
        <v>68.663750000000007</v>
      </c>
    </row>
    <row r="29">
      <c r="A29" t="s">
        <v>44</v>
      </c>
      <c r="B29">
        <v>10</v>
      </c>
      <c r="C29">
        <f>1+1.27692307692308+3.25</f>
        <v>5.5269230769230795</v>
      </c>
      <c r="D29" s="3">
        <v>26510</v>
      </c>
      <c r="F29">
        <f>G29/2080</f>
        <v>32.399038461538503</v>
      </c>
      <c r="G29" s="3">
        <v>67390</v>
      </c>
      <c r="H29">
        <v>69.700000000000003</v>
      </c>
    </row>
    <row r="30">
      <c r="A30" t="s">
        <v>45</v>
      </c>
      <c r="B30">
        <v>9</v>
      </c>
      <c r="C30">
        <v>5.5</v>
      </c>
      <c r="D30" s="3">
        <v>11800</v>
      </c>
      <c r="F30">
        <v>127.89</v>
      </c>
      <c r="G30" s="3">
        <v>266020</v>
      </c>
      <c r="H30">
        <v>76.239999999999995</v>
      </c>
    </row>
    <row r="31">
      <c r="A31" t="s">
        <v>46</v>
      </c>
      <c r="B31">
        <v>11</v>
      </c>
      <c r="C31">
        <f>4+1.35384615384615</f>
        <v>5.3538461538461499</v>
      </c>
      <c r="D31" s="3">
        <v>777300</v>
      </c>
      <c r="F31">
        <v>45.780000000000001</v>
      </c>
      <c r="G31" s="3">
        <v>95220</v>
      </c>
      <c r="H31">
        <f>AVERAGE(74.21,74.17,73.92,70.11,69.59,69.26,69.26,69.09,64.62,63.48,60.54,58.3,58.09,57.46)</f>
        <v>66.578571428571436</v>
      </c>
    </row>
    <row r="32">
      <c r="A32" t="s">
        <v>47</v>
      </c>
      <c r="B32">
        <v>8</v>
      </c>
      <c r="C32">
        <v>4.9444444444444402</v>
      </c>
      <c r="D32">
        <f>73770+7050</f>
        <v>80820</v>
      </c>
      <c r="F32">
        <f>G32/2080</f>
        <v>21.7275301953058</v>
      </c>
      <c r="G32">
        <f>(73770*43050 + 7050*67620)/(73770 + 7050)</f>
        <v>45193.262806236096</v>
      </c>
      <c r="H32">
        <f>AVERAGE(47.62,56.17)</f>
        <v>51.894999999999996</v>
      </c>
    </row>
    <row r="33">
      <c r="A33" t="s">
        <v>48</v>
      </c>
      <c r="B33">
        <f>7+5</f>
        <v>12</v>
      </c>
      <c r="C33">
        <f>1.21978021978022+0.5+1+1/3+1.48333333333333</f>
        <v>4.5364468864468837</v>
      </c>
      <c r="D33" s="3">
        <f>53330+145270</f>
        <v>198600</v>
      </c>
      <c r="F33">
        <f>G33/2080</f>
        <v>50.7555680629793</v>
      </c>
      <c r="G33">
        <f>(53330*81850 + 145270*114280)/(53330 + 145270)</f>
        <v>105571.581570997</v>
      </c>
      <c r="H33">
        <f>AVERAGE(74.5,74.35,61.76)</f>
        <v>70.203333333333333</v>
      </c>
    </row>
    <row r="34">
      <c r="A34" t="s">
        <v>49</v>
      </c>
      <c r="B34">
        <v>8</v>
      </c>
      <c r="C34">
        <v>4.3333333333333304</v>
      </c>
      <c r="D34">
        <f>0.18*102500000</f>
        <v>18450000</v>
      </c>
      <c r="E34" t="s">
        <v>50</v>
      </c>
      <c r="F34">
        <v>0</v>
      </c>
      <c r="G34">
        <v>0</v>
      </c>
    </row>
    <row r="35">
      <c r="A35" t="s">
        <v>51</v>
      </c>
      <c r="B35">
        <v>8</v>
      </c>
      <c r="C35">
        <f>1.76666666666667+0.5+1+1</f>
        <v>4.2666666666666702</v>
      </c>
      <c r="D35" s="3">
        <v>3822780</v>
      </c>
      <c r="F35">
        <v>67.239999999999995</v>
      </c>
      <c r="G35" s="3">
        <v>139860</v>
      </c>
    </row>
    <row r="36">
      <c r="A36" t="s">
        <v>52</v>
      </c>
      <c r="B36">
        <v>6</v>
      </c>
      <c r="C36">
        <v>4.0769230769230766</v>
      </c>
      <c r="D36">
        <v>40000</v>
      </c>
      <c r="E36" t="s">
        <v>53</v>
      </c>
      <c r="F36">
        <f>G36/2080</f>
        <v>53.365384615384599</v>
      </c>
      <c r="G36">
        <v>111000</v>
      </c>
      <c r="H36">
        <v>65.870000000000005</v>
      </c>
    </row>
    <row r="37">
      <c r="A37" t="s">
        <v>54</v>
      </c>
      <c r="B37">
        <v>9</v>
      </c>
      <c r="C37">
        <f>1.5+0.25+2.083</f>
        <v>3.8330000000000002</v>
      </c>
      <c r="D37" s="3">
        <v>33600</v>
      </c>
      <c r="E37" t="s">
        <v>55</v>
      </c>
      <c r="F37">
        <v>18.649999999999999</v>
      </c>
      <c r="G37">
        <f>F37*2080</f>
        <v>38792</v>
      </c>
      <c r="H37">
        <v>52.240000000000002</v>
      </c>
    </row>
    <row r="38">
      <c r="A38" t="s">
        <v>56</v>
      </c>
      <c r="B38">
        <v>8</v>
      </c>
      <c r="C38">
        <f>0.75+1.5+1/3+1+0.2</f>
        <v>3.7833333333333337</v>
      </c>
      <c r="D38">
        <f>4786660</f>
        <v>4786660</v>
      </c>
      <c r="F38">
        <v>56.140000000000001</v>
      </c>
      <c r="G38" s="3">
        <v>116770</v>
      </c>
      <c r="H38">
        <f>AVERAGE(73.52,73.02,71.95,70.53,69.76,69.67,69.27,69.11,68.57,65.92,65.66,65.12,63.93,63.26)</f>
        <v>68.520714285714263</v>
      </c>
    </row>
    <row r="39">
      <c r="A39" t="s">
        <v>57</v>
      </c>
      <c r="B39">
        <v>9</v>
      </c>
      <c r="C39">
        <f>1.57692307692308+2.17</f>
        <v>3.7469230769230801</v>
      </c>
      <c r="D39" s="3">
        <v>745610</v>
      </c>
      <c r="F39">
        <v>19.170000000000002</v>
      </c>
      <c r="G39" s="3">
        <v>39880</v>
      </c>
      <c r="H39">
        <v>33.369999999999997</v>
      </c>
    </row>
    <row r="40">
      <c r="A40" t="s">
        <v>58</v>
      </c>
      <c r="B40">
        <v>9</v>
      </c>
      <c r="C40">
        <v>3.6669999999999998</v>
      </c>
      <c r="D40">
        <v>5900000</v>
      </c>
      <c r="E40" t="s">
        <v>59</v>
      </c>
    </row>
    <row r="41">
      <c r="A41" t="s">
        <v>60</v>
      </c>
      <c r="B41">
        <v>6</v>
      </c>
      <c r="C41">
        <f>1.66666666666667+0.5+1+0.5</f>
        <v>3.6666666666666701</v>
      </c>
      <c r="D41">
        <f>12280+50370</f>
        <v>62650</v>
      </c>
      <c r="F41">
        <f>G41/2080</f>
        <v>56.117117379826901</v>
      </c>
      <c r="G41">
        <f>(12280*70060 + 50370*128100)/(12280+50370)</f>
        <v>116723.60415004</v>
      </c>
      <c r="H41">
        <f>AVERAGE(65.74,62.83)</f>
        <v>64.284999999999997</v>
      </c>
    </row>
    <row r="42">
      <c r="A42" t="s">
        <v>61</v>
      </c>
      <c r="B42">
        <v>10</v>
      </c>
      <c r="C42">
        <f>0.616666666666667+0.5+2+0.5</f>
        <v>3.6166666666666671</v>
      </c>
      <c r="D42">
        <f>818620+3033120</f>
        <v>3851740</v>
      </c>
      <c r="F42">
        <f>G42/2080</f>
        <v>56.333347970407701</v>
      </c>
      <c r="G42">
        <f>(818620*180470+3033120*100090)/(818620+3033120)</f>
        <v>117173.36377844799</v>
      </c>
      <c r="H42">
        <f>AVERAGE(68.45,67.92,67.31,64.67,62.71)</f>
        <v>66.212000000000003</v>
      </c>
    </row>
    <row r="43">
      <c r="A43" t="s">
        <v>62</v>
      </c>
      <c r="B43">
        <v>6</v>
      </c>
      <c r="C43">
        <v>3.5</v>
      </c>
      <c r="D43" s="3">
        <v>14220</v>
      </c>
      <c r="F43">
        <v>79.620000000000005</v>
      </c>
      <c r="G43" s="3">
        <v>165600</v>
      </c>
      <c r="H43">
        <v>65.640000000000001</v>
      </c>
    </row>
    <row r="44">
      <c r="A44" t="s">
        <v>63</v>
      </c>
      <c r="B44">
        <v>8</v>
      </c>
      <c r="C44">
        <v>3.4500000000000002</v>
      </c>
      <c r="D44" s="3">
        <v>182320</v>
      </c>
      <c r="F44">
        <v>31.109999999999999</v>
      </c>
      <c r="G44" s="3">
        <v>64720</v>
      </c>
      <c r="H44">
        <v>62.509999999999998</v>
      </c>
    </row>
    <row r="45">
      <c r="A45" t="s">
        <v>64</v>
      </c>
      <c r="B45">
        <v>7</v>
      </c>
      <c r="C45">
        <v>3.3333333333333299</v>
      </c>
      <c r="D45">
        <f>327934+172557</f>
        <v>500491</v>
      </c>
      <c r="E45" t="s">
        <v>65</v>
      </c>
      <c r="F45">
        <f>G45/2080</f>
        <v>31.25</v>
      </c>
      <c r="G45">
        <v>65000</v>
      </c>
    </row>
    <row r="46">
      <c r="A46" t="s">
        <v>66</v>
      </c>
      <c r="B46">
        <v>8</v>
      </c>
      <c r="C46">
        <f>2.5+0.83333</f>
        <v>3.3333300000000001</v>
      </c>
      <c r="D46" s="3">
        <v>23880</v>
      </c>
      <c r="F46">
        <v>38.520000000000003</v>
      </c>
      <c r="G46" s="3">
        <v>80110</v>
      </c>
      <c r="H46">
        <f>AVERAGE(64.29,59.1)</f>
        <v>61.695000000000007</v>
      </c>
    </row>
    <row r="47">
      <c r="A47" t="s">
        <v>67</v>
      </c>
      <c r="B47">
        <v>6</v>
      </c>
      <c r="C47">
        <f>2+1.25</f>
        <v>3.25</v>
      </c>
      <c r="D47" s="3">
        <v>19450</v>
      </c>
      <c r="F47">
        <v>36.18</v>
      </c>
      <c r="G47" s="3">
        <v>75260</v>
      </c>
      <c r="H47">
        <v>72.670000000000002</v>
      </c>
    </row>
    <row r="48">
      <c r="A48" t="s">
        <v>68</v>
      </c>
      <c r="B48">
        <v>6</v>
      </c>
      <c r="C48">
        <f>1.25+0.5+1.5</f>
        <v>3.25</v>
      </c>
      <c r="D48">
        <f>1122770-603710+861140+280590</f>
        <v>1660790</v>
      </c>
      <c r="F48">
        <f>G48/2080</f>
        <v>53.175828625579797</v>
      </c>
      <c r="G48">
        <f>(1122770*163740-603710*160930+861140*86480+280590*80310)/(1122770-603710+861140+280590)</f>
        <v>110605.723541206</v>
      </c>
      <c r="H48">
        <f>AVERAGE(57.72,56.92,60.24,57.12,56.62)</f>
        <v>57.724000000000004</v>
      </c>
    </row>
    <row r="49">
      <c r="A49" t="s">
        <v>69</v>
      </c>
      <c r="B49">
        <v>8</v>
      </c>
      <c r="C49">
        <v>3.2000000000000002</v>
      </c>
    </row>
    <row r="50">
      <c r="A50" t="s">
        <v>70</v>
      </c>
      <c r="B50">
        <v>8</v>
      </c>
      <c r="C50">
        <f>1.25+1.5+0.45</f>
        <v>3.2000000000000002</v>
      </c>
      <c r="D50" s="3">
        <v>51230</v>
      </c>
      <c r="F50">
        <v>26.760000000000002</v>
      </c>
      <c r="G50" s="3">
        <v>55650</v>
      </c>
      <c r="H50">
        <v>54.460000000000001</v>
      </c>
    </row>
    <row r="51">
      <c r="A51" t="s">
        <v>71</v>
      </c>
      <c r="B51">
        <v>6</v>
      </c>
      <c r="C51">
        <f>0.326923076923077+0.25+2.5</f>
        <v>3.0769230769230771</v>
      </c>
      <c r="D51">
        <v>2000000</v>
      </c>
      <c r="E51" t="s">
        <v>72</v>
      </c>
    </row>
    <row r="52">
      <c r="A52" t="s">
        <v>73</v>
      </c>
      <c r="B52">
        <v>3</v>
      </c>
      <c r="C52">
        <v>3</v>
      </c>
      <c r="D52">
        <f>63+101+58+60+74+69+61+84+60+31+22</f>
        <v>683</v>
      </c>
      <c r="E52" t="s">
        <v>74</v>
      </c>
    </row>
    <row r="53">
      <c r="A53" t="s">
        <v>75</v>
      </c>
      <c r="B53">
        <v>3</v>
      </c>
      <c r="C53">
        <v>3</v>
      </c>
      <c r="D53">
        <v>29000</v>
      </c>
      <c r="E53" t="s">
        <v>19</v>
      </c>
      <c r="H53">
        <f>AVERAGE(71.17,66.43)</f>
        <v>68.800000000000011</v>
      </c>
    </row>
    <row r="54">
      <c r="A54" t="s">
        <v>76</v>
      </c>
      <c r="B54">
        <v>5</v>
      </c>
      <c r="C54">
        <v>3</v>
      </c>
      <c r="D54" s="3">
        <v>520180</v>
      </c>
      <c r="F54">
        <v>15.93</v>
      </c>
      <c r="G54" s="3">
        <v>33140</v>
      </c>
      <c r="H54">
        <v>39.219999999999999</v>
      </c>
    </row>
    <row r="55">
      <c r="A55" t="s">
        <v>77</v>
      </c>
      <c r="B55">
        <v>6</v>
      </c>
      <c r="C55">
        <v>3</v>
      </c>
      <c r="D55" s="3">
        <v>35420</v>
      </c>
      <c r="F55">
        <v>18.550000000000001</v>
      </c>
      <c r="G55" s="3">
        <v>38580</v>
      </c>
      <c r="H55">
        <f>AVERAGE(51.83,47.04)</f>
        <v>49.435000000000002</v>
      </c>
    </row>
    <row r="56">
      <c r="A56" t="s">
        <v>78</v>
      </c>
      <c r="B56">
        <v>6</v>
      </c>
      <c r="C56">
        <v>3</v>
      </c>
      <c r="D56">
        <f>0.01*102500000</f>
        <v>1025000</v>
      </c>
      <c r="E56" t="s">
        <v>50</v>
      </c>
      <c r="F56">
        <v>0</v>
      </c>
      <c r="G56">
        <v>0</v>
      </c>
    </row>
    <row r="57">
      <c r="A57" t="s">
        <v>79</v>
      </c>
      <c r="B57">
        <v>4</v>
      </c>
      <c r="C57">
        <f>1+1.83333333333333</f>
        <v>2.8333333333333299</v>
      </c>
      <c r="D57" s="3">
        <v>5630</v>
      </c>
      <c r="F57">
        <v>20.59</v>
      </c>
      <c r="G57" s="3">
        <v>42830</v>
      </c>
      <c r="H57">
        <f>AVERAGE(55.95,52.6,54.27)</f>
        <v>54.273333333333341</v>
      </c>
    </row>
    <row r="58">
      <c r="A58" t="s">
        <v>80</v>
      </c>
      <c r="B58">
        <v>4</v>
      </c>
      <c r="C58">
        <v>2.666666666666667</v>
      </c>
      <c r="D58" s="3">
        <v>190600</v>
      </c>
      <c r="F58">
        <v>34.119999999999997</v>
      </c>
      <c r="G58" s="3">
        <v>70970</v>
      </c>
      <c r="H58">
        <v>51.329999999999998</v>
      </c>
    </row>
    <row r="59">
      <c r="A59" t="s">
        <v>81</v>
      </c>
      <c r="B59">
        <v>7</v>
      </c>
      <c r="C59">
        <f>1.11666666666667+1.5</f>
        <v>2.6166666666666698</v>
      </c>
      <c r="D59" s="3">
        <v>95480</v>
      </c>
      <c r="F59">
        <v>41.200000000000003</v>
      </c>
      <c r="G59" s="3">
        <v>85700</v>
      </c>
      <c r="H59">
        <v>60.509999999999998</v>
      </c>
    </row>
    <row r="60">
      <c r="A60" t="s">
        <v>82</v>
      </c>
      <c r="B60">
        <v>6</v>
      </c>
      <c r="C60">
        <f>0.333333333333333+2.25</f>
        <v>2.583333333333333</v>
      </c>
      <c r="D60" s="3">
        <v>40160</v>
      </c>
      <c r="F60">
        <v>18.129999999999999</v>
      </c>
      <c r="G60" s="3">
        <v>37700</v>
      </c>
      <c r="H60">
        <v>43.030000000000001</v>
      </c>
    </row>
    <row r="61">
      <c r="A61" t="s">
        <v>83</v>
      </c>
      <c r="B61">
        <v>3</v>
      </c>
      <c r="C61">
        <v>2.5</v>
      </c>
      <c r="D61" s="3">
        <v>15040</v>
      </c>
      <c r="F61">
        <v>29.739999999999998</v>
      </c>
      <c r="G61">
        <f>F61*2080</f>
        <v>61859.199999999997</v>
      </c>
      <c r="H61">
        <v>69.230000000000004</v>
      </c>
    </row>
    <row r="62">
      <c r="A62" t="s">
        <v>84</v>
      </c>
      <c r="B62">
        <v>3</v>
      </c>
      <c r="C62">
        <v>2.5</v>
      </c>
      <c r="D62" s="3">
        <v>3430</v>
      </c>
      <c r="F62">
        <v>37.549999999999997</v>
      </c>
      <c r="G62" s="3">
        <v>78110</v>
      </c>
      <c r="H62">
        <v>51.479999999999997</v>
      </c>
    </row>
    <row r="63">
      <c r="A63" t="s">
        <v>85</v>
      </c>
      <c r="B63">
        <v>4</v>
      </c>
      <c r="C63">
        <v>2.4500000000000002</v>
      </c>
      <c r="D63" s="3">
        <v>1230100</v>
      </c>
      <c r="E63" t="s">
        <v>86</v>
      </c>
      <c r="F63">
        <v>0.5</v>
      </c>
    </row>
    <row r="64">
      <c r="A64" t="s">
        <v>87</v>
      </c>
      <c r="B64">
        <v>6</v>
      </c>
      <c r="C64">
        <f>1+1.16666666666667+0.25</f>
        <v>2.4166666666666701</v>
      </c>
      <c r="D64" s="3">
        <v>3800250</v>
      </c>
      <c r="F64">
        <v>17.859999999999999</v>
      </c>
      <c r="G64" s="3">
        <v>37150</v>
      </c>
      <c r="H64">
        <v>31.039999999999999</v>
      </c>
    </row>
    <row r="65">
      <c r="A65" t="s">
        <v>88</v>
      </c>
      <c r="B65">
        <v>3</v>
      </c>
      <c r="C65">
        <f>1.33333333333333+1</f>
        <v>2.3333333333333299</v>
      </c>
      <c r="D65">
        <f>195490+105930</f>
        <v>301420</v>
      </c>
      <c r="F65">
        <f>G65/2080</f>
        <v>32.326923076923102</v>
      </c>
      <c r="G65">
        <v>67240</v>
      </c>
      <c r="H65">
        <v>54.5</v>
      </c>
    </row>
    <row r="66">
      <c r="A66" t="s">
        <v>89</v>
      </c>
      <c r="B66">
        <v>5</v>
      </c>
      <c r="C66">
        <f>0.7+1.5</f>
        <v>2.2000000000000002</v>
      </c>
      <c r="D66">
        <v>12490</v>
      </c>
      <c r="F66">
        <v>30.16</v>
      </c>
      <c r="G66" s="3">
        <v>62740</v>
      </c>
      <c r="H66">
        <f>AVERAGE(51.47,57.29)</f>
        <v>54.379999999999995</v>
      </c>
    </row>
    <row r="67">
      <c r="A67" t="s">
        <v>90</v>
      </c>
      <c r="B67">
        <v>7</v>
      </c>
      <c r="C67">
        <f>1.07692307692308+0.75+0.2</f>
        <v>2.0269230769230799</v>
      </c>
      <c r="D67" s="3">
        <v>1746750</v>
      </c>
      <c r="F67">
        <v>56.130000000000003</v>
      </c>
      <c r="G67" s="3">
        <v>116760</v>
      </c>
      <c r="H67">
        <f>AVERAGE(84.13,83.83,81.45,80.9,80.51,77.78,77.16,75.62,75.36,74.91,74.87,74.49,73.91,73.19,73.1,72.84,72.79,72.74,71.37,70.33,69.82,69.67,69.26,68.45,68.17,66.66,65.93,65.83,65.58,64.83,64.8,64.51,64.29,63.26,63.24,62.96,58.92,57.06)</f>
        <v>70.908421052631596</v>
      </c>
    </row>
    <row r="68">
      <c r="A68" t="s">
        <v>91</v>
      </c>
      <c r="B68">
        <v>4</v>
      </c>
      <c r="C68">
        <f>1.5+0.5</f>
        <v>2</v>
      </c>
      <c r="D68" s="3">
        <v>111140</v>
      </c>
      <c r="F68">
        <v>49.710000000000001</v>
      </c>
      <c r="G68" s="3">
        <v>103390</v>
      </c>
      <c r="H68">
        <v>75.599999999999994</v>
      </c>
    </row>
    <row r="69">
      <c r="A69" t="s">
        <v>92</v>
      </c>
      <c r="B69">
        <v>5</v>
      </c>
      <c r="C69">
        <f>0.5+1.5</f>
        <v>2</v>
      </c>
      <c r="D69">
        <v>1</v>
      </c>
    </row>
    <row r="70">
      <c r="A70" t="s">
        <v>93</v>
      </c>
      <c r="B70">
        <v>4</v>
      </c>
      <c r="C70">
        <v>2</v>
      </c>
      <c r="D70">
        <v>2</v>
      </c>
    </row>
    <row r="71">
      <c r="A71" t="s">
        <v>94</v>
      </c>
      <c r="B71">
        <v>4</v>
      </c>
      <c r="C71">
        <v>2</v>
      </c>
      <c r="D71">
        <f>14327+1898+5279</f>
        <v>21504</v>
      </c>
      <c r="E71" t="s">
        <v>95</v>
      </c>
    </row>
    <row r="72">
      <c r="A72" t="s">
        <v>96</v>
      </c>
      <c r="B72">
        <v>2</v>
      </c>
      <c r="C72">
        <v>2</v>
      </c>
      <c r="D72" s="3">
        <v>37770</v>
      </c>
      <c r="F72">
        <v>45.670000000000002</v>
      </c>
      <c r="G72" s="3">
        <v>95000</v>
      </c>
      <c r="H72">
        <v>64.010000000000005</v>
      </c>
    </row>
    <row r="73">
      <c r="A73" t="s">
        <v>97</v>
      </c>
      <c r="B73">
        <v>5</v>
      </c>
      <c r="C73">
        <f>1.75+0.2</f>
        <v>1.95</v>
      </c>
      <c r="D73">
        <f>1006160+1128200</f>
        <v>2134360</v>
      </c>
      <c r="F73">
        <f>G73/2080</f>
        <v>47.976238058030702</v>
      </c>
      <c r="G73">
        <f>(1006160*108100+1128200*92380)/(1006160+1128200)</f>
        <v>99790.575160703898</v>
      </c>
      <c r="H73">
        <v>67.099999999999994</v>
      </c>
    </row>
    <row r="74">
      <c r="A74" t="s">
        <v>98</v>
      </c>
      <c r="B74">
        <v>5</v>
      </c>
      <c r="C74">
        <f>1.41666666666667+0.2+0.25</f>
        <v>1.86666666666667</v>
      </c>
    </row>
    <row r="75">
      <c r="A75" t="s">
        <v>99</v>
      </c>
      <c r="B75">
        <v>3</v>
      </c>
      <c r="C75">
        <v>1.833333333333333</v>
      </c>
      <c r="D75">
        <v>1500000</v>
      </c>
      <c r="E75" t="s">
        <v>100</v>
      </c>
      <c r="F75">
        <f>G75/2080</f>
        <v>51.145192307692298</v>
      </c>
      <c r="G75">
        <v>106382</v>
      </c>
    </row>
    <row r="76">
      <c r="A76" t="s">
        <v>101</v>
      </c>
      <c r="B76">
        <v>6</v>
      </c>
      <c r="C76">
        <v>1.833333333333333</v>
      </c>
      <c r="D76">
        <f>0.13*102500000</f>
        <v>13325000</v>
      </c>
      <c r="E76" t="s">
        <v>50</v>
      </c>
      <c r="F76">
        <v>0</v>
      </c>
      <c r="G76">
        <v>0</v>
      </c>
    </row>
    <row r="77">
      <c r="A77" t="s">
        <v>102</v>
      </c>
      <c r="B77">
        <v>7</v>
      </c>
      <c r="C77">
        <f>1.125+2/3</f>
        <v>1.7916666666666665</v>
      </c>
      <c r="D77" s="3">
        <v>3584420</v>
      </c>
      <c r="F77">
        <v>64</v>
      </c>
      <c r="G77" s="3">
        <v>133120</v>
      </c>
      <c r="H77">
        <v>63.710000000000001</v>
      </c>
    </row>
    <row r="78">
      <c r="A78" t="s">
        <v>103</v>
      </c>
      <c r="B78">
        <v>7</v>
      </c>
      <c r="C78">
        <f>1.25+0.533333333333333</f>
        <v>1.783333333333333</v>
      </c>
      <c r="D78">
        <f>0.3*8100000</f>
        <v>2430000</v>
      </c>
      <c r="E78" t="s">
        <v>104</v>
      </c>
      <c r="F78">
        <v>27.579999999999998</v>
      </c>
      <c r="H78">
        <v>56.060000000000002</v>
      </c>
    </row>
    <row r="79">
      <c r="A79" t="s">
        <v>105</v>
      </c>
      <c r="B79">
        <v>4</v>
      </c>
      <c r="C79">
        <f>1.1+2/3</f>
        <v>1.7666666666666666</v>
      </c>
      <c r="D79" s="3">
        <v>2302690</v>
      </c>
      <c r="F79">
        <v>18.440000000000001</v>
      </c>
      <c r="G79" s="3">
        <v>38360</v>
      </c>
      <c r="H79">
        <v>26.989999999999998</v>
      </c>
    </row>
    <row r="80">
      <c r="A80" t="s">
        <v>106</v>
      </c>
      <c r="B80">
        <v>3</v>
      </c>
      <c r="C80">
        <v>1.7</v>
      </c>
      <c r="D80" s="3">
        <f>818620+340580</f>
        <v>1159200</v>
      </c>
      <c r="F80">
        <f>G80/2080</f>
        <v>77.727061269045194</v>
      </c>
      <c r="G80">
        <f>(818620*180470+340580*116490)/(818620+340580)</f>
        <v>161672.28743961401</v>
      </c>
      <c r="H80">
        <v>50.390000000000001</v>
      </c>
    </row>
    <row r="81">
      <c r="A81" t="s">
        <v>107</v>
      </c>
      <c r="B81">
        <v>4</v>
      </c>
      <c r="C81">
        <f>1.16666666666667+0.5</f>
        <v>1.6666666666666701</v>
      </c>
      <c r="D81">
        <f>943430+47870</f>
        <v>991300</v>
      </c>
      <c r="F81">
        <f>G81/2080</f>
        <v>19.980965311673099</v>
      </c>
      <c r="G81">
        <f>(943430*40880+47870*54970)/(943430+47870)</f>
        <v>41560.407848280003</v>
      </c>
      <c r="H81">
        <f>AVERAGE(29.55,32.12)</f>
        <v>30.835000000000001</v>
      </c>
    </row>
    <row r="82">
      <c r="A82" t="s">
        <v>108</v>
      </c>
      <c r="B82">
        <v>4</v>
      </c>
      <c r="C82">
        <v>1.6111111111111109</v>
      </c>
      <c r="D82" s="3">
        <v>893900</v>
      </c>
      <c r="F82">
        <v>55.149999999999999</v>
      </c>
      <c r="G82" s="3">
        <v>114710</v>
      </c>
      <c r="H82">
        <v>62.369999999999997</v>
      </c>
    </row>
    <row r="83">
      <c r="A83" t="s">
        <v>109</v>
      </c>
      <c r="B83">
        <v>3</v>
      </c>
      <c r="C83">
        <v>1.533333333333333</v>
      </c>
      <c r="D83" s="3">
        <v>784030</v>
      </c>
      <c r="F83">
        <v>22.359999999999999</v>
      </c>
      <c r="G83" s="3">
        <v>46500</v>
      </c>
      <c r="H83">
        <f>AVERAGE(36.52,36.36,32.2,30.79)</f>
        <v>33.967500000000001</v>
      </c>
    </row>
    <row r="84">
      <c r="A84" t="s">
        <v>110</v>
      </c>
      <c r="B84">
        <v>2</v>
      </c>
      <c r="C84">
        <v>1.5</v>
      </c>
      <c r="D84" s="3">
        <v>18218070</v>
      </c>
      <c r="F84">
        <v>24.120000000000001</v>
      </c>
      <c r="G84" s="3">
        <v>50160</v>
      </c>
      <c r="H84">
        <v>42.509999999999998</v>
      </c>
    </row>
    <row r="85">
      <c r="A85" t="s">
        <v>111</v>
      </c>
      <c r="B85">
        <v>2</v>
      </c>
      <c r="C85">
        <v>1.5</v>
      </c>
      <c r="D85">
        <v>1351</v>
      </c>
      <c r="E85" t="s">
        <v>112</v>
      </c>
    </row>
    <row r="86">
      <c r="A86" t="s">
        <v>113</v>
      </c>
      <c r="B86">
        <v>3</v>
      </c>
      <c r="C86">
        <v>1.5</v>
      </c>
      <c r="D86" s="3">
        <f>214260+111400</f>
        <v>325660</v>
      </c>
      <c r="F86">
        <f>G86/2080</f>
        <v>40.030997111191901</v>
      </c>
      <c r="G86">
        <f>(214260*68610+111400*111450)/(214260+111400)</f>
        <v>83264.473991279199</v>
      </c>
      <c r="H86">
        <f>AVERAGE(62.36)</f>
        <v>62.359999999999999</v>
      </c>
    </row>
    <row r="87">
      <c r="A87" t="s">
        <v>114</v>
      </c>
      <c r="B87">
        <v>2</v>
      </c>
      <c r="C87">
        <v>1.5</v>
      </c>
    </row>
    <row r="88">
      <c r="A88" t="s">
        <v>115</v>
      </c>
      <c r="B88">
        <v>3</v>
      </c>
      <c r="C88">
        <v>1.5</v>
      </c>
    </row>
    <row r="89">
      <c r="A89" t="s">
        <v>116</v>
      </c>
      <c r="B89">
        <v>3</v>
      </c>
      <c r="C89">
        <v>1.5</v>
      </c>
      <c r="D89" s="3">
        <v>1448290</v>
      </c>
      <c r="F89">
        <v>44.960000000000001</v>
      </c>
      <c r="G89" s="3">
        <v>93520</v>
      </c>
      <c r="H89">
        <f>AVERAGE(60.05,62.78,51.98)</f>
        <v>58.270000000000003</v>
      </c>
    </row>
    <row r="90">
      <c r="A90" t="s">
        <v>117</v>
      </c>
      <c r="B90">
        <v>4</v>
      </c>
      <c r="C90">
        <f>0.666666666666667+0.75</f>
        <v>1.416666666666667</v>
      </c>
      <c r="D90" s="3">
        <v>134670</v>
      </c>
      <c r="F90">
        <v>31.289999999999999</v>
      </c>
      <c r="G90" s="3">
        <v>65090</v>
      </c>
      <c r="H90">
        <v>49.299999999999997</v>
      </c>
    </row>
    <row r="91">
      <c r="A91" t="s">
        <v>118</v>
      </c>
      <c r="B91">
        <v>5</v>
      </c>
      <c r="C91">
        <f>0.611111111111111+0.75</f>
        <v>1.3611111111111112</v>
      </c>
      <c r="D91" s="3">
        <v>250940</v>
      </c>
      <c r="F91">
        <f>G91/2080</f>
        <v>28.322115384615401</v>
      </c>
      <c r="G91" s="3">
        <v>58910</v>
      </c>
      <c r="H91">
        <f>AVERAGE(55.72,53.46)</f>
        <v>54.590000000000003</v>
      </c>
    </row>
    <row r="92">
      <c r="A92" t="s">
        <v>119</v>
      </c>
      <c r="B92">
        <v>5</v>
      </c>
      <c r="C92">
        <v>1.333333333333333</v>
      </c>
      <c r="D92" s="3">
        <v>24800</v>
      </c>
      <c r="F92">
        <v>129.38999999999999</v>
      </c>
      <c r="G92" s="3">
        <v>269120</v>
      </c>
      <c r="H92">
        <v>78.200000000000003</v>
      </c>
    </row>
    <row r="93">
      <c r="A93" t="s">
        <v>120</v>
      </c>
      <c r="B93">
        <v>4</v>
      </c>
      <c r="C93">
        <v>1.25</v>
      </c>
      <c r="D93" s="3">
        <v>103615</v>
      </c>
      <c r="E93" t="s">
        <v>121</v>
      </c>
      <c r="F93">
        <f>G93/2080</f>
        <v>11.7019230769231</v>
      </c>
      <c r="G93">
        <v>24340</v>
      </c>
      <c r="H93">
        <v>51.979999999999997</v>
      </c>
    </row>
    <row r="94">
      <c r="A94" t="s">
        <v>122</v>
      </c>
      <c r="B94">
        <v>3</v>
      </c>
      <c r="C94">
        <v>1.25</v>
      </c>
      <c r="D94" s="3">
        <v>53300</v>
      </c>
      <c r="E94" t="s">
        <v>123</v>
      </c>
      <c r="F94">
        <v>31.420000000000002</v>
      </c>
      <c r="G94" s="3">
        <v>65360</v>
      </c>
      <c r="H94">
        <v>45.770000000000003</v>
      </c>
    </row>
    <row r="95">
      <c r="A95" t="s">
        <v>124</v>
      </c>
      <c r="B95">
        <v>3</v>
      </c>
      <c r="C95">
        <v>1.25</v>
      </c>
      <c r="D95">
        <v>4170000</v>
      </c>
      <c r="E95" t="s">
        <v>125</v>
      </c>
      <c r="F95">
        <v>18</v>
      </c>
    </row>
    <row r="96">
      <c r="A96" t="s">
        <v>126</v>
      </c>
      <c r="B96">
        <v>2</v>
      </c>
      <c r="C96">
        <v>1.25</v>
      </c>
    </row>
    <row r="97">
      <c r="A97" t="s">
        <v>127</v>
      </c>
      <c r="B97">
        <v>3</v>
      </c>
      <c r="C97">
        <f>0.75+0.5</f>
        <v>1.25</v>
      </c>
      <c r="D97" s="3">
        <v>3195900</v>
      </c>
      <c r="F97">
        <v>25.030000000000001</v>
      </c>
      <c r="G97" s="3">
        <v>52070</v>
      </c>
      <c r="H97">
        <v>43.530000000000001</v>
      </c>
    </row>
    <row r="98">
      <c r="A98" t="s">
        <v>128</v>
      </c>
      <c r="B98">
        <v>5</v>
      </c>
      <c r="C98">
        <v>1.2</v>
      </c>
      <c r="D98" s="3">
        <v>10000</v>
      </c>
      <c r="H98">
        <v>52.700000000000003</v>
      </c>
    </row>
    <row r="99">
      <c r="A99" t="s">
        <v>129</v>
      </c>
      <c r="B99">
        <v>4</v>
      </c>
      <c r="C99">
        <v>1.1000000000000001</v>
      </c>
      <c r="D99" s="3">
        <v>231890</v>
      </c>
      <c r="F99">
        <v>18.109999999999999</v>
      </c>
      <c r="G99" s="3">
        <v>37670</v>
      </c>
      <c r="H99">
        <v>44.82</v>
      </c>
    </row>
    <row r="100">
      <c r="A100" t="s">
        <v>130</v>
      </c>
      <c r="B100">
        <v>1</v>
      </c>
      <c r="C100">
        <v>1</v>
      </c>
      <c r="D100" s="3">
        <v>4966</v>
      </c>
      <c r="E100" t="s">
        <v>131</v>
      </c>
      <c r="F100">
        <f>G100/2080</f>
        <v>21.634615384615401</v>
      </c>
      <c r="G100">
        <v>45000</v>
      </c>
      <c r="H100">
        <v>34.979999999999997</v>
      </c>
    </row>
    <row r="101">
      <c r="A101" t="s">
        <v>132</v>
      </c>
      <c r="B101">
        <v>2</v>
      </c>
      <c r="C101">
        <v>1</v>
      </c>
      <c r="D101" s="3">
        <v>8070</v>
      </c>
      <c r="F101">
        <v>34.170000000000002</v>
      </c>
      <c r="G101" s="3">
        <v>71070</v>
      </c>
      <c r="H101">
        <f>AVERAGE(71.55,71.94)</f>
        <v>71.745000000000005</v>
      </c>
    </row>
    <row r="102">
      <c r="A102" t="s">
        <v>133</v>
      </c>
      <c r="B102">
        <v>6</v>
      </c>
      <c r="C102">
        <v>1</v>
      </c>
      <c r="D102">
        <v>47</v>
      </c>
      <c r="E102" t="s">
        <v>134</v>
      </c>
      <c r="F102">
        <f>G102/2080</f>
        <v>73.200961538461598</v>
      </c>
      <c r="G102">
        <v>152258</v>
      </c>
    </row>
    <row r="103">
      <c r="A103" t="s">
        <v>135</v>
      </c>
      <c r="B103">
        <v>1</v>
      </c>
      <c r="C103">
        <v>1</v>
      </c>
      <c r="D103" s="3">
        <v>3988140</v>
      </c>
      <c r="F103">
        <v>16.82</v>
      </c>
      <c r="G103" s="3">
        <v>34990</v>
      </c>
      <c r="H103">
        <v>43.469999999999999</v>
      </c>
    </row>
    <row r="104">
      <c r="A104" t="s">
        <v>136</v>
      </c>
      <c r="B104">
        <v>1</v>
      </c>
      <c r="C104">
        <v>1</v>
      </c>
      <c r="D104" s="3">
        <v>472770</v>
      </c>
      <c r="F104">
        <v>37.049999999999997</v>
      </c>
      <c r="G104" s="3">
        <v>77060</v>
      </c>
      <c r="H104">
        <v>52.240000000000002</v>
      </c>
    </row>
    <row r="105">
      <c r="A105" t="s">
        <v>137</v>
      </c>
      <c r="B105">
        <v>2</v>
      </c>
      <c r="C105">
        <v>1</v>
      </c>
      <c r="D105" s="3">
        <v>97000</v>
      </c>
      <c r="E105" t="s">
        <v>138</v>
      </c>
    </row>
    <row r="106">
      <c r="A106" t="s">
        <v>139</v>
      </c>
      <c r="B106">
        <v>3</v>
      </c>
      <c r="C106">
        <v>1</v>
      </c>
      <c r="D106" s="3">
        <v>332240</v>
      </c>
      <c r="F106">
        <v>30.719999999999999</v>
      </c>
      <c r="G106" s="3">
        <v>63890</v>
      </c>
      <c r="H106">
        <f>AVERAGE(69.89,64.82,62.55)</f>
        <v>65.75333333333333</v>
      </c>
    </row>
    <row r="107">
      <c r="A107" t="s">
        <v>140</v>
      </c>
      <c r="B107">
        <v>1</v>
      </c>
      <c r="C107">
        <v>1</v>
      </c>
      <c r="D107" s="3">
        <v>35060</v>
      </c>
      <c r="F107">
        <v>32.399999999999999</v>
      </c>
      <c r="G107" s="3">
        <v>67400</v>
      </c>
      <c r="H107">
        <v>38.920000000000002</v>
      </c>
    </row>
    <row r="108">
      <c r="A108" t="s">
        <v>141</v>
      </c>
      <c r="B108">
        <v>2</v>
      </c>
      <c r="C108">
        <v>1</v>
      </c>
      <c r="D108" s="3">
        <v>36970</v>
      </c>
      <c r="F108">
        <v>35.189999999999998</v>
      </c>
      <c r="G108" s="3">
        <v>73200</v>
      </c>
      <c r="H108">
        <v>72.109999999999999</v>
      </c>
    </row>
    <row r="109">
      <c r="A109" t="s">
        <v>142</v>
      </c>
      <c r="B109">
        <v>1</v>
      </c>
      <c r="C109">
        <v>1</v>
      </c>
      <c r="D109" s="3">
        <v>3000000</v>
      </c>
      <c r="E109" t="s">
        <v>143</v>
      </c>
      <c r="H109">
        <v>70.510000000000005</v>
      </c>
    </row>
    <row r="110">
      <c r="A110" t="s">
        <v>144</v>
      </c>
      <c r="B110">
        <v>3</v>
      </c>
      <c r="C110">
        <v>1</v>
      </c>
      <c r="D110" s="3">
        <v>427150</v>
      </c>
      <c r="F110">
        <v>15.4</v>
      </c>
      <c r="G110" s="3">
        <v>32030</v>
      </c>
      <c r="H110">
        <v>30.010000000000002</v>
      </c>
    </row>
    <row r="111">
      <c r="A111" t="s">
        <v>145</v>
      </c>
      <c r="B111">
        <v>1</v>
      </c>
      <c r="C111">
        <v>1</v>
      </c>
      <c r="D111" s="3">
        <v>49590</v>
      </c>
      <c r="F111">
        <f>G111/2080</f>
        <v>56.428846153846202</v>
      </c>
      <c r="G111" s="3">
        <v>117372</v>
      </c>
      <c r="H111">
        <v>52.57</v>
      </c>
    </row>
    <row r="112">
      <c r="A112" t="s">
        <v>146</v>
      </c>
      <c r="B112">
        <v>2</v>
      </c>
      <c r="C112">
        <v>1</v>
      </c>
      <c r="D112" s="3">
        <v>69580</v>
      </c>
      <c r="F112">
        <v>34.340000000000003</v>
      </c>
      <c r="G112" s="3">
        <v>71430</v>
      </c>
      <c r="H112">
        <v>59.409999999999997</v>
      </c>
    </row>
    <row r="113">
      <c r="A113" t="s">
        <v>147</v>
      </c>
      <c r="B113">
        <v>1</v>
      </c>
      <c r="C113">
        <v>1</v>
      </c>
      <c r="D113" s="3">
        <v>23420</v>
      </c>
      <c r="F113">
        <v>26.460000000000001</v>
      </c>
      <c r="G113" s="3">
        <v>55030</v>
      </c>
      <c r="H113">
        <v>57.32</v>
      </c>
    </row>
    <row r="114">
      <c r="A114" t="s">
        <v>148</v>
      </c>
      <c r="B114">
        <v>1</v>
      </c>
      <c r="C114">
        <v>1</v>
      </c>
      <c r="D114" s="3">
        <v>2220</v>
      </c>
      <c r="F114">
        <v>58.909999999999997</v>
      </c>
      <c r="G114" s="3">
        <v>122520</v>
      </c>
      <c r="H114">
        <v>72.25</v>
      </c>
    </row>
    <row r="115">
      <c r="A115" t="s">
        <v>149</v>
      </c>
      <c r="B115">
        <v>1</v>
      </c>
      <c r="C115">
        <v>1</v>
      </c>
      <c r="D115" s="3">
        <v>1560790</v>
      </c>
      <c r="F115">
        <v>42.159999999999997</v>
      </c>
      <c r="G115" s="3">
        <v>87690</v>
      </c>
      <c r="H115">
        <v>49.829999999999998</v>
      </c>
    </row>
    <row r="116">
      <c r="A116" t="s">
        <v>150</v>
      </c>
      <c r="B116">
        <v>1</v>
      </c>
      <c r="C116">
        <v>1</v>
      </c>
      <c r="D116" s="3">
        <v>336040</v>
      </c>
      <c r="F116">
        <v>28.789999999999999</v>
      </c>
      <c r="G116" s="3">
        <v>59880</v>
      </c>
      <c r="H116">
        <v>41.32</v>
      </c>
    </row>
    <row r="117">
      <c r="A117" t="s">
        <v>151</v>
      </c>
      <c r="B117">
        <v>1</v>
      </c>
      <c r="C117">
        <v>1</v>
      </c>
      <c r="D117" s="3">
        <v>16480</v>
      </c>
      <c r="F117">
        <v>32.82</v>
      </c>
      <c r="G117" s="3">
        <v>68270</v>
      </c>
      <c r="H117">
        <f>AVERAGE(38.09,43.35)</f>
        <v>40.719999999999999</v>
      </c>
    </row>
    <row r="118">
      <c r="A118" t="s">
        <v>152</v>
      </c>
      <c r="B118">
        <v>1</v>
      </c>
      <c r="C118">
        <v>1</v>
      </c>
      <c r="D118" s="3">
        <v>82810</v>
      </c>
      <c r="F118">
        <v>19.989999999999998</v>
      </c>
      <c r="G118" s="3">
        <v>41590</v>
      </c>
      <c r="H118">
        <v>41.770000000000003</v>
      </c>
    </row>
    <row r="119">
      <c r="A119" t="s">
        <v>153</v>
      </c>
      <c r="B119">
        <v>2</v>
      </c>
      <c r="C119">
        <v>1</v>
      </c>
      <c r="D119" s="3">
        <v>7633890</v>
      </c>
      <c r="F119">
        <v>17.050000000000001</v>
      </c>
      <c r="G119" s="3">
        <v>35470</v>
      </c>
      <c r="H119">
        <f>AVERAGE(47.87,44.84,31.04)</f>
        <v>41.25</v>
      </c>
    </row>
    <row r="120">
      <c r="A120" t="s">
        <v>154</v>
      </c>
      <c r="B120">
        <v>1</v>
      </c>
      <c r="C120">
        <v>1</v>
      </c>
      <c r="D120" s="3">
        <f>6784150-373960-601440-2779530</f>
        <v>3029220</v>
      </c>
      <c r="F120">
        <f>G120/2080</f>
        <v>19.922570953781999</v>
      </c>
      <c r="G120">
        <f>(6784150*39690-373960*36290-601440*36600-2779530*38910)/(6784150-373960-601440-2779530)</f>
        <v>41438.947583866502</v>
      </c>
      <c r="H120">
        <v>31.239999999999998</v>
      </c>
    </row>
    <row r="121">
      <c r="A121" t="s">
        <v>155</v>
      </c>
      <c r="B121">
        <v>1</v>
      </c>
      <c r="C121">
        <v>1</v>
      </c>
      <c r="D121">
        <v>1091000</v>
      </c>
      <c r="E121" t="s">
        <v>156</v>
      </c>
      <c r="F121">
        <v>0</v>
      </c>
      <c r="G121">
        <v>0</v>
      </c>
    </row>
    <row r="122">
      <c r="A122" t="s">
        <v>157</v>
      </c>
      <c r="B122">
        <v>2</v>
      </c>
      <c r="C122">
        <v>1</v>
      </c>
    </row>
    <row r="123">
      <c r="A123" t="s">
        <v>158</v>
      </c>
      <c r="B123">
        <v>2</v>
      </c>
      <c r="C123">
        <v>1</v>
      </c>
      <c r="D123" s="3">
        <v>18540</v>
      </c>
      <c r="F123">
        <v>20.640000000000001</v>
      </c>
      <c r="G123" s="3">
        <v>42930</v>
      </c>
      <c r="H123">
        <v>45.149999999999999</v>
      </c>
    </row>
    <row r="124">
      <c r="A124" t="s">
        <v>159</v>
      </c>
      <c r="B124">
        <v>2</v>
      </c>
      <c r="C124">
        <v>1</v>
      </c>
      <c r="D124" s="3">
        <v>80630</v>
      </c>
      <c r="F124">
        <v>67.439999999999998</v>
      </c>
      <c r="G124" s="3">
        <v>140270</v>
      </c>
      <c r="H124">
        <v>73.670000000000002</v>
      </c>
    </row>
    <row r="125">
      <c r="A125" t="s">
        <v>160</v>
      </c>
      <c r="B125">
        <v>1</v>
      </c>
      <c r="C125">
        <v>1</v>
      </c>
      <c r="D125" s="3">
        <v>207380</v>
      </c>
      <c r="F125">
        <v>21.399999999999999</v>
      </c>
      <c r="G125" s="3">
        <v>44520</v>
      </c>
      <c r="H125">
        <v>44.710000000000001</v>
      </c>
    </row>
    <row r="126">
      <c r="A126" t="s">
        <v>161</v>
      </c>
      <c r="B126">
        <v>2</v>
      </c>
      <c r="C126">
        <v>1</v>
      </c>
      <c r="D126" s="3">
        <v>99070</v>
      </c>
      <c r="F126">
        <v>27.420000000000002</v>
      </c>
      <c r="G126" s="3">
        <v>57030</v>
      </c>
    </row>
    <row r="127">
      <c r="A127" t="s">
        <v>162</v>
      </c>
      <c r="B127">
        <v>3</v>
      </c>
      <c r="C127">
        <f>0.166666666666667+0.5+0.25</f>
        <v>0.91666666666666696</v>
      </c>
      <c r="D127" s="3">
        <v>4496150</v>
      </c>
      <c r="F127">
        <v>19.010000000000002</v>
      </c>
      <c r="G127" s="3">
        <v>39540</v>
      </c>
      <c r="H127">
        <f>AVERAGE(29.55,23.62)</f>
        <v>26.585000000000001</v>
      </c>
    </row>
    <row r="128">
      <c r="A128" t="s">
        <v>163</v>
      </c>
      <c r="B128">
        <v>2</v>
      </c>
      <c r="C128">
        <f>0.333333333333333+0.5</f>
        <v>0.83333333333333304</v>
      </c>
      <c r="D128" s="3">
        <v>46000</v>
      </c>
      <c r="E128" t="s">
        <v>164</v>
      </c>
      <c r="F128">
        <f>G128/2080</f>
        <v>29.216346153846199</v>
      </c>
      <c r="G128">
        <v>60770</v>
      </c>
    </row>
    <row r="129">
      <c r="A129" t="s">
        <v>165</v>
      </c>
      <c r="B129">
        <v>2</v>
      </c>
      <c r="C129">
        <v>0.83333333333333304</v>
      </c>
      <c r="D129" s="3">
        <v>1500</v>
      </c>
      <c r="E129" t="s">
        <v>166</v>
      </c>
      <c r="F129">
        <v>35.020000000000003</v>
      </c>
      <c r="H129">
        <v>31.93</v>
      </c>
    </row>
    <row r="130">
      <c r="A130" t="s">
        <v>167</v>
      </c>
      <c r="B130">
        <v>2</v>
      </c>
      <c r="C130">
        <v>0.83333333333333304</v>
      </c>
      <c r="D130" s="3">
        <v>2510550</v>
      </c>
      <c r="F130">
        <v>21.859999999999999</v>
      </c>
      <c r="G130" s="3">
        <v>45470</v>
      </c>
      <c r="H130">
        <v>42.509999999999998</v>
      </c>
    </row>
    <row r="131">
      <c r="A131" t="s">
        <v>168</v>
      </c>
      <c r="B131">
        <v>2</v>
      </c>
      <c r="C131">
        <v>0.83333333333333326</v>
      </c>
      <c r="D131" s="3">
        <v>759740</v>
      </c>
      <c r="F131">
        <v>32.229999999999997</v>
      </c>
      <c r="G131" s="3">
        <v>67050</v>
      </c>
      <c r="H131">
        <f>AVERAGE(53.62,53.51,51.38,51.34)</f>
        <v>52.462499999999999</v>
      </c>
    </row>
    <row r="132">
      <c r="A132" t="s">
        <v>169</v>
      </c>
      <c r="B132">
        <v>2</v>
      </c>
      <c r="C132">
        <v>0.83333333333333326</v>
      </c>
      <c r="D132" s="3">
        <v>53360</v>
      </c>
      <c r="F132">
        <v>31.219999999999999</v>
      </c>
      <c r="G132" s="3">
        <v>64950</v>
      </c>
      <c r="H132">
        <v>58.009999999999998</v>
      </c>
    </row>
    <row r="133">
      <c r="A133" t="s">
        <v>170</v>
      </c>
      <c r="B133">
        <v>2</v>
      </c>
      <c r="C133">
        <f>0.75</f>
        <v>0.75</v>
      </c>
      <c r="D133" s="3">
        <v>13070</v>
      </c>
      <c r="F133">
        <v>25.780000000000001</v>
      </c>
      <c r="G133" s="3">
        <v>53630</v>
      </c>
      <c r="H133">
        <v>61.32</v>
      </c>
    </row>
    <row r="134">
      <c r="A134" t="s">
        <v>171</v>
      </c>
      <c r="B134">
        <v>2</v>
      </c>
      <c r="C134">
        <v>0.75</v>
      </c>
      <c r="D134" s="3">
        <v>49010</v>
      </c>
      <c r="F134">
        <v>20.719999999999999</v>
      </c>
      <c r="G134" s="3">
        <v>43090</v>
      </c>
      <c r="H134">
        <f>AVERAGE(48.03,40.67)</f>
        <v>44.350000000000001</v>
      </c>
    </row>
    <row r="135">
      <c r="A135" t="s">
        <v>172</v>
      </c>
      <c r="B135">
        <v>2</v>
      </c>
      <c r="C135">
        <v>0.75</v>
      </c>
      <c r="D135" s="3">
        <v>112000</v>
      </c>
      <c r="E135" t="s">
        <v>173</v>
      </c>
      <c r="F135">
        <f>G135/2080</f>
        <v>71.534134615384602</v>
      </c>
      <c r="G135" s="3">
        <v>148791</v>
      </c>
    </row>
    <row r="136">
      <c r="A136" t="s">
        <v>174</v>
      </c>
      <c r="B136">
        <v>2</v>
      </c>
      <c r="C136">
        <v>0.75</v>
      </c>
      <c r="D136" s="3">
        <v>36700</v>
      </c>
      <c r="F136">
        <v>41.859999999999999</v>
      </c>
      <c r="G136" s="3">
        <v>87060</v>
      </c>
    </row>
    <row r="137">
      <c r="A137" t="s">
        <v>175</v>
      </c>
      <c r="B137">
        <v>2</v>
      </c>
      <c r="C137">
        <v>0.69999999999999996</v>
      </c>
      <c r="D137" s="3">
        <v>4691890</v>
      </c>
      <c r="F137">
        <v>29.600000000000001</v>
      </c>
      <c r="G137" s="3">
        <v>61560</v>
      </c>
      <c r="H137">
        <v>37.530000000000001</v>
      </c>
    </row>
    <row r="138">
      <c r="A138" t="s">
        <v>176</v>
      </c>
      <c r="B138">
        <v>2</v>
      </c>
      <c r="C138">
        <v>0.66666666666666663</v>
      </c>
      <c r="D138">
        <f>68250+51620-17410+45330</f>
        <v>147790</v>
      </c>
      <c r="F138">
        <f>G138/2080</f>
        <v>27.733892490383901</v>
      </c>
      <c r="G138">
        <f>(68250*63330+51620*59680-17410*63260+45330*49060)/(68250+51620-17410+45330)</f>
        <v>57686.4963799986</v>
      </c>
      <c r="H138">
        <f>AVERAGE(47.58,43.09,42.7)</f>
        <v>44.456666666666671</v>
      </c>
    </row>
    <row r="139">
      <c r="A139" t="s">
        <v>177</v>
      </c>
      <c r="B139">
        <v>3</v>
      </c>
      <c r="C139">
        <f>0.326923076923077+1/3</f>
        <v>0.66025641025641035</v>
      </c>
    </row>
    <row r="140">
      <c r="A140" t="s">
        <v>178</v>
      </c>
      <c r="B140">
        <v>2</v>
      </c>
      <c r="C140">
        <v>0.58333333333333326</v>
      </c>
      <c r="D140" s="3">
        <v>621000</v>
      </c>
      <c r="F140">
        <v>52.630000000000003</v>
      </c>
      <c r="G140" s="3">
        <v>109470</v>
      </c>
      <c r="H140">
        <v>60.460000000000001</v>
      </c>
    </row>
    <row r="141">
      <c r="A141" t="s">
        <v>179</v>
      </c>
      <c r="B141">
        <v>3</v>
      </c>
      <c r="C141">
        <f>0.25+1/3</f>
        <v>0.58333333333333326</v>
      </c>
      <c r="D141" s="3">
        <v>20910</v>
      </c>
      <c r="F141">
        <v>58.859999999999999</v>
      </c>
      <c r="G141" s="3">
        <v>122430</v>
      </c>
      <c r="H141">
        <v>67.319999999999993</v>
      </c>
    </row>
    <row r="142">
      <c r="A142" t="s">
        <v>180</v>
      </c>
      <c r="B142">
        <v>2</v>
      </c>
      <c r="C142">
        <f>0.333333333333333+0.25</f>
        <v>0.58333333333333304</v>
      </c>
      <c r="D142" s="3">
        <v>603710</v>
      </c>
      <c r="F142">
        <v>77.370000000000005</v>
      </c>
      <c r="G142" s="3">
        <v>160930</v>
      </c>
      <c r="H142">
        <v>47.869999999999997</v>
      </c>
    </row>
    <row r="143">
      <c r="A143" t="s">
        <v>181</v>
      </c>
      <c r="B143">
        <v>2</v>
      </c>
      <c r="C143">
        <f>0.25+1/3</f>
        <v>0.58333333333333326</v>
      </c>
      <c r="D143" s="3">
        <v>2982530</v>
      </c>
      <c r="F143">
        <v>19.91</v>
      </c>
      <c r="G143" s="3">
        <v>41420</v>
      </c>
      <c r="H143">
        <v>31.239999999999998</v>
      </c>
    </row>
    <row r="144">
      <c r="A144" t="s">
        <v>182</v>
      </c>
      <c r="B144">
        <v>1</v>
      </c>
      <c r="C144">
        <v>0.5</v>
      </c>
      <c r="D144" s="3">
        <v>53020</v>
      </c>
      <c r="F144">
        <v>19.27</v>
      </c>
      <c r="G144" s="3">
        <v>40070</v>
      </c>
      <c r="H144">
        <v>60.18</v>
      </c>
    </row>
    <row r="145">
      <c r="A145" t="s">
        <v>183</v>
      </c>
      <c r="B145">
        <v>1</v>
      </c>
      <c r="C145">
        <v>0.5</v>
      </c>
      <c r="D145" s="3">
        <v>36470</v>
      </c>
      <c r="F145">
        <v>20.690000000000001</v>
      </c>
      <c r="G145" s="3">
        <v>43040</v>
      </c>
      <c r="H145">
        <v>44.640000000000001</v>
      </c>
    </row>
    <row r="146">
      <c r="A146" t="s">
        <v>184</v>
      </c>
      <c r="B146">
        <v>1</v>
      </c>
      <c r="C146">
        <v>0.5</v>
      </c>
      <c r="D146" s="3">
        <v>697740</v>
      </c>
      <c r="F146">
        <v>30.789999999999999</v>
      </c>
      <c r="G146" s="3">
        <v>64040</v>
      </c>
      <c r="H146">
        <v>45.140000000000001</v>
      </c>
    </row>
    <row r="147">
      <c r="A147" t="s">
        <v>185</v>
      </c>
      <c r="B147">
        <v>1</v>
      </c>
      <c r="C147">
        <v>0.5</v>
      </c>
      <c r="D147" s="3">
        <v>3148030</v>
      </c>
      <c r="F147">
        <v>15.289999999999999</v>
      </c>
      <c r="G147" s="3">
        <v>31810</v>
      </c>
      <c r="H147">
        <v>25.77</v>
      </c>
    </row>
    <row r="148">
      <c r="A148" t="s">
        <v>186</v>
      </c>
      <c r="B148">
        <v>1</v>
      </c>
      <c r="C148">
        <v>0.5</v>
      </c>
      <c r="D148">
        <v>500</v>
      </c>
      <c r="E148" t="s">
        <v>187</v>
      </c>
    </row>
    <row r="149">
      <c r="A149" t="s">
        <v>188</v>
      </c>
      <c r="B149">
        <v>1</v>
      </c>
      <c r="C149">
        <v>0.5</v>
      </c>
      <c r="D149" s="3">
        <v>5680</v>
      </c>
      <c r="F149">
        <v>32.130000000000003</v>
      </c>
      <c r="G149" s="3">
        <v>66840</v>
      </c>
      <c r="H149">
        <v>54.950000000000003</v>
      </c>
    </row>
    <row r="150">
      <c r="A150" t="s">
        <v>189</v>
      </c>
      <c r="B150">
        <v>1</v>
      </c>
      <c r="C150">
        <v>0.5</v>
      </c>
      <c r="D150" s="3">
        <v>177980</v>
      </c>
      <c r="F150">
        <v>21.539999999999999</v>
      </c>
      <c r="G150" s="3">
        <v>44790</v>
      </c>
      <c r="H150">
        <v>67.549999999999997</v>
      </c>
    </row>
    <row r="151">
      <c r="A151" t="s">
        <v>190</v>
      </c>
      <c r="B151">
        <v>1</v>
      </c>
      <c r="C151">
        <v>0.5</v>
      </c>
      <c r="D151" s="3">
        <v>71920</v>
      </c>
      <c r="F151">
        <v>19.260000000000002</v>
      </c>
      <c r="G151" s="3">
        <v>40060</v>
      </c>
    </row>
    <row r="152">
      <c r="A152" t="s">
        <v>191</v>
      </c>
      <c r="B152">
        <v>1</v>
      </c>
      <c r="C152">
        <v>0.5</v>
      </c>
      <c r="D152">
        <v>6900000</v>
      </c>
      <c r="E152" t="s">
        <v>192</v>
      </c>
    </row>
    <row r="153">
      <c r="A153" t="s">
        <v>193</v>
      </c>
      <c r="B153">
        <v>1</v>
      </c>
      <c r="C153">
        <v>0.5</v>
      </c>
      <c r="D153" s="3">
        <v>295460</v>
      </c>
      <c r="F153">
        <v>20.890000000000001</v>
      </c>
      <c r="G153" s="3">
        <v>43460</v>
      </c>
      <c r="H153">
        <v>35.829999999999998</v>
      </c>
    </row>
    <row r="154">
      <c r="A154" t="s">
        <v>194</v>
      </c>
      <c r="B154">
        <v>1</v>
      </c>
      <c r="C154">
        <v>0.5</v>
      </c>
      <c r="D154">
        <v>10300000</v>
      </c>
      <c r="E154" t="s">
        <v>195</v>
      </c>
    </row>
    <row r="155">
      <c r="A155" t="s">
        <v>196</v>
      </c>
      <c r="B155">
        <v>1</v>
      </c>
      <c r="C155">
        <v>0.5</v>
      </c>
    </row>
    <row r="156">
      <c r="A156" t="s">
        <v>197</v>
      </c>
      <c r="B156">
        <v>1</v>
      </c>
      <c r="C156">
        <v>0.5</v>
      </c>
      <c r="D156" s="3">
        <v>13070</v>
      </c>
      <c r="F156">
        <v>25.780000000000001</v>
      </c>
      <c r="G156" s="3">
        <v>53630</v>
      </c>
      <c r="H156">
        <v>61.32</v>
      </c>
    </row>
    <row r="157">
      <c r="A157" t="s">
        <v>198</v>
      </c>
      <c r="B157">
        <v>1</v>
      </c>
      <c r="C157">
        <v>0.5</v>
      </c>
      <c r="D157" s="3">
        <v>328870</v>
      </c>
      <c r="F157">
        <v>65.969999999999999</v>
      </c>
      <c r="G157" s="3">
        <v>137210</v>
      </c>
      <c r="H157">
        <v>69.709999999999994</v>
      </c>
    </row>
    <row r="158">
      <c r="A158" t="s">
        <v>199</v>
      </c>
      <c r="B158">
        <v>1</v>
      </c>
      <c r="C158">
        <v>0.5</v>
      </c>
      <c r="D158" s="3">
        <v>51830</v>
      </c>
      <c r="F158">
        <f>G158/2080</f>
        <v>68.730769230769198</v>
      </c>
      <c r="G158" s="3">
        <v>142960</v>
      </c>
      <c r="H158">
        <f>AVERAGE(76.01,73.56)</f>
        <v>74.784999999999997</v>
      </c>
    </row>
    <row r="159">
      <c r="A159" t="s">
        <v>200</v>
      </c>
      <c r="B159">
        <v>1</v>
      </c>
      <c r="C159">
        <v>0.5</v>
      </c>
      <c r="D159" s="3">
        <v>13050</v>
      </c>
      <c r="F159">
        <v>38.119999999999997</v>
      </c>
      <c r="G159" s="3">
        <v>79280</v>
      </c>
      <c r="H159">
        <v>61.140000000000001</v>
      </c>
    </row>
    <row r="160">
      <c r="A160" t="s">
        <v>201</v>
      </c>
      <c r="B160">
        <v>1</v>
      </c>
      <c r="C160">
        <v>0.5</v>
      </c>
      <c r="D160" s="3">
        <v>2807</v>
      </c>
      <c r="E160" t="s">
        <v>202</v>
      </c>
    </row>
    <row r="161">
      <c r="A161" t="s">
        <v>203</v>
      </c>
      <c r="B161">
        <v>1</v>
      </c>
      <c r="C161">
        <v>0.5</v>
      </c>
      <c r="D161" s="3">
        <v>16920</v>
      </c>
      <c r="F161">
        <v>37.460000000000001</v>
      </c>
      <c r="G161" s="3">
        <v>77920</v>
      </c>
      <c r="H161">
        <v>69.560000000000002</v>
      </c>
    </row>
    <row r="162">
      <c r="A162" t="s">
        <v>204</v>
      </c>
      <c r="B162">
        <v>2</v>
      </c>
      <c r="C162">
        <v>0.45000000000000001</v>
      </c>
      <c r="D162" s="3">
        <v>5350</v>
      </c>
      <c r="F162">
        <v>39.200000000000003</v>
      </c>
      <c r="G162" s="3">
        <v>81540</v>
      </c>
      <c r="H162">
        <v>60.990000000000002</v>
      </c>
    </row>
    <row r="163">
      <c r="A163" t="s">
        <v>205</v>
      </c>
      <c r="B163">
        <v>2</v>
      </c>
      <c r="C163">
        <v>0.41666666666666702</v>
      </c>
      <c r="D163" s="3">
        <v>279960</v>
      </c>
      <c r="F163">
        <v>48.700000000000003</v>
      </c>
      <c r="G163" s="3">
        <v>101290</v>
      </c>
      <c r="H163">
        <f>AVERAGE(57.61,55.41)</f>
        <v>56.509999999999998</v>
      </c>
    </row>
    <row r="164">
      <c r="A164" t="s">
        <v>206</v>
      </c>
      <c r="B164">
        <v>2</v>
      </c>
      <c r="C164">
        <f>0.333333333333333+0.0769230769230769</f>
        <v>0.41025641025640991</v>
      </c>
    </row>
    <row r="165">
      <c r="A165" t="s">
        <v>207</v>
      </c>
      <c r="B165">
        <v>2</v>
      </c>
      <c r="C165">
        <f>0.111111111111111+0.25</f>
        <v>0.36111111111111099</v>
      </c>
      <c r="D165" s="3">
        <v>248630</v>
      </c>
      <c r="F165">
        <v>49.229999999999997</v>
      </c>
      <c r="G165" s="3">
        <v>102400</v>
      </c>
      <c r="H165">
        <v>63.299999999999997</v>
      </c>
    </row>
    <row r="166">
      <c r="A166" t="s">
        <v>208</v>
      </c>
      <c r="B166">
        <v>1</v>
      </c>
      <c r="C166">
        <v>0.33333333333333331</v>
      </c>
      <c r="D166" s="3">
        <v>339340</v>
      </c>
      <c r="F166">
        <v>19.68</v>
      </c>
      <c r="G166" s="3">
        <v>40940</v>
      </c>
      <c r="H166">
        <v>39.140000000000001</v>
      </c>
    </row>
    <row r="167">
      <c r="A167" t="s">
        <v>209</v>
      </c>
      <c r="B167">
        <v>1</v>
      </c>
      <c r="C167">
        <v>0.33333333333333298</v>
      </c>
      <c r="D167" s="3">
        <v>348630</v>
      </c>
      <c r="F167">
        <v>19.280000000000001</v>
      </c>
      <c r="G167" s="3">
        <v>40110</v>
      </c>
      <c r="H167">
        <v>34.340000000000003</v>
      </c>
    </row>
    <row r="168">
      <c r="A168" t="s">
        <v>210</v>
      </c>
      <c r="B168">
        <v>1</v>
      </c>
      <c r="C168">
        <v>0.33333333333333298</v>
      </c>
      <c r="D168" s="3">
        <v>688840</v>
      </c>
      <c r="F168">
        <v>26.57</v>
      </c>
      <c r="G168" s="3">
        <v>55260</v>
      </c>
      <c r="H168">
        <v>41.170000000000002</v>
      </c>
    </row>
    <row r="169">
      <c r="A169" t="s">
        <v>211</v>
      </c>
      <c r="B169">
        <v>1</v>
      </c>
      <c r="C169">
        <v>0.33333333333333331</v>
      </c>
      <c r="D169" s="3">
        <v>44200</v>
      </c>
      <c r="F169">
        <v>19.600000000000001</v>
      </c>
      <c r="G169" s="3">
        <v>40770</v>
      </c>
      <c r="H169">
        <v>41.649999999999999</v>
      </c>
    </row>
    <row r="170">
      <c r="A170" t="s">
        <v>212</v>
      </c>
      <c r="B170">
        <v>1</v>
      </c>
      <c r="C170">
        <v>0.33333333333333298</v>
      </c>
      <c r="D170" s="3">
        <v>140</v>
      </c>
      <c r="E170" t="s">
        <v>213</v>
      </c>
    </row>
    <row r="171">
      <c r="A171" t="s">
        <v>214</v>
      </c>
      <c r="B171">
        <v>1</v>
      </c>
      <c r="C171">
        <v>0.33333333333333298</v>
      </c>
      <c r="H171">
        <v>52.140000000000001</v>
      </c>
    </row>
    <row r="172">
      <c r="A172" t="s">
        <v>215</v>
      </c>
      <c r="B172">
        <v>1</v>
      </c>
      <c r="C172">
        <v>0.33333333333333298</v>
      </c>
      <c r="D172" s="3"/>
    </row>
    <row r="173">
      <c r="A173" t="s">
        <v>216</v>
      </c>
      <c r="B173">
        <v>1</v>
      </c>
      <c r="C173">
        <v>0.33333333333333331</v>
      </c>
      <c r="D173" s="3">
        <v>13120</v>
      </c>
      <c r="F173">
        <v>41.18</v>
      </c>
      <c r="G173" s="3">
        <v>85650</v>
      </c>
      <c r="H173">
        <v>47.549999999999997</v>
      </c>
    </row>
    <row r="174">
      <c r="A174" t="s">
        <v>217</v>
      </c>
      <c r="B174">
        <v>1</v>
      </c>
      <c r="C174">
        <v>0.33333333333333298</v>
      </c>
      <c r="D174" s="3">
        <v>1113160</v>
      </c>
      <c r="F174">
        <v>25.170000000000002</v>
      </c>
      <c r="G174" s="3">
        <v>52350</v>
      </c>
      <c r="H174">
        <v>40.020000000000003</v>
      </c>
    </row>
    <row r="175" ht="14.25" customHeight="1">
      <c r="A175" t="s">
        <v>218</v>
      </c>
      <c r="B175">
        <v>1</v>
      </c>
      <c r="C175">
        <v>0.33333333333333331</v>
      </c>
      <c r="D175">
        <f>13333</f>
        <v>13333</v>
      </c>
      <c r="E175" t="s">
        <v>219</v>
      </c>
    </row>
    <row r="176">
      <c r="A176" t="s">
        <v>220</v>
      </c>
      <c r="B176">
        <v>1</v>
      </c>
      <c r="C176">
        <f>1/3</f>
        <v>0.33333333333333298</v>
      </c>
      <c r="D176" s="3">
        <v>2510550</v>
      </c>
      <c r="F176">
        <v>21.859999999999999</v>
      </c>
      <c r="G176" s="3">
        <v>45470</v>
      </c>
      <c r="H176">
        <v>39.340000000000003</v>
      </c>
    </row>
    <row r="177">
      <c r="A177" t="s">
        <v>221</v>
      </c>
      <c r="B177">
        <v>1</v>
      </c>
      <c r="C177">
        <v>0.33333333333333331</v>
      </c>
      <c r="D177">
        <v>100</v>
      </c>
      <c r="E177" t="s">
        <v>222</v>
      </c>
    </row>
    <row r="178">
      <c r="A178" t="s">
        <v>223</v>
      </c>
      <c r="B178">
        <v>1</v>
      </c>
      <c r="C178">
        <v>0.33333333333333331</v>
      </c>
      <c r="D178">
        <f>0.52*102500000</f>
        <v>53300000</v>
      </c>
      <c r="E178" t="s">
        <v>50</v>
      </c>
    </row>
    <row r="179">
      <c r="A179" t="s">
        <v>224</v>
      </c>
      <c r="B179">
        <v>1</v>
      </c>
      <c r="C179">
        <v>0.33333333333333298</v>
      </c>
      <c r="D179" s="3">
        <v>645970</v>
      </c>
      <c r="F179">
        <v>90.379999999999995</v>
      </c>
      <c r="G179" s="3">
        <v>187990</v>
      </c>
      <c r="H179">
        <v>73.189999999999998</v>
      </c>
    </row>
    <row r="180">
      <c r="A180" t="s">
        <v>225</v>
      </c>
      <c r="B180">
        <v>2</v>
      </c>
      <c r="C180">
        <f>0.0769230769230769+0.25</f>
        <v>0.32692307692307687</v>
      </c>
      <c r="D180" s="3">
        <v>474400</v>
      </c>
      <c r="E180" t="s">
        <v>226</v>
      </c>
      <c r="F180">
        <v>19.739999999999998</v>
      </c>
      <c r="H180">
        <v>27.350000000000001</v>
      </c>
    </row>
    <row r="181">
      <c r="A181" t="s">
        <v>227</v>
      </c>
      <c r="B181">
        <v>1</v>
      </c>
      <c r="C181">
        <v>0.25</v>
      </c>
    </row>
    <row r="182">
      <c r="A182" t="s">
        <v>228</v>
      </c>
      <c r="B182">
        <v>1</v>
      </c>
      <c r="C182">
        <v>0.25</v>
      </c>
      <c r="D182" s="3">
        <v>471670</v>
      </c>
      <c r="F182">
        <v>15.970000000000001</v>
      </c>
      <c r="G182" s="3">
        <v>33220</v>
      </c>
      <c r="H182">
        <v>14.5</v>
      </c>
    </row>
    <row r="183">
      <c r="A183" t="s">
        <v>229</v>
      </c>
      <c r="B183">
        <v>1</v>
      </c>
      <c r="C183">
        <v>0.25</v>
      </c>
      <c r="D183" s="3">
        <v>982460</v>
      </c>
      <c r="F183">
        <v>38.880000000000003</v>
      </c>
      <c r="G183" s="3">
        <v>80860</v>
      </c>
      <c r="H183">
        <f>AVERAGE(54.12,49,47.04)</f>
        <v>50.053333333333335</v>
      </c>
    </row>
    <row r="184">
      <c r="A184" t="s">
        <v>230</v>
      </c>
      <c r="B184">
        <v>1</v>
      </c>
      <c r="C184">
        <v>0.25</v>
      </c>
      <c r="D184" s="3">
        <v>12170</v>
      </c>
      <c r="F184">
        <v>23.960000000000001</v>
      </c>
      <c r="G184" s="3">
        <v>49830</v>
      </c>
      <c r="H184">
        <v>50.020000000000003</v>
      </c>
    </row>
    <row r="185">
      <c r="A185" t="s">
        <v>231</v>
      </c>
      <c r="B185">
        <v>1</v>
      </c>
      <c r="C185">
        <v>0.20000000000000001</v>
      </c>
      <c r="D185" s="3">
        <v>28340</v>
      </c>
      <c r="F185">
        <v>64.900000000000006</v>
      </c>
      <c r="G185" s="3">
        <v>134990</v>
      </c>
      <c r="H185">
        <v>57.420000000000002</v>
      </c>
    </row>
    <row r="186">
      <c r="A186" t="s">
        <v>232</v>
      </c>
      <c r="B186">
        <v>1</v>
      </c>
      <c r="C186">
        <v>0.20000000000000001</v>
      </c>
      <c r="D186" s="3">
        <v>230270</v>
      </c>
      <c r="F186">
        <v>19.620000000000001</v>
      </c>
      <c r="G186" s="3">
        <v>40810</v>
      </c>
      <c r="H186">
        <v>35.829999999999998</v>
      </c>
    </row>
    <row r="187">
      <c r="A187" t="s">
        <v>233</v>
      </c>
      <c r="B187">
        <v>1</v>
      </c>
      <c r="C187">
        <v>0.20000000000000001</v>
      </c>
      <c r="D187" s="3">
        <v>296640</v>
      </c>
      <c r="F187">
        <v>39.770000000000003</v>
      </c>
      <c r="G187" s="3">
        <v>82720</v>
      </c>
      <c r="H187">
        <f>AVERAGE(54.07)</f>
        <v>54.07</v>
      </c>
    </row>
    <row r="188">
      <c r="A188" t="s">
        <v>234</v>
      </c>
      <c r="B188">
        <v>1</v>
      </c>
      <c r="C188">
        <v>0.20000000000000001</v>
      </c>
      <c r="D188" s="3">
        <v>200000</v>
      </c>
      <c r="E188" t="s">
        <v>235</v>
      </c>
      <c r="H188">
        <v>51.159999999999997</v>
      </c>
    </row>
    <row r="189">
      <c r="A189" t="s">
        <v>236</v>
      </c>
      <c r="B189">
        <v>1</v>
      </c>
      <c r="C189">
        <v>0.20000000000000001</v>
      </c>
      <c r="D189" s="3">
        <v>130110</v>
      </c>
      <c r="F189">
        <f>G189/2080</f>
        <v>37.956730769230802</v>
      </c>
      <c r="G189" s="3">
        <v>78950</v>
      </c>
      <c r="H189">
        <v>50.159999999999997</v>
      </c>
    </row>
    <row r="190">
      <c r="A190" t="s">
        <v>237</v>
      </c>
      <c r="B190">
        <v>1</v>
      </c>
      <c r="C190">
        <v>0.20000000000000001</v>
      </c>
      <c r="D190" s="3">
        <v>1531700</v>
      </c>
      <c r="F190">
        <v>25.210000000000001</v>
      </c>
      <c r="G190" s="3">
        <v>52430</v>
      </c>
      <c r="H190">
        <v>38.009999999999998</v>
      </c>
    </row>
    <row r="191">
      <c r="A191" t="s">
        <v>238</v>
      </c>
      <c r="B191">
        <v>1</v>
      </c>
      <c r="C191">
        <v>0.20000000000000001</v>
      </c>
      <c r="D191" s="3">
        <v>343040</v>
      </c>
      <c r="F191">
        <v>31.41</v>
      </c>
      <c r="G191" s="3">
        <v>65320</v>
      </c>
      <c r="H191">
        <f>AVERAGE(67.5,55.69,54.52)</f>
        <v>59.236666666666672</v>
      </c>
    </row>
    <row r="192">
      <c r="A192" t="s">
        <v>239</v>
      </c>
      <c r="B192">
        <v>1</v>
      </c>
      <c r="C192">
        <v>0.20000000000000001</v>
      </c>
      <c r="D192" s="3">
        <v>298790</v>
      </c>
      <c r="F192">
        <v>26.239999999999998</v>
      </c>
      <c r="G192" s="3">
        <v>54580</v>
      </c>
      <c r="H192">
        <f>AVERAGE(65.61,65.44,60.26,48.34,)</f>
        <v>47.93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DESKTOP-TPHRTC9\Ella Clement</cp:lastModifiedBy>
  <dcterms:created xsi:type="dcterms:W3CDTF">2025-04-04T09:41:26Z</dcterms:created>
  <dcterms:modified xsi:type="dcterms:W3CDTF">2025-09-04T08:40:46Z</dcterms:modified>
</cp:coreProperties>
</file>