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drive.uw.edu\udrive\LeSueur\LS multimodel\"/>
    </mc:Choice>
  </mc:AlternateContent>
  <bookViews>
    <workbookView xWindow="0" yWindow="0" windowWidth="28800" windowHeight="11700" firstSheet="3" activeTab="7"/>
  </bookViews>
  <sheets>
    <sheet name="Wetland budget, MPCA worksheet" sheetId="1" r:id="rId1"/>
    <sheet name="Pond budget, MPCA worksh " sheetId="4" r:id="rId2"/>
    <sheet name="Multimodel scenarios justific" sheetId="5" r:id="rId3"/>
    <sheet name="Multimodel scenarios I&amp;M costs" sheetId="6" r:id="rId4"/>
    <sheet name="new depth assumptions" sheetId="11" r:id="rId5"/>
    <sheet name="sub county geo intesect" sheetId="9" r:id="rId6"/>
    <sheet name="weighted critical pmt" sheetId="10" r:id="rId7"/>
    <sheet name="sub costs march18 depth assump" sheetId="15"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5" l="1"/>
  <c r="Q4" i="15"/>
  <c r="Q5" i="15"/>
  <c r="Q6" i="15"/>
  <c r="Q7" i="15"/>
  <c r="Q8" i="15"/>
  <c r="Q9" i="15"/>
  <c r="Q10" i="15"/>
  <c r="Q11" i="15"/>
  <c r="Q12" i="15"/>
  <c r="Q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2" i="15"/>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2" i="15"/>
  <c r="O3" i="15"/>
  <c r="O4"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5" i="15"/>
  <c r="O56" i="15"/>
  <c r="O57" i="15"/>
  <c r="O58" i="15"/>
  <c r="O59" i="15"/>
  <c r="O60" i="15"/>
  <c r="O61" i="15"/>
  <c r="O62" i="15"/>
  <c r="O63" i="15"/>
  <c r="O64" i="15"/>
  <c r="O65" i="15"/>
  <c r="O66" i="15"/>
  <c r="O67" i="15"/>
  <c r="O68" i="15"/>
  <c r="O69" i="15"/>
  <c r="O70" i="15"/>
  <c r="O71" i="15"/>
  <c r="O72" i="15"/>
  <c r="O73" i="15"/>
  <c r="O74" i="15"/>
  <c r="O75" i="15"/>
  <c r="O76" i="15"/>
  <c r="O77" i="15"/>
  <c r="O78" i="15"/>
  <c r="O79" i="15"/>
  <c r="O80" i="15"/>
  <c r="O81" i="15"/>
  <c r="O82" i="15"/>
  <c r="O83" i="15"/>
  <c r="O84" i="15"/>
  <c r="O85" i="15"/>
  <c r="O86" i="15"/>
  <c r="O87" i="15"/>
  <c r="O88" i="15"/>
  <c r="O89" i="15"/>
  <c r="O90" i="15"/>
  <c r="O91" i="15"/>
  <c r="O92" i="15"/>
  <c r="O93" i="15"/>
  <c r="O94" i="15"/>
  <c r="O95" i="15"/>
  <c r="O96" i="15"/>
  <c r="O97" i="15"/>
  <c r="O98" i="15"/>
  <c r="O99" i="15"/>
  <c r="O100" i="15"/>
  <c r="O101" i="15"/>
  <c r="O102" i="15"/>
  <c r="O103" i="15"/>
  <c r="O104" i="15"/>
  <c r="O2" i="15"/>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2"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2" i="15"/>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2" i="15"/>
  <c r="F3" i="15" l="1"/>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E41" i="1"/>
  <c r="D41" i="1"/>
  <c r="S8" i="4"/>
  <c r="D41" i="4"/>
  <c r="F41" i="4" s="1"/>
  <c r="I3" i="15" l="1"/>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2" i="15"/>
  <c r="F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2" i="15"/>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2"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2" i="15"/>
  <c r="K6" i="15" l="1"/>
  <c r="K14" i="15"/>
  <c r="K22" i="15"/>
  <c r="K30" i="15"/>
  <c r="K38" i="15"/>
  <c r="K46" i="15"/>
  <c r="K54" i="15"/>
  <c r="K62" i="15"/>
  <c r="K70" i="15"/>
  <c r="K78" i="15"/>
  <c r="K86" i="15"/>
  <c r="K94" i="15"/>
  <c r="K102" i="15"/>
  <c r="K7" i="15"/>
  <c r="K23" i="15"/>
  <c r="K39" i="15"/>
  <c r="K55" i="15"/>
  <c r="K71" i="15"/>
  <c r="K79" i="15"/>
  <c r="K95" i="15"/>
  <c r="K45" i="15"/>
  <c r="K15" i="15"/>
  <c r="K31" i="15"/>
  <c r="K47" i="15"/>
  <c r="K63" i="15"/>
  <c r="K87" i="15"/>
  <c r="K103" i="15"/>
  <c r="K29" i="15"/>
  <c r="K93" i="15"/>
  <c r="K8" i="15"/>
  <c r="K16" i="15"/>
  <c r="K24" i="15"/>
  <c r="K32" i="15"/>
  <c r="K40" i="15"/>
  <c r="K48" i="15"/>
  <c r="K56" i="15"/>
  <c r="K64" i="15"/>
  <c r="K72" i="15"/>
  <c r="K80" i="15"/>
  <c r="K88" i="15"/>
  <c r="K96" i="15"/>
  <c r="K104" i="15"/>
  <c r="K42" i="15"/>
  <c r="K74" i="15"/>
  <c r="K98" i="15"/>
  <c r="K5" i="15"/>
  <c r="K77" i="15"/>
  <c r="K9" i="15"/>
  <c r="K17" i="15"/>
  <c r="K25" i="15"/>
  <c r="K33" i="15"/>
  <c r="K41" i="15"/>
  <c r="K49" i="15"/>
  <c r="K57" i="15"/>
  <c r="K65" i="15"/>
  <c r="K73" i="15"/>
  <c r="K81" i="15"/>
  <c r="K89" i="15"/>
  <c r="K97" i="15"/>
  <c r="K2" i="15"/>
  <c r="K18" i="15"/>
  <c r="K26" i="15"/>
  <c r="K50" i="15"/>
  <c r="K66" i="15"/>
  <c r="K90" i="15"/>
  <c r="K69" i="15"/>
  <c r="K10" i="15"/>
  <c r="K34" i="15"/>
  <c r="K58" i="15"/>
  <c r="K82" i="15"/>
  <c r="K37" i="15"/>
  <c r="K85" i="15"/>
  <c r="K3" i="15"/>
  <c r="K11" i="15"/>
  <c r="K19" i="15"/>
  <c r="K27" i="15"/>
  <c r="K35" i="15"/>
  <c r="K43" i="15"/>
  <c r="K51" i="15"/>
  <c r="K59" i="15"/>
  <c r="K67" i="15"/>
  <c r="K75" i="15"/>
  <c r="K83" i="15"/>
  <c r="K91" i="15"/>
  <c r="K99" i="15"/>
  <c r="K13" i="15"/>
  <c r="K53" i="15"/>
  <c r="K101" i="15"/>
  <c r="K4" i="15"/>
  <c r="K12" i="15"/>
  <c r="K20" i="15"/>
  <c r="K28" i="15"/>
  <c r="K36" i="15"/>
  <c r="K44" i="15"/>
  <c r="K52" i="15"/>
  <c r="K60" i="15"/>
  <c r="K68" i="15"/>
  <c r="K76" i="15"/>
  <c r="K84" i="15"/>
  <c r="K92" i="15"/>
  <c r="K100" i="15"/>
  <c r="K21" i="15"/>
  <c r="K61" i="15"/>
  <c r="D71" i="4"/>
  <c r="P69" i="4"/>
  <c r="P70" i="4" s="1"/>
  <c r="P66" i="4"/>
  <c r="D64" i="4"/>
  <c r="F64" i="4" s="1"/>
  <c r="D63" i="4"/>
  <c r="F63" i="4" s="1"/>
  <c r="D62" i="4"/>
  <c r="F62" i="4" s="1"/>
  <c r="F61" i="4"/>
  <c r="D60" i="4"/>
  <c r="F60" i="4" s="1"/>
  <c r="F59" i="4"/>
  <c r="D59" i="4"/>
  <c r="D58" i="4"/>
  <c r="F58" i="4" s="1"/>
  <c r="D57" i="4"/>
  <c r="F57" i="4" s="1"/>
  <c r="F67" i="4" s="1"/>
  <c r="F68" i="4" s="1"/>
  <c r="F48" i="4"/>
  <c r="F47" i="4"/>
  <c r="D45" i="4"/>
  <c r="F45" i="4" s="1"/>
  <c r="S21" i="4"/>
  <c r="T10" i="4"/>
  <c r="S9" i="4"/>
  <c r="S11" i="4" s="1"/>
  <c r="T7" i="4"/>
  <c r="P70" i="1"/>
  <c r="P69" i="1"/>
  <c r="P66" i="1"/>
  <c r="D62" i="1"/>
  <c r="F59" i="1"/>
  <c r="F60" i="1"/>
  <c r="F61" i="1"/>
  <c r="F62" i="1"/>
  <c r="D64" i="1"/>
  <c r="F64" i="1" s="1"/>
  <c r="D63" i="1"/>
  <c r="F63" i="1" s="1"/>
  <c r="D60" i="1"/>
  <c r="D59" i="1"/>
  <c r="D58" i="1"/>
  <c r="F58" i="1" s="1"/>
  <c r="D57" i="1"/>
  <c r="F57" i="1" s="1"/>
  <c r="F48" i="1"/>
  <c r="F47" i="1"/>
  <c r="D45" i="1"/>
  <c r="F45" i="1" s="1"/>
  <c r="S20" i="1"/>
  <c r="F41" i="1"/>
  <c r="D71" i="1"/>
  <c r="T9" i="1"/>
  <c r="S8" i="1"/>
  <c r="S10" i="1" s="1"/>
  <c r="T10" i="1" s="1"/>
  <c r="D37" i="1" s="1"/>
  <c r="T7" i="1"/>
  <c r="T11" i="4" l="1"/>
  <c r="D37" i="4" s="1"/>
  <c r="S12" i="4"/>
  <c r="D53" i="4" s="1"/>
  <c r="T9" i="4"/>
  <c r="T8" i="1"/>
  <c r="F67" i="1"/>
  <c r="F68" i="1" s="1"/>
  <c r="S11" i="1"/>
  <c r="F53" i="4" l="1"/>
  <c r="D52" i="4"/>
  <c r="F52" i="4" s="1"/>
  <c r="D51" i="4"/>
  <c r="F51" i="4" s="1"/>
  <c r="S13" i="4"/>
  <c r="D50" i="4"/>
  <c r="F50" i="4" s="1"/>
  <c r="S12" i="1"/>
  <c r="D40" i="1" s="1"/>
  <c r="D53" i="1"/>
  <c r="F53" i="1" s="1"/>
  <c r="D52" i="1"/>
  <c r="F52" i="1" s="1"/>
  <c r="D50" i="1"/>
  <c r="F50" i="1" s="1"/>
  <c r="D51" i="1"/>
  <c r="F51" i="1" s="1"/>
  <c r="D40" i="4" l="1"/>
  <c r="D36" i="4"/>
  <c r="F36" i="4" s="1"/>
  <c r="T13" i="4"/>
  <c r="D43" i="4"/>
  <c r="F43" i="4" s="1"/>
  <c r="D43" i="1"/>
  <c r="F43" i="1" s="1"/>
  <c r="T12" i="1"/>
  <c r="D36" i="1"/>
  <c r="F36" i="1" s="1"/>
  <c r="F70" i="1" s="1"/>
  <c r="F73" i="1" l="1"/>
  <c r="F72" i="1"/>
  <c r="F75" i="1"/>
  <c r="F70" i="4" l="1"/>
  <c r="F73" i="4" l="1"/>
  <c r="F72" i="4"/>
  <c r="F75" i="4"/>
</calcChain>
</file>

<file path=xl/comments1.xml><?xml version="1.0" encoding="utf-8"?>
<comments xmlns="http://schemas.openxmlformats.org/spreadsheetml/2006/main">
  <authors>
    <author>Sergey Rabotyagov</author>
  </authors>
  <commentList>
    <comment ref="R28" authorId="0" shapeId="0">
      <text>
        <r>
          <rPr>
            <b/>
            <sz val="9"/>
            <color indexed="81"/>
            <rFont val="Tahoma"/>
            <family val="2"/>
          </rPr>
          <t>Sergey Rabotyagov:</t>
        </r>
        <r>
          <rPr>
            <sz val="9"/>
            <color indexed="81"/>
            <rFont val="Tahoma"/>
            <family val="2"/>
          </rPr>
          <t xml:space="preserve">
from Christianson http://www.sciencedirect.com/science/article/pii/S2212428413000194 
Also, over the life of a wetland, sediment removal and earthwork maintenance would be required, though those costs are not incorporated in this analysis because their timing would be difficult to estimate and may occur at greater than the 50 year planning horizon.
</t>
        </r>
      </text>
    </comment>
  </commentList>
</comments>
</file>

<file path=xl/comments2.xml><?xml version="1.0" encoding="utf-8"?>
<comments xmlns="http://schemas.openxmlformats.org/spreadsheetml/2006/main">
  <authors>
    <author>Sergey Rabotyagov</author>
  </authors>
  <commentList>
    <comment ref="R29" authorId="0" shapeId="0">
      <text>
        <r>
          <rPr>
            <b/>
            <sz val="9"/>
            <color indexed="81"/>
            <rFont val="Tahoma"/>
            <family val="2"/>
          </rPr>
          <t>Sergey Rabotyagov:</t>
        </r>
        <r>
          <rPr>
            <sz val="9"/>
            <color indexed="81"/>
            <rFont val="Tahoma"/>
            <family val="2"/>
          </rPr>
          <t xml:space="preserve">
from Christianson http://www.sciencedirect.com/science/article/pii/S2212428413000194 
Also, over the life of a wetland, sediment removal and earthwork maintenance would be required, though those costs are not incorporated in this analysis because their timing would be difficult to estimate and may occur at greater than the 50 year planning horizon.
</t>
        </r>
      </text>
    </comment>
  </commentList>
</comments>
</file>

<file path=xl/comments3.xml><?xml version="1.0" encoding="utf-8"?>
<comments xmlns="http://schemas.openxmlformats.org/spreadsheetml/2006/main">
  <authors>
    <author>Sergey Rabotyagov</author>
  </authors>
  <commentList>
    <comment ref="F24" authorId="0" shapeId="0">
      <text>
        <r>
          <rPr>
            <b/>
            <sz val="9"/>
            <color indexed="81"/>
            <rFont val="Tahoma"/>
            <charset val="1"/>
          </rPr>
          <t>Sergey Rabotyagov:</t>
        </r>
        <r>
          <rPr>
            <sz val="9"/>
            <color indexed="81"/>
            <rFont val="Tahoma"/>
            <charset val="1"/>
          </rPr>
          <t xml:space="preserve">
March 2018 assumption
</t>
        </r>
      </text>
    </comment>
    <comment ref="D44" authorId="0" shapeId="0">
      <text>
        <r>
          <rPr>
            <b/>
            <sz val="9"/>
            <color indexed="81"/>
            <rFont val="Tahoma"/>
            <family val="2"/>
          </rPr>
          <t>Sergey Rabotyagov:</t>
        </r>
        <r>
          <rPr>
            <sz val="9"/>
            <color indexed="81"/>
            <rFont val="Tahoma"/>
            <family val="2"/>
          </rPr>
          <t xml:space="preserve">
I'd say not realistic…
</t>
        </r>
      </text>
    </comment>
    <comment ref="D52" authorId="0" shapeId="0">
      <text>
        <r>
          <rPr>
            <b/>
            <sz val="9"/>
            <color indexed="81"/>
            <rFont val="Tahoma"/>
            <family val="2"/>
          </rPr>
          <t>Sergey Rabotyagov:</t>
        </r>
        <r>
          <rPr>
            <sz val="9"/>
            <color indexed="81"/>
            <rFont val="Tahoma"/>
            <family val="2"/>
          </rPr>
          <t xml:space="preserve">
I'd say not realistic…
</t>
        </r>
      </text>
    </comment>
  </commentList>
</comments>
</file>

<file path=xl/sharedStrings.xml><?xml version="1.0" encoding="utf-8"?>
<sst xmlns="http://schemas.openxmlformats.org/spreadsheetml/2006/main" count="517" uniqueCount="213">
  <si>
    <t>Estimating installation and maintenance costs of wetlands</t>
  </si>
  <si>
    <t xml:space="preserve">https://stormwater.pca.state.mn.us/index.php?title=Cost-benefit_considerations_for_stormwater_wetlands </t>
  </si>
  <si>
    <t>Inlet structure</t>
  </si>
  <si>
    <t>Outlet structure</t>
  </si>
  <si>
    <t>Soil preparation</t>
  </si>
  <si>
    <t>Debris removal</t>
  </si>
  <si>
    <t>Invasive plant removal</t>
  </si>
  <si>
    <t>Sediment removal</t>
  </si>
  <si>
    <t>Erosion repair</t>
  </si>
  <si>
    <t>Gate/valve operation</t>
  </si>
  <si>
    <t>Inspection</t>
  </si>
  <si>
    <t>Wetland (shallow, depth up to 1 m) input assumptions</t>
  </si>
  <si>
    <t>Buffer width (see CAD docs), ft</t>
  </si>
  <si>
    <t>Excavation required? 1 if yes, 0 if use existing depressions</t>
  </si>
  <si>
    <t>Minnesota Stormwater Manual generally distinguishes between wetlands (shallow) and ponds (deep)</t>
  </si>
  <si>
    <t>Note that in LS Multimodel assumptions, the distinction on depth is between ponds and marshes</t>
  </si>
  <si>
    <t>Propose use MSM costs for wetlands for marshes (both upland and flow-through) and pond costs for multimodel upland ponds and flow-through reservoirs</t>
  </si>
  <si>
    <t>Operation frequency assumptions, year^-1</t>
  </si>
  <si>
    <t>Description</t>
  </si>
  <si>
    <t>Units</t>
  </si>
  <si>
    <t>Quantity</t>
  </si>
  <si>
    <t>Unit Cost</t>
  </si>
  <si>
    <t>Total Estimated Price</t>
  </si>
  <si>
    <t>Site Preparation</t>
  </si>
  <si>
    <t>Tree removal - up to 12" diameter</t>
  </si>
  <si>
    <t>each</t>
  </si>
  <si>
    <t>Clear and grub brush</t>
  </si>
  <si>
    <t>square yard</t>
  </si>
  <si>
    <t>Tree protection - temp. fence</t>
  </si>
  <si>
    <t>lineal foot</t>
  </si>
  <si>
    <t>Topsoil - 6" depth, salvage on site</t>
  </si>
  <si>
    <t>Site Formation</t>
  </si>
  <si>
    <t>Excavation - deepwater zone - 4' average depth</t>
  </si>
  <si>
    <t>Excavation - marsh zone - 1' average depth</t>
  </si>
  <si>
    <t>Grading</t>
  </si>
  <si>
    <t>Hauling off-site - 5' depth</t>
  </si>
  <si>
    <t>Structural Components</t>
  </si>
  <si>
    <t>Site Restoration</t>
  </si>
  <si>
    <t>Sod - above vegetative bench</t>
  </si>
  <si>
    <t>Seeding - vegetative bench</t>
  </si>
  <si>
    <t>Planting</t>
  </si>
  <si>
    <t>Annual Operation and Maintenance</t>
  </si>
  <si>
    <t>per visit</t>
  </si>
  <si>
    <t>Remove invasive plants</t>
  </si>
  <si>
    <t>Replant wetland vegetation</t>
  </si>
  <si>
    <t>per plant</t>
  </si>
  <si>
    <t>Repair erosion</t>
  </si>
  <si>
    <t>Sediment removal and disposal</t>
  </si>
  <si>
    <t>cubic yard</t>
  </si>
  <si>
    <t>Mow</t>
  </si>
  <si>
    <t>Gate / valve operation</t>
  </si>
  <si>
    <t>TOTAL ANNUAL O&amp;M COST</t>
  </si>
  <si>
    <t>Financial assumptions</t>
  </si>
  <si>
    <t>Wetland lifetime, years (from Roley et al., 2016 WRE)</t>
  </si>
  <si>
    <t>Real discount rate (see ref. 51 in Roley)</t>
  </si>
  <si>
    <t>Mowing (10% of buffer area, per Christianson et al 2013 WRE)</t>
  </si>
  <si>
    <t>Tree removal? 0 for no, 1 for yes</t>
  </si>
  <si>
    <t>Total annualized cost, TPVC*CRF, $/acre</t>
  </si>
  <si>
    <t>Surface area (ha)</t>
  </si>
  <si>
    <t>acres</t>
  </si>
  <si>
    <t>Estimated basin radius, m</t>
  </si>
  <si>
    <t>ft</t>
  </si>
  <si>
    <t>Fence required? 0 for no, 1 for yes</t>
  </si>
  <si>
    <t>Buffer area, ha</t>
  </si>
  <si>
    <t>Buffer length, m</t>
  </si>
  <si>
    <t>m</t>
  </si>
  <si>
    <t>Total area, ha</t>
  </si>
  <si>
    <t>Brush clearing required? 0 for no, 1 for yes</t>
  </si>
  <si>
    <t>Topsoil salvage required? 0 for no, 1 for yes</t>
  </si>
  <si>
    <t>Capital recovery factor</t>
  </si>
  <si>
    <t>implies 0.8 per sq. yard per ft depth, so 2.62 per 1 meter, assume trapezoidal shape so use 1.5*r_basin as radius, or adjust area by 0.75^2 = 0.5625</t>
  </si>
  <si>
    <t>sq. m</t>
  </si>
  <si>
    <t>Hauling required? 0 for no, 1 for yes</t>
  </si>
  <si>
    <t>Grading required? = Excavation value</t>
  </si>
  <si>
    <t>implies $ 1 per sq. yard per foot depth</t>
  </si>
  <si>
    <t>Hauling off-site - 1 m depth</t>
  </si>
  <si>
    <t>Sod required? 0 for no, 1 for yes</t>
  </si>
  <si>
    <t>Planting required (besides seeding)? 0 for no, 1 for yes</t>
  </si>
  <si>
    <t>Soil preparation required? 0 for no, 1 for yes</t>
  </si>
  <si>
    <t>Total present value of installation and maintenance costs (TPVC)</t>
  </si>
  <si>
    <t>Total annualized cost, TPVC*CRF, $/h</t>
  </si>
  <si>
    <t>Compare to:</t>
  </si>
  <si>
    <t>$/ha</t>
  </si>
  <si>
    <t>$/acre</t>
  </si>
  <si>
    <t>(1.9% in Roley et al 2016, based on Federal water projects guidance)</t>
  </si>
  <si>
    <t>Cost, $/acre</t>
  </si>
  <si>
    <t>TOTAL NPV of O&amp;M cost</t>
  </si>
  <si>
    <t>Christianson's values are per AREA TREATED!</t>
  </si>
  <si>
    <t>Christianson's values on the basis of wetland and buffer are:</t>
  </si>
  <si>
    <t>Also, they create a large buffer (3.5 times the wetland basin area…)</t>
  </si>
  <si>
    <t>min:</t>
  </si>
  <si>
    <t>$/ha of TREATED AREA in non-land acquisition costs on the basis of a 405 hectares treated by a 4 ha wetland</t>
  </si>
  <si>
    <t>Per Christianson's 4 ha + 14 ha buffer, it's :</t>
  </si>
  <si>
    <t>FROM FWS experience:</t>
  </si>
  <si>
    <t>Size, acres</t>
  </si>
  <si>
    <t xml:space="preserve">https://stormwater.pca.state.mn.us/index.php?title=Cost-benefit_considerations_for_stormwater_ponds </t>
  </si>
  <si>
    <t>Pond (deeper, depth up to 8 ft) input assumptions</t>
  </si>
  <si>
    <t>Excavation depth (ft)</t>
  </si>
  <si>
    <t xml:space="preserve">Excavation </t>
  </si>
  <si>
    <t>Excavation - 8' depth</t>
  </si>
  <si>
    <t>implies $1.25 per sq. yard per ft depth, so $4.10 per 1 meter, assume trapezoidal shape so use 1.5*r_basin as radius, or adjust area by 0.75^2 = 0.5625</t>
  </si>
  <si>
    <t>Mulch</t>
  </si>
  <si>
    <t>Mulch required? 0 for no, 1 for yes</t>
  </si>
  <si>
    <t>Sample costs, assuming excavation</t>
  </si>
  <si>
    <t>(Which is not that far off from USFWS numbers reported below)</t>
  </si>
  <si>
    <t>On Wed, Oct 4, 2017 at 4:01 PM, Sergey Rabotyagov &lt;rabotyag@uw.edu&gt; wrote:</t>
  </si>
  <si>
    <t>Hi all,</t>
  </si>
  <si>
    <t xml:space="preserve">Zhengxin and I looked at the cost values that would be generated for the multi-model if we use subbasin-level wetland and reservoir sizes (as outlined in the attached word doc) from the wetland-level USDA model (modified with real-options land cost, also attached). </t>
  </si>
  <si>
    <t>For reservoirs (a single reservoir is built in every subbasin), the USDA model doesn’t work (it was developed for individual-level wetlands), so I’d propose we just use a combination of county-level land costs plus installation and maintenance estimates. One approach is to use Se Jong’s assumption for WCMOs in terms of installation and maintenance (in the spreadsheet) but we are also looking at other agency literature and cost guidance.</t>
  </si>
  <si>
    <t>For upland wetlands, the USDA model can work IF I understand the assumptions embedded in the Wetland guidance doc correctly.</t>
  </si>
  <si>
    <t>Specifically if we look at the circled identities</t>
  </si>
  <si>
    <t>We can write (since drainage area DAi is a constant 202 ha):</t>
  </si>
  <si>
    <t>SA = a * DA = a *202, where a = {0.01,0.03,0.05} (surface area of one wetland)</t>
  </si>
  <si>
    <t>Total wetland surface area:</t>
  </si>
  <si>
    <t>SAtot = PND_PSA = n*a*202 = a * Asb, which means a drops out and n = Asb/202 (varies by subbasin but not by small/medium/large scenario). So in this setup, within a subbasin, our n is fixed (e.g., assume a subbasin which is 20200 ha, that would mean we are looking to create 100 wetlands), but their individual size differs:</t>
  </si>
  <si>
    <t>SA_small = 202 * 0.01 = 2.02 ha</t>
  </si>
  <si>
    <t>SA_medium = 202*.03 =  6.06 ha</t>
  </si>
  <si>
    <t>SA _ large = 202*0.05 = 10.1 ha</t>
  </si>
  <si>
    <t>So if we are ok with this, we can apply the USDA estimates to the individual size wetlands, multiply those by n (varying by subbasin) and get our cost estimates for the scenarios.</t>
  </si>
  <si>
    <t>If we are ok with wetland cost scenarios created this way, Zhengxin can quickly plug these into the combined cost model and develop the cost table.</t>
  </si>
  <si>
    <t>Sergey</t>
  </si>
  <si>
    <t>Costs of installation and maintenance developed from MPCA stormwater worksheets -- not including land acquisition costs</t>
  </si>
  <si>
    <t>Costs per individual wetland in a subbasin. Number of wetlands in a subbasin = Subbasin_AREA/202 (see previous sheet)</t>
  </si>
  <si>
    <t>To these costs, we need to add area-weighted real options critical payments to get total wetland-level cost, and then multiply by n (varies by subbasin)</t>
  </si>
  <si>
    <t>Small</t>
  </si>
  <si>
    <t>Medium</t>
  </si>
  <si>
    <t>Large</t>
  </si>
  <si>
    <t>Area,ha</t>
  </si>
  <si>
    <t>Total annualized cost</t>
  </si>
  <si>
    <t xml:space="preserve">Total annualized cost </t>
  </si>
  <si>
    <t>I&amp;M Cost, annualized, no excavation</t>
  </si>
  <si>
    <t>I&amp;M Cost, annualized, excavation (1m)</t>
  </si>
  <si>
    <t>Flow-through reservoirs</t>
  </si>
  <si>
    <t>Shallow reservoir scenarios</t>
  </si>
  <si>
    <t>Deeper (2 m) reservoir scenarios</t>
  </si>
  <si>
    <t>I&amp;M Cost, annualized, excavation (2m)</t>
  </si>
  <si>
    <t xml:space="preserve">Hauling off-site </t>
  </si>
  <si>
    <t>meters</t>
  </si>
  <si>
    <t>subbasinid</t>
  </si>
  <si>
    <t>AreaHect</t>
  </si>
  <si>
    <t>AreaInAcre</t>
  </si>
  <si>
    <t>wcriticalpay</t>
  </si>
  <si>
    <t>Scenario names</t>
  </si>
  <si>
    <t>Wetland/Marsh/Small/NoExcav</t>
  </si>
  <si>
    <t>WMSN</t>
  </si>
  <si>
    <t>WMMN</t>
  </si>
  <si>
    <t>Wetland/Marsh/Medium/NoExcav</t>
  </si>
  <si>
    <t>WMLN</t>
  </si>
  <si>
    <t>Wetland/Marsh/Large/NoExcav</t>
  </si>
  <si>
    <t>WMSE</t>
  </si>
  <si>
    <t>Wetland/Marsh/Small/Excav</t>
  </si>
  <si>
    <t>WMME</t>
  </si>
  <si>
    <t>Wetland/Marsh/Medium/Excav</t>
  </si>
  <si>
    <t>WMLE</t>
  </si>
  <si>
    <t>WPSN</t>
  </si>
  <si>
    <t>WPMN</t>
  </si>
  <si>
    <t>WPLN</t>
  </si>
  <si>
    <t>WPSE</t>
  </si>
  <si>
    <t>WPME</t>
  </si>
  <si>
    <t>WPLE</t>
  </si>
  <si>
    <t>Reservoir scenarios</t>
  </si>
  <si>
    <t>RMSN</t>
  </si>
  <si>
    <t>RMMN</t>
  </si>
  <si>
    <t>RMLN</t>
  </si>
  <si>
    <t>RMSE</t>
  </si>
  <si>
    <t>RMME</t>
  </si>
  <si>
    <t>RMLE</t>
  </si>
  <si>
    <t>RPSN</t>
  </si>
  <si>
    <t>RPMN</t>
  </si>
  <si>
    <t>RPLN</t>
  </si>
  <si>
    <t>RPSE</t>
  </si>
  <si>
    <t>RPME</t>
  </si>
  <si>
    <t>RPLE</t>
  </si>
  <si>
    <t>wetlandnumber</t>
  </si>
  <si>
    <t>countyid</t>
  </si>
  <si>
    <t>subcountyarea</t>
  </si>
  <si>
    <t>Weight</t>
  </si>
  <si>
    <t>GeoTotalarea(Acre)</t>
  </si>
  <si>
    <t>countyname</t>
  </si>
  <si>
    <t>Waseca</t>
  </si>
  <si>
    <t>BlueEarth</t>
  </si>
  <si>
    <t>Freeborn</t>
  </si>
  <si>
    <t>Faribault</t>
  </si>
  <si>
    <r>
      <t xml:space="preserve">              </t>
    </r>
    <r>
      <rPr>
        <sz val="9.5"/>
        <color rgb="FF0000FF"/>
        <rFont val="Consolas"/>
        <family val="3"/>
      </rPr>
      <t>float</t>
    </r>
    <r>
      <rPr>
        <sz val="9.5"/>
        <color rgb="FF000000"/>
        <rFont val="Consolas"/>
        <family val="3"/>
      </rPr>
      <t xml:space="preserve"> IsolatedMarshLarge; </t>
    </r>
    <r>
      <rPr>
        <sz val="9.5"/>
        <color rgb="FF008000"/>
        <rFont val="Consolas"/>
        <family val="3"/>
      </rPr>
      <t>// WMLN</t>
    </r>
  </si>
  <si>
    <r>
      <t xml:space="preserve">              </t>
    </r>
    <r>
      <rPr>
        <sz val="9.5"/>
        <color rgb="FF0000FF"/>
        <rFont val="Consolas"/>
        <family val="3"/>
      </rPr>
      <t>float</t>
    </r>
    <r>
      <rPr>
        <sz val="9.5"/>
        <color rgb="FF000000"/>
        <rFont val="Consolas"/>
        <family val="3"/>
      </rPr>
      <t xml:space="preserve"> InChannelMarshSmall; </t>
    </r>
    <r>
      <rPr>
        <sz val="9.5"/>
        <color rgb="FF008000"/>
        <rFont val="Consolas"/>
        <family val="3"/>
      </rPr>
      <t>// RMSE</t>
    </r>
  </si>
  <si>
    <r>
      <t xml:space="preserve">              </t>
    </r>
    <r>
      <rPr>
        <sz val="9.5"/>
        <color rgb="FF0000FF"/>
        <rFont val="Consolas"/>
        <family val="3"/>
      </rPr>
      <t>float</t>
    </r>
    <r>
      <rPr>
        <sz val="9.5"/>
        <color rgb="FF000000"/>
        <rFont val="Consolas"/>
        <family val="3"/>
      </rPr>
      <t xml:space="preserve"> InChannelMarshMedium; </t>
    </r>
    <r>
      <rPr>
        <sz val="9.5"/>
        <color rgb="FF008000"/>
        <rFont val="Consolas"/>
        <family val="3"/>
      </rPr>
      <t>// RMME</t>
    </r>
  </si>
  <si>
    <r>
      <t xml:space="preserve">              </t>
    </r>
    <r>
      <rPr>
        <sz val="9.5"/>
        <color rgb="FF0000FF"/>
        <rFont val="Consolas"/>
        <family val="3"/>
      </rPr>
      <t>float</t>
    </r>
    <r>
      <rPr>
        <sz val="9.5"/>
        <color rgb="FF000000"/>
        <rFont val="Consolas"/>
        <family val="3"/>
      </rPr>
      <t xml:space="preserve"> InChannelMarshLarge; </t>
    </r>
    <r>
      <rPr>
        <sz val="9.5"/>
        <color rgb="FF008000"/>
        <rFont val="Consolas"/>
        <family val="3"/>
      </rPr>
      <t>// RMLE</t>
    </r>
  </si>
  <si>
    <r>
      <t xml:space="preserve">              </t>
    </r>
    <r>
      <rPr>
        <sz val="9.5"/>
        <color rgb="FF0000FF"/>
        <rFont val="Consolas"/>
        <family val="3"/>
      </rPr>
      <t>float</t>
    </r>
    <r>
      <rPr>
        <sz val="9.5"/>
        <color rgb="FF000000"/>
        <rFont val="Consolas"/>
        <family val="3"/>
      </rPr>
      <t xml:space="preserve"> InChannelPondSmall; </t>
    </r>
    <r>
      <rPr>
        <sz val="9.5"/>
        <color rgb="FF008000"/>
        <rFont val="Consolas"/>
        <family val="3"/>
      </rPr>
      <t>// RPSE</t>
    </r>
  </si>
  <si>
    <r>
      <t xml:space="preserve">              </t>
    </r>
    <r>
      <rPr>
        <sz val="9.5"/>
        <color rgb="FF0000FF"/>
        <rFont val="Consolas"/>
        <family val="3"/>
      </rPr>
      <t>float</t>
    </r>
    <r>
      <rPr>
        <sz val="9.5"/>
        <color rgb="FF000000"/>
        <rFont val="Consolas"/>
        <family val="3"/>
      </rPr>
      <t xml:space="preserve"> InChannelPondMedium; </t>
    </r>
    <r>
      <rPr>
        <sz val="9.5"/>
        <color rgb="FF008000"/>
        <rFont val="Consolas"/>
        <family val="3"/>
      </rPr>
      <t>// RPME</t>
    </r>
  </si>
  <si>
    <r>
      <t xml:space="preserve">              </t>
    </r>
    <r>
      <rPr>
        <sz val="9.5"/>
        <color rgb="FF0000FF"/>
        <rFont val="Consolas"/>
        <family val="3"/>
      </rPr>
      <t>float</t>
    </r>
    <r>
      <rPr>
        <sz val="9.5"/>
        <color rgb="FF000000"/>
        <rFont val="Consolas"/>
        <family val="3"/>
      </rPr>
      <t xml:space="preserve"> InChannelPondLarge; </t>
    </r>
    <r>
      <rPr>
        <sz val="9.5"/>
        <color rgb="FF008000"/>
        <rFont val="Consolas"/>
        <family val="3"/>
      </rPr>
      <t>// RPLE</t>
    </r>
  </si>
  <si>
    <r>
      <t xml:space="preserve">              </t>
    </r>
    <r>
      <rPr>
        <sz val="9.5"/>
        <color rgb="FF0000FF"/>
        <rFont val="Consolas"/>
        <family val="3"/>
      </rPr>
      <t>float</t>
    </r>
    <r>
      <rPr>
        <sz val="9.5"/>
        <color rgb="FF000000"/>
        <rFont val="Consolas"/>
        <family val="3"/>
      </rPr>
      <t xml:space="preserve"> IsolatedMarshMedium; </t>
    </r>
    <r>
      <rPr>
        <sz val="9.5"/>
        <color rgb="FF008000"/>
        <rFont val="Consolas"/>
        <family val="3"/>
      </rPr>
      <t>// WMME</t>
    </r>
  </si>
  <si>
    <r>
      <t>float</t>
    </r>
    <r>
      <rPr>
        <sz val="9.5"/>
        <color rgb="FF000000"/>
        <rFont val="Consolas"/>
        <family val="3"/>
      </rPr>
      <t xml:space="preserve"> IsolatedMarshSmall;  </t>
    </r>
    <r>
      <rPr>
        <sz val="9.5"/>
        <color rgb="FF008000"/>
        <rFont val="Consolas"/>
        <family val="3"/>
      </rPr>
      <t>// WMSE</t>
    </r>
  </si>
  <si>
    <t>So just to be clear what we are doing:</t>
  </si>
  <si>
    <t>Charging 0.5 m for shallow (marsh) isolated wetlands,</t>
  </si>
  <si>
    <t>Charging 1.5 m excavation for deep (pond) isolated wetlands,</t>
  </si>
  <si>
    <t>Charging 1 m for shallow in-channel wetlands and</t>
  </si>
  <si>
    <t>Charging 2 m for deep in-channel wetlands?</t>
  </si>
  <si>
    <t>Sent from my iPhone</t>
  </si>
  <si>
    <t>On Mar 8, 2018, at 6:17 AM, Amy Hansen &lt;hanse782@umn.edu&gt; wrote:</t>
  </si>
  <si>
    <t>If the average depression depth is 0.5 m can we charge for 0.5 m excavation for shallow features and 1.5 m excavation for deep ones? I agree with Sergey that we should include excavation costs for both to put them on equal footing and because it is routinely done.</t>
  </si>
  <si>
    <t>I asked a colleague (Sarah Winnikoff - who is actually studying the effect of excavation on wetland ecosystem services!) about this: </t>
  </si>
  <si>
    <r>
      <t>How common is excavation vs. not excavating for restoring isolated depressional wetlands? </t>
    </r>
    <r>
      <rPr>
        <sz val="12"/>
        <color theme="1"/>
        <rFont val="Tahoma"/>
        <family val="2"/>
      </rPr>
      <t xml:space="preserve"> </t>
    </r>
  </si>
  <si>
    <t>She said the following:</t>
  </si>
  <si>
    <r>
      <t>It is very common. I don't have exact numbers, because most different agencies and different offices within each agency have different standard operating procedures. For example, one of the offices I work with ONLY does excavations, another office will only do excavations for wetlands under a certain size due to the construction costs, yet another office does excavations ONLY when they have some long term commitment from the landowners (e.g., wetland easements).  </t>
    </r>
    <r>
      <rPr>
        <sz val="12"/>
        <color theme="1"/>
        <rFont val="Tahoma"/>
        <family val="2"/>
      </rPr>
      <t> </t>
    </r>
  </si>
  <si>
    <t>0.5 m excavation</t>
  </si>
  <si>
    <r>
      <t xml:space="preserve">              </t>
    </r>
    <r>
      <rPr>
        <sz val="9.5"/>
        <color rgb="FF0000FF"/>
        <rFont val="Consolas"/>
        <family val="3"/>
      </rPr>
      <t>float</t>
    </r>
    <r>
      <rPr>
        <sz val="9.5"/>
        <color rgb="FF000000"/>
        <rFont val="Consolas"/>
        <family val="3"/>
      </rPr>
      <t xml:space="preserve"> IsolatedPondSmall; </t>
    </r>
    <r>
      <rPr>
        <sz val="9.5"/>
        <color rgb="FF008000"/>
        <rFont val="Consolas"/>
        <family val="3"/>
      </rPr>
      <t>// WPSE</t>
    </r>
  </si>
  <si>
    <r>
      <t xml:space="preserve">              </t>
    </r>
    <r>
      <rPr>
        <sz val="9.5"/>
        <color rgb="FF0000FF"/>
        <rFont val="Consolas"/>
        <family val="3"/>
      </rPr>
      <t>float</t>
    </r>
    <r>
      <rPr>
        <sz val="9.5"/>
        <color rgb="FF000000"/>
        <rFont val="Consolas"/>
        <family val="3"/>
      </rPr>
      <t xml:space="preserve"> IsolatedPondMedium; </t>
    </r>
    <r>
      <rPr>
        <sz val="9.5"/>
        <color rgb="FF008000"/>
        <rFont val="Consolas"/>
        <family val="3"/>
      </rPr>
      <t>// WPME</t>
    </r>
  </si>
  <si>
    <r>
      <t xml:space="preserve">              </t>
    </r>
    <r>
      <rPr>
        <sz val="9.5"/>
        <color rgb="FF0000FF"/>
        <rFont val="Consolas"/>
        <family val="3"/>
      </rPr>
      <t>float</t>
    </r>
    <r>
      <rPr>
        <sz val="9.5"/>
        <color rgb="FF000000"/>
        <rFont val="Consolas"/>
        <family val="3"/>
      </rPr>
      <t xml:space="preserve"> IsolatedPondLarge; </t>
    </r>
    <r>
      <rPr>
        <sz val="9.5"/>
        <color rgb="FF008000"/>
        <rFont val="Consolas"/>
        <family val="3"/>
      </rPr>
      <t>// WPLE</t>
    </r>
  </si>
  <si>
    <t>Excavation depth, m</t>
  </si>
  <si>
    <t>Excavation cost</t>
  </si>
  <si>
    <t xml:space="preserve">Isolated (shallow) wetland scenarios, use Wetland budget, MPCA worksheet </t>
  </si>
  <si>
    <t>Isolated (deeper) wetland scenarios (ponds), use Pond budget, MPCA worksh sheet</t>
  </si>
  <si>
    <t>I&amp;M Cost, annualized, excavation (1.5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</si>
</sst>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4" formatCode="_(&quot;$&quot;* #,##0.00_);_(&quot;$&quot;* \(#,##0.00\);_(&quot;$&quot;*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i/>
      <sz val="11"/>
      <color theme="1"/>
      <name val="Calibri"/>
      <family val="2"/>
      <scheme val="minor"/>
    </font>
    <font>
      <u/>
      <sz val="11"/>
      <color theme="1"/>
      <name val="Calibri"/>
      <family val="2"/>
      <scheme val="minor"/>
    </font>
    <font>
      <b/>
      <u/>
      <sz val="11"/>
      <color theme="1"/>
      <name val="Calibri"/>
      <family val="2"/>
      <scheme val="minor"/>
    </font>
    <font>
      <strike/>
      <sz val="11"/>
      <color theme="1"/>
      <name val="Calibri"/>
      <family val="2"/>
      <scheme val="minor"/>
    </font>
    <font>
      <sz val="9"/>
      <color indexed="81"/>
      <name val="Tahoma"/>
      <family val="2"/>
    </font>
    <font>
      <b/>
      <sz val="9"/>
      <color indexed="81"/>
      <name val="Tahoma"/>
      <family val="2"/>
    </font>
    <font>
      <sz val="11"/>
      <color rgb="FF888888"/>
      <name val="Calibri"/>
      <family val="2"/>
      <scheme val="minor"/>
    </font>
    <font>
      <sz val="9"/>
      <color indexed="81"/>
      <name val="Tahoma"/>
      <charset val="1"/>
    </font>
    <font>
      <b/>
      <sz val="9"/>
      <color indexed="81"/>
      <name val="Tahoma"/>
      <charset val="1"/>
    </font>
    <font>
      <sz val="9.5"/>
      <color rgb="FF0000FF"/>
      <name val="Consolas"/>
      <family val="3"/>
    </font>
    <font>
      <sz val="9.5"/>
      <color rgb="FF000000"/>
      <name val="Consolas"/>
      <family val="3"/>
    </font>
    <font>
      <sz val="9.5"/>
      <color rgb="FF008000"/>
      <name val="Consolas"/>
      <family val="3"/>
    </font>
    <font>
      <sz val="12"/>
      <color theme="1"/>
      <name val="Times New Roman"/>
      <family val="1"/>
    </font>
    <font>
      <sz val="12"/>
      <color theme="1"/>
      <name val="Tahoma"/>
      <family val="2"/>
    </font>
    <font>
      <sz val="9.5"/>
      <color rgb="FF500050"/>
      <name val="Tahoma"/>
      <family val="2"/>
    </font>
    <font>
      <sz val="12"/>
      <color rgb="FF222222"/>
      <name val="Tahoma"/>
      <family val="2"/>
    </font>
    <font>
      <sz val="9.5"/>
      <color rgb="FF222222"/>
      <name val="Arial"/>
      <family val="2"/>
    </font>
  </fonts>
  <fills count="4">
    <fill>
      <patternFill patternType="none"/>
    </fill>
    <fill>
      <patternFill patternType="gray125"/>
    </fill>
    <fill>
      <patternFill patternType="solid">
        <fgColor rgb="FFFFFF00"/>
        <bgColor indexed="64"/>
      </patternFill>
    </fill>
    <fill>
      <patternFill patternType="solid">
        <fgColor theme="5" tint="-0.249977111117893"/>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31">
    <xf numFmtId="0" fontId="0" fillId="0" borderId="0" xfId="0"/>
    <xf numFmtId="0" fontId="2" fillId="0" borderId="0" xfId="0" applyFont="1"/>
    <xf numFmtId="0" fontId="3" fillId="0" borderId="0" xfId="2"/>
    <xf numFmtId="0" fontId="0" fillId="0" borderId="0" xfId="0" applyAlignment="1">
      <alignment horizontal="left" vertical="center" indent="1"/>
    </xf>
    <xf numFmtId="0" fontId="2" fillId="0" borderId="0" xfId="0" applyFont="1" applyAlignment="1">
      <alignment horizontal="center" vertical="center" wrapText="1"/>
    </xf>
    <xf numFmtId="0" fontId="0" fillId="0" borderId="0" xfId="0" applyAlignment="1">
      <alignment vertical="center" wrapText="1"/>
    </xf>
    <xf numFmtId="0" fontId="4" fillId="0" borderId="0" xfId="0" applyFont="1"/>
    <xf numFmtId="0" fontId="5" fillId="0" borderId="0" xfId="0" applyFont="1"/>
    <xf numFmtId="8" fontId="0" fillId="0" borderId="0" xfId="0" applyNumberFormat="1"/>
    <xf numFmtId="8" fontId="0" fillId="0" borderId="0" xfId="0" applyNumberFormat="1" applyAlignment="1">
      <alignment vertical="center" wrapText="1"/>
    </xf>
    <xf numFmtId="0" fontId="6" fillId="0" borderId="0" xfId="0" applyFont="1"/>
    <xf numFmtId="0" fontId="0" fillId="0" borderId="1" xfId="0" applyBorder="1"/>
    <xf numFmtId="0" fontId="3" fillId="0" borderId="0" xfId="2" applyAlignment="1">
      <alignment vertical="center"/>
    </xf>
    <xf numFmtId="0" fontId="10" fillId="0" borderId="0" xfId="0" applyFont="1" applyAlignment="1">
      <alignment horizontal="left" vertical="center" indent="1"/>
    </xf>
    <xf numFmtId="0" fontId="0" fillId="0" borderId="0" xfId="0" applyAlignment="1">
      <alignment wrapText="1"/>
    </xf>
    <xf numFmtId="44" fontId="0" fillId="0" borderId="0" xfId="1" applyFont="1"/>
    <xf numFmtId="0" fontId="13" fillId="0" borderId="0" xfId="0" applyFont="1" applyAlignment="1">
      <alignment vertical="center"/>
    </xf>
    <xf numFmtId="0" fontId="14" fillId="0" borderId="0" xfId="0" applyFont="1" applyAlignment="1">
      <alignment vertical="center"/>
    </xf>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44" fontId="0" fillId="0" borderId="0" xfId="0" applyNumberFormat="1"/>
    <xf numFmtId="0" fontId="0" fillId="2" borderId="0" xfId="0" applyFill="1" applyAlignment="1">
      <alignment wrapText="1"/>
    </xf>
    <xf numFmtId="44" fontId="0" fillId="2" borderId="0" xfId="0" applyNumberFormat="1" applyFill="1"/>
    <xf numFmtId="0" fontId="0" fillId="3" borderId="0" xfId="0" applyFill="1"/>
    <xf numFmtId="0" fontId="2" fillId="0" borderId="0" xfId="0" applyFont="1" applyAlignment="1">
      <alignment horizontal="center" vertical="center" wrapText="1"/>
    </xf>
    <xf numFmtId="0" fontId="0" fillId="0" borderId="0" xfId="0" applyAlignment="1">
      <alignment vertical="center" wrapText="1"/>
    </xf>
    <xf numFmtId="0" fontId="7" fillId="0" borderId="0" xfId="0" applyFont="1" applyAlignment="1">
      <alignment vertical="center"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'Wetland budget, MPCA worksheet'!$D$86</c:f>
              <c:strCache>
                <c:ptCount val="1"/>
                <c:pt idx="0">
                  <c:v>Cost, $/acre</c:v>
                </c:pt>
              </c:strCache>
            </c:strRef>
          </c:tx>
          <c:spPr>
            <a:ln w="28575" cap="rnd">
              <a:solidFill>
                <a:schemeClr val="accent2"/>
              </a:solidFill>
              <a:round/>
            </a:ln>
            <a:effectLst/>
          </c:spPr>
          <c:marker>
            <c:symbol val="none"/>
          </c:marker>
          <c:cat>
            <c:numRef>
              <c:f>'Wetland budget, MPCA worksheet'!$C$87:$C$91</c:f>
              <c:numCache>
                <c:formatCode>General</c:formatCode>
                <c:ptCount val="5"/>
                <c:pt idx="0">
                  <c:v>0.98842000000000008</c:v>
                </c:pt>
                <c:pt idx="1">
                  <c:v>2.47105</c:v>
                </c:pt>
                <c:pt idx="2">
                  <c:v>4.9915209999999997</c:v>
                </c:pt>
                <c:pt idx="3">
                  <c:v>12.35525</c:v>
                </c:pt>
                <c:pt idx="4">
                  <c:v>24.7105</c:v>
                </c:pt>
              </c:numCache>
            </c:numRef>
          </c:cat>
          <c:val>
            <c:numRef>
              <c:f>'Wetland budget, MPCA worksheet'!$D$87:$D$91</c:f>
              <c:numCache>
                <c:formatCode>General</c:formatCode>
                <c:ptCount val="5"/>
                <c:pt idx="0">
                  <c:v>2316.4580034655241</c:v>
                </c:pt>
                <c:pt idx="1">
                  <c:v>1315.2449878024786</c:v>
                </c:pt>
                <c:pt idx="2">
                  <c:v>969.99299784055074</c:v>
                </c:pt>
                <c:pt idx="3">
                  <c:v>761.47977147794813</c:v>
                </c:pt>
                <c:pt idx="4">
                  <c:v>687.21706536043143</c:v>
                </c:pt>
              </c:numCache>
            </c:numRef>
          </c:val>
          <c:smooth val="0"/>
          <c:extLst>
            <c:ext xmlns:c16="http://schemas.microsoft.com/office/drawing/2014/chart" uri="{C3380CC4-5D6E-409C-BE32-E72D297353CC}">
              <c16:uniqueId val="{00000001-FF03-4B8E-A1C4-79DB402A4B16}"/>
            </c:ext>
          </c:extLst>
        </c:ser>
        <c:dLbls>
          <c:showLegendKey val="0"/>
          <c:showVal val="0"/>
          <c:showCatName val="0"/>
          <c:showSerName val="0"/>
          <c:showPercent val="0"/>
          <c:showBubbleSize val="0"/>
        </c:dLbls>
        <c:smooth val="0"/>
        <c:axId val="351876664"/>
        <c:axId val="351877648"/>
      </c:lineChart>
      <c:catAx>
        <c:axId val="35187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77648"/>
        <c:crosses val="autoZero"/>
        <c:auto val="1"/>
        <c:lblAlgn val="ctr"/>
        <c:lblOffset val="100"/>
        <c:noMultiLvlLbl val="0"/>
      </c:catAx>
      <c:valAx>
        <c:axId val="35187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76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cid:image003.png@01D33D29.F8CFAE70" TargetMode="External"/><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11</xdr:col>
      <xdr:colOff>226485</xdr:colOff>
      <xdr:row>29</xdr:row>
      <xdr:rowOff>169193</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762000"/>
          <a:ext cx="9391650" cy="4360193"/>
        </a:xfrm>
        <a:prstGeom prst="rect">
          <a:avLst/>
        </a:prstGeom>
      </xdr:spPr>
    </xdr:pic>
    <xdr:clientData/>
  </xdr:twoCellAnchor>
  <xdr:twoCellAnchor editAs="oneCell">
    <xdr:from>
      <xdr:col>19</xdr:col>
      <xdr:colOff>314325</xdr:colOff>
      <xdr:row>24</xdr:row>
      <xdr:rowOff>38100</xdr:rowOff>
    </xdr:from>
    <xdr:to>
      <xdr:col>29</xdr:col>
      <xdr:colOff>37284</xdr:colOff>
      <xdr:row>32</xdr:row>
      <xdr:rowOff>388721</xdr:rowOff>
    </xdr:to>
    <xdr:pic>
      <xdr:nvPicPr>
        <xdr:cNvPr id="4" name="Picture 3"/>
        <xdr:cNvPicPr>
          <a:picLocks noChangeAspect="1"/>
        </xdr:cNvPicPr>
      </xdr:nvPicPr>
      <xdr:blipFill>
        <a:blip xmlns:r="http://schemas.openxmlformats.org/officeDocument/2006/relationships" r:embed="rId2"/>
        <a:stretch>
          <a:fillRect/>
        </a:stretch>
      </xdr:blipFill>
      <xdr:spPr>
        <a:xfrm>
          <a:off x="16154400" y="4629150"/>
          <a:ext cx="5818958" cy="1874621"/>
        </a:xfrm>
        <a:prstGeom prst="rect">
          <a:avLst/>
        </a:prstGeom>
      </xdr:spPr>
    </xdr:pic>
    <xdr:clientData/>
  </xdr:twoCellAnchor>
  <xdr:twoCellAnchor editAs="oneCell">
    <xdr:from>
      <xdr:col>8</xdr:col>
      <xdr:colOff>0</xdr:colOff>
      <xdr:row>46</xdr:row>
      <xdr:rowOff>0</xdr:rowOff>
    </xdr:from>
    <xdr:to>
      <xdr:col>17</xdr:col>
      <xdr:colOff>2504076</xdr:colOff>
      <xdr:row>60</xdr:row>
      <xdr:rowOff>209024</xdr:rowOff>
    </xdr:to>
    <xdr:pic>
      <xdr:nvPicPr>
        <xdr:cNvPr id="5" name="Picture 4"/>
        <xdr:cNvPicPr>
          <a:picLocks noChangeAspect="1"/>
        </xdr:cNvPicPr>
      </xdr:nvPicPr>
      <xdr:blipFill>
        <a:blip xmlns:r="http://schemas.openxmlformats.org/officeDocument/2006/relationships" r:embed="rId3"/>
        <a:stretch>
          <a:fillRect/>
        </a:stretch>
      </xdr:blipFill>
      <xdr:spPr>
        <a:xfrm>
          <a:off x="6486525" y="11449050"/>
          <a:ext cx="7990476" cy="4209524"/>
        </a:xfrm>
        <a:prstGeom prst="rect">
          <a:avLst/>
        </a:prstGeom>
      </xdr:spPr>
    </xdr:pic>
    <xdr:clientData/>
  </xdr:twoCellAnchor>
  <xdr:twoCellAnchor editAs="oneCell">
    <xdr:from>
      <xdr:col>12</xdr:col>
      <xdr:colOff>542925</xdr:colOff>
      <xdr:row>60</xdr:row>
      <xdr:rowOff>161925</xdr:rowOff>
    </xdr:from>
    <xdr:to>
      <xdr:col>17</xdr:col>
      <xdr:colOff>2218510</xdr:colOff>
      <xdr:row>62</xdr:row>
      <xdr:rowOff>93814</xdr:rowOff>
    </xdr:to>
    <xdr:pic>
      <xdr:nvPicPr>
        <xdr:cNvPr id="6" name="Picture 5"/>
        <xdr:cNvPicPr>
          <a:picLocks noChangeAspect="1"/>
        </xdr:cNvPicPr>
      </xdr:nvPicPr>
      <xdr:blipFill>
        <a:blip xmlns:r="http://schemas.openxmlformats.org/officeDocument/2006/relationships" r:embed="rId4"/>
        <a:stretch>
          <a:fillRect/>
        </a:stretch>
      </xdr:blipFill>
      <xdr:spPr>
        <a:xfrm>
          <a:off x="10010775" y="15611475"/>
          <a:ext cx="4723584" cy="503389"/>
        </a:xfrm>
        <a:prstGeom prst="rect">
          <a:avLst/>
        </a:prstGeom>
      </xdr:spPr>
    </xdr:pic>
    <xdr:clientData/>
  </xdr:twoCellAnchor>
  <xdr:twoCellAnchor editAs="oneCell">
    <xdr:from>
      <xdr:col>8</xdr:col>
      <xdr:colOff>9525</xdr:colOff>
      <xdr:row>75</xdr:row>
      <xdr:rowOff>118866</xdr:rowOff>
    </xdr:from>
    <xdr:to>
      <xdr:col>18</xdr:col>
      <xdr:colOff>294005</xdr:colOff>
      <xdr:row>95</xdr:row>
      <xdr:rowOff>28057</xdr:rowOff>
    </xdr:to>
    <xdr:pic>
      <xdr:nvPicPr>
        <xdr:cNvPr id="7" name="Picture 6"/>
        <xdr:cNvPicPr>
          <a:picLocks noChangeAspect="1"/>
        </xdr:cNvPicPr>
      </xdr:nvPicPr>
      <xdr:blipFill>
        <a:blip xmlns:r="http://schemas.openxmlformats.org/officeDocument/2006/relationships" r:embed="rId5"/>
        <a:stretch>
          <a:fillRect/>
        </a:stretch>
      </xdr:blipFill>
      <xdr:spPr>
        <a:xfrm>
          <a:off x="7038975" y="18616416"/>
          <a:ext cx="9114156" cy="3719191"/>
        </a:xfrm>
        <a:prstGeom prst="rect">
          <a:avLst/>
        </a:prstGeom>
      </xdr:spPr>
    </xdr:pic>
    <xdr:clientData/>
  </xdr:twoCellAnchor>
  <xdr:twoCellAnchor>
    <xdr:from>
      <xdr:col>1</xdr:col>
      <xdr:colOff>438150</xdr:colOff>
      <xdr:row>91</xdr:row>
      <xdr:rowOff>104775</xdr:rowOff>
    </xdr:from>
    <xdr:to>
      <xdr:col>5</xdr:col>
      <xdr:colOff>714375</xdr:colOff>
      <xdr:row>105</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314325</xdr:colOff>
      <xdr:row>24</xdr:row>
      <xdr:rowOff>38100</xdr:rowOff>
    </xdr:from>
    <xdr:to>
      <xdr:col>29</xdr:col>
      <xdr:colOff>37283</xdr:colOff>
      <xdr:row>32</xdr:row>
      <xdr:rowOff>388721</xdr:rowOff>
    </xdr:to>
    <xdr:pic>
      <xdr:nvPicPr>
        <xdr:cNvPr id="3" name="Picture 2"/>
        <xdr:cNvPicPr>
          <a:picLocks noChangeAspect="1"/>
        </xdr:cNvPicPr>
      </xdr:nvPicPr>
      <xdr:blipFill>
        <a:blip xmlns:r="http://schemas.openxmlformats.org/officeDocument/2006/relationships" r:embed="rId1"/>
        <a:stretch>
          <a:fillRect/>
        </a:stretch>
      </xdr:blipFill>
      <xdr:spPr>
        <a:xfrm>
          <a:off x="16783050" y="4629150"/>
          <a:ext cx="5818958" cy="1874621"/>
        </a:xfrm>
        <a:prstGeom prst="rect">
          <a:avLst/>
        </a:prstGeom>
      </xdr:spPr>
    </xdr:pic>
    <xdr:clientData/>
  </xdr:twoCellAnchor>
  <xdr:twoCellAnchor editAs="oneCell">
    <xdr:from>
      <xdr:col>8</xdr:col>
      <xdr:colOff>0</xdr:colOff>
      <xdr:row>46</xdr:row>
      <xdr:rowOff>0</xdr:rowOff>
    </xdr:from>
    <xdr:to>
      <xdr:col>17</xdr:col>
      <xdr:colOff>2504076</xdr:colOff>
      <xdr:row>61</xdr:row>
      <xdr:rowOff>18524</xdr:rowOff>
    </xdr:to>
    <xdr:pic>
      <xdr:nvPicPr>
        <xdr:cNvPr id="4" name="Picture 3"/>
        <xdr:cNvPicPr>
          <a:picLocks noChangeAspect="1"/>
        </xdr:cNvPicPr>
      </xdr:nvPicPr>
      <xdr:blipFill>
        <a:blip xmlns:r="http://schemas.openxmlformats.org/officeDocument/2006/relationships" r:embed="rId2"/>
        <a:stretch>
          <a:fillRect/>
        </a:stretch>
      </xdr:blipFill>
      <xdr:spPr>
        <a:xfrm>
          <a:off x="7029450" y="11449050"/>
          <a:ext cx="7990476" cy="4209524"/>
        </a:xfrm>
        <a:prstGeom prst="rect">
          <a:avLst/>
        </a:prstGeom>
      </xdr:spPr>
    </xdr:pic>
    <xdr:clientData/>
  </xdr:twoCellAnchor>
  <xdr:twoCellAnchor editAs="oneCell">
    <xdr:from>
      <xdr:col>12</xdr:col>
      <xdr:colOff>542925</xdr:colOff>
      <xdr:row>60</xdr:row>
      <xdr:rowOff>161925</xdr:rowOff>
    </xdr:from>
    <xdr:to>
      <xdr:col>17</xdr:col>
      <xdr:colOff>2218509</xdr:colOff>
      <xdr:row>62</xdr:row>
      <xdr:rowOff>93814</xdr:rowOff>
    </xdr:to>
    <xdr:pic>
      <xdr:nvPicPr>
        <xdr:cNvPr id="5" name="Picture 4"/>
        <xdr:cNvPicPr>
          <a:picLocks noChangeAspect="1"/>
        </xdr:cNvPicPr>
      </xdr:nvPicPr>
      <xdr:blipFill>
        <a:blip xmlns:r="http://schemas.openxmlformats.org/officeDocument/2006/relationships" r:embed="rId3"/>
        <a:stretch>
          <a:fillRect/>
        </a:stretch>
      </xdr:blipFill>
      <xdr:spPr>
        <a:xfrm>
          <a:off x="10010775" y="15611475"/>
          <a:ext cx="4723584" cy="503389"/>
        </a:xfrm>
        <a:prstGeom prst="rect">
          <a:avLst/>
        </a:prstGeom>
      </xdr:spPr>
    </xdr:pic>
    <xdr:clientData/>
  </xdr:twoCellAnchor>
  <xdr:twoCellAnchor editAs="oneCell">
    <xdr:from>
      <xdr:col>8</xdr:col>
      <xdr:colOff>9525</xdr:colOff>
      <xdr:row>75</xdr:row>
      <xdr:rowOff>118866</xdr:rowOff>
    </xdr:from>
    <xdr:to>
      <xdr:col>18</xdr:col>
      <xdr:colOff>294006</xdr:colOff>
      <xdr:row>95</xdr:row>
      <xdr:rowOff>28057</xdr:rowOff>
    </xdr:to>
    <xdr:pic>
      <xdr:nvPicPr>
        <xdr:cNvPr id="6" name="Picture 5"/>
        <xdr:cNvPicPr>
          <a:picLocks noChangeAspect="1"/>
        </xdr:cNvPicPr>
      </xdr:nvPicPr>
      <xdr:blipFill>
        <a:blip xmlns:r="http://schemas.openxmlformats.org/officeDocument/2006/relationships" r:embed="rId4"/>
        <a:stretch>
          <a:fillRect/>
        </a:stretch>
      </xdr:blipFill>
      <xdr:spPr>
        <a:xfrm>
          <a:off x="7038975" y="18616416"/>
          <a:ext cx="9114156" cy="3719191"/>
        </a:xfrm>
        <a:prstGeom prst="rect">
          <a:avLst/>
        </a:prstGeom>
      </xdr:spPr>
    </xdr:pic>
    <xdr:clientData/>
  </xdr:twoCellAnchor>
  <xdr:twoCellAnchor editAs="oneCell">
    <xdr:from>
      <xdr:col>0</xdr:col>
      <xdr:colOff>171450</xdr:colOff>
      <xdr:row>6</xdr:row>
      <xdr:rowOff>200024</xdr:rowOff>
    </xdr:from>
    <xdr:to>
      <xdr:col>13</xdr:col>
      <xdr:colOff>172840</xdr:colOff>
      <xdr:row>31</xdr:row>
      <xdr:rowOff>9525</xdr:rowOff>
    </xdr:to>
    <xdr:pic>
      <xdr:nvPicPr>
        <xdr:cNvPr id="8" name="Picture 7"/>
        <xdr:cNvPicPr>
          <a:picLocks noChangeAspect="1"/>
        </xdr:cNvPicPr>
      </xdr:nvPicPr>
      <xdr:blipFill>
        <a:blip xmlns:r="http://schemas.openxmlformats.org/officeDocument/2006/relationships" r:embed="rId5"/>
        <a:stretch>
          <a:fillRect/>
        </a:stretch>
      </xdr:blipFill>
      <xdr:spPr>
        <a:xfrm>
          <a:off x="171450" y="1352549"/>
          <a:ext cx="10755115" cy="45815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30</xdr:row>
      <xdr:rowOff>114300</xdr:rowOff>
    </xdr:from>
    <xdr:to>
      <xdr:col>16</xdr:col>
      <xdr:colOff>333375</xdr:colOff>
      <xdr:row>49</xdr:row>
      <xdr:rowOff>95250</xdr:rowOff>
    </xdr:to>
    <xdr:pic>
      <xdr:nvPicPr>
        <xdr:cNvPr id="2" name="Picture 1" descr="cid:image003.png@01D33D29.F8CFAE7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5829300"/>
          <a:ext cx="10086975"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4</xdr:col>
      <xdr:colOff>770255</xdr:colOff>
      <xdr:row>12</xdr:row>
      <xdr:rowOff>12065</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0"/>
          <a:ext cx="3303905" cy="1917065"/>
        </a:xfrm>
        <a:prstGeom prst="rect">
          <a:avLst/>
        </a:prstGeom>
        <a:noFill/>
      </xdr:spPr>
    </xdr:pic>
    <xdr:clientData/>
  </xdr:twoCellAnchor>
  <xdr:twoCellAnchor editAs="oneCell">
    <xdr:from>
      <xdr:col>0</xdr:col>
      <xdr:colOff>0</xdr:colOff>
      <xdr:row>36</xdr:row>
      <xdr:rowOff>0</xdr:rowOff>
    </xdr:from>
    <xdr:to>
      <xdr:col>4</xdr:col>
      <xdr:colOff>866350</xdr:colOff>
      <xdr:row>39</xdr:row>
      <xdr:rowOff>180881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8382000"/>
          <a:ext cx="3400000" cy="7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tormwater.pca.state.mn.us/index.php?title=Cost-benefit_considerations_for_stormwater_wetland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tormwater.pca.state.mn.us/index.php?title=Cost-benefit_considerations_for_stormwater_ponds" TargetMode="External"/><Relationship Id="rId1" Type="http://schemas.openxmlformats.org/officeDocument/2006/relationships/hyperlink" Target="https://stormwater.pca.state.mn.us/index.php?title=Cost-benefit_considerations_for_stormwater_wetland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rabotyag@uw.edu"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hanse782@umn.ed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91"/>
  <sheetViews>
    <sheetView topLeftCell="A55" zoomScale="90" zoomScaleNormal="90" workbookViewId="0">
      <selection activeCell="S14" sqref="S14"/>
    </sheetView>
  </sheetViews>
  <sheetFormatPr defaultRowHeight="15" x14ac:dyDescent="0.25"/>
  <cols>
    <col min="2" max="2" width="24.140625" customWidth="1"/>
    <col min="4" max="4" width="11.5703125" bestFit="1" customWidth="1"/>
    <col min="5" max="5" width="19.5703125" customWidth="1"/>
    <col min="6" max="6" width="16.42578125" customWidth="1"/>
    <col min="7" max="7" width="10.85546875" bestFit="1" customWidth="1"/>
    <col min="18" max="18" width="50.140625" bestFit="1" customWidth="1"/>
  </cols>
  <sheetData>
    <row r="1" spans="1:21" x14ac:dyDescent="0.25">
      <c r="A1" s="1" t="s">
        <v>0</v>
      </c>
    </row>
    <row r="2" spans="1:21" x14ac:dyDescent="0.25">
      <c r="A2" s="1" t="s">
        <v>14</v>
      </c>
    </row>
    <row r="3" spans="1:21" x14ac:dyDescent="0.25">
      <c r="A3" s="6" t="s">
        <v>15</v>
      </c>
    </row>
    <row r="4" spans="1:21" x14ac:dyDescent="0.25">
      <c r="A4" s="6" t="s">
        <v>16</v>
      </c>
    </row>
    <row r="5" spans="1:21" x14ac:dyDescent="0.25">
      <c r="A5" s="2" t="s">
        <v>1</v>
      </c>
      <c r="R5" t="s">
        <v>11</v>
      </c>
    </row>
    <row r="6" spans="1:21" ht="15.75" thickBot="1" x14ac:dyDescent="0.3"/>
    <row r="7" spans="1:21" ht="15.75" thickBot="1" x14ac:dyDescent="0.3">
      <c r="R7" t="s">
        <v>58</v>
      </c>
      <c r="S7" s="11">
        <v>70</v>
      </c>
      <c r="T7">
        <f>2.47105*S7</f>
        <v>172.9735</v>
      </c>
      <c r="U7" t="s">
        <v>59</v>
      </c>
    </row>
    <row r="8" spans="1:21" x14ac:dyDescent="0.25">
      <c r="R8" t="s">
        <v>60</v>
      </c>
      <c r="S8">
        <f>SQRT(S7*10000/PI())</f>
        <v>472.0348719413148</v>
      </c>
      <c r="T8">
        <f>3.28084*S8</f>
        <v>1548.6708892599434</v>
      </c>
      <c r="U8" t="s">
        <v>61</v>
      </c>
    </row>
    <row r="9" spans="1:21" x14ac:dyDescent="0.25">
      <c r="R9" t="s">
        <v>12</v>
      </c>
      <c r="S9">
        <v>25</v>
      </c>
      <c r="T9">
        <f>0.3048*S9</f>
        <v>7.62</v>
      </c>
      <c r="U9" t="s">
        <v>65</v>
      </c>
    </row>
    <row r="10" spans="1:21" x14ac:dyDescent="0.25">
      <c r="R10" t="s">
        <v>64</v>
      </c>
      <c r="S10">
        <f>2*PI()*S8</f>
        <v>2965.8825718580665</v>
      </c>
      <c r="T10">
        <f>3.28084*S10</f>
        <v>9730.5861770548181</v>
      </c>
      <c r="U10" t="s">
        <v>61</v>
      </c>
    </row>
    <row r="11" spans="1:21" x14ac:dyDescent="0.25">
      <c r="R11" t="s">
        <v>63</v>
      </c>
      <c r="S11">
        <f>0.0001*S10*T9</f>
        <v>2.2600025197558469</v>
      </c>
    </row>
    <row r="12" spans="1:21" x14ac:dyDescent="0.25">
      <c r="R12" t="s">
        <v>66</v>
      </c>
      <c r="S12">
        <f>S7+S11</f>
        <v>72.260002519755844</v>
      </c>
      <c r="T12">
        <f>2.47105*S12</f>
        <v>178.55807922644269</v>
      </c>
      <c r="U12" t="s">
        <v>59</v>
      </c>
    </row>
    <row r="13" spans="1:21" x14ac:dyDescent="0.25">
      <c r="R13" t="s">
        <v>208</v>
      </c>
      <c r="S13">
        <v>1</v>
      </c>
      <c r="T13" t="s">
        <v>65</v>
      </c>
    </row>
    <row r="14" spans="1:21" x14ac:dyDescent="0.25">
      <c r="R14" t="s">
        <v>13</v>
      </c>
      <c r="S14">
        <v>1</v>
      </c>
    </row>
    <row r="15" spans="1:21" x14ac:dyDescent="0.25">
      <c r="R15" t="s">
        <v>56</v>
      </c>
      <c r="S15">
        <v>0</v>
      </c>
    </row>
    <row r="16" spans="1:21" x14ac:dyDescent="0.25">
      <c r="R16" t="s">
        <v>62</v>
      </c>
      <c r="S16">
        <v>0</v>
      </c>
    </row>
    <row r="17" spans="18:19" x14ac:dyDescent="0.25">
      <c r="R17" t="s">
        <v>67</v>
      </c>
      <c r="S17">
        <v>0</v>
      </c>
    </row>
    <row r="18" spans="18:19" x14ac:dyDescent="0.25">
      <c r="R18" t="s">
        <v>68</v>
      </c>
      <c r="S18">
        <v>0</v>
      </c>
    </row>
    <row r="19" spans="18:19" x14ac:dyDescent="0.25">
      <c r="R19" t="s">
        <v>72</v>
      </c>
      <c r="S19">
        <v>0</v>
      </c>
    </row>
    <row r="20" spans="18:19" x14ac:dyDescent="0.25">
      <c r="R20" t="s">
        <v>73</v>
      </c>
      <c r="S20">
        <f>S14</f>
        <v>1</v>
      </c>
    </row>
    <row r="21" spans="18:19" x14ac:dyDescent="0.25">
      <c r="R21" t="s">
        <v>76</v>
      </c>
      <c r="S21">
        <v>0</v>
      </c>
    </row>
    <row r="22" spans="18:19" x14ac:dyDescent="0.25">
      <c r="R22" t="s">
        <v>77</v>
      </c>
      <c r="S22">
        <v>0</v>
      </c>
    </row>
    <row r="23" spans="18:19" x14ac:dyDescent="0.25">
      <c r="R23" t="s">
        <v>78</v>
      </c>
      <c r="S23">
        <v>0</v>
      </c>
    </row>
    <row r="25" spans="18:19" x14ac:dyDescent="0.25">
      <c r="R25" s="7" t="s">
        <v>17</v>
      </c>
    </row>
    <row r="26" spans="18:19" x14ac:dyDescent="0.25">
      <c r="R26" t="s">
        <v>5</v>
      </c>
      <c r="S26">
        <v>2</v>
      </c>
    </row>
    <row r="27" spans="18:19" x14ac:dyDescent="0.25">
      <c r="R27" t="s">
        <v>6</v>
      </c>
      <c r="S27">
        <v>0.2</v>
      </c>
    </row>
    <row r="28" spans="18:19" x14ac:dyDescent="0.25">
      <c r="R28" t="s">
        <v>7</v>
      </c>
      <c r="S28">
        <v>0</v>
      </c>
    </row>
    <row r="29" spans="18:19" x14ac:dyDescent="0.25">
      <c r="R29" t="s">
        <v>8</v>
      </c>
      <c r="S29">
        <v>0</v>
      </c>
    </row>
    <row r="30" spans="18:19" x14ac:dyDescent="0.25">
      <c r="R30" t="s">
        <v>9</v>
      </c>
      <c r="S30">
        <v>2</v>
      </c>
    </row>
    <row r="31" spans="18:19" x14ac:dyDescent="0.25">
      <c r="R31" t="s">
        <v>10</v>
      </c>
      <c r="S31">
        <v>2</v>
      </c>
    </row>
    <row r="32" spans="18:19" x14ac:dyDescent="0.25">
      <c r="R32" t="s">
        <v>55</v>
      </c>
      <c r="S32">
        <v>4</v>
      </c>
    </row>
    <row r="33" spans="2:19" ht="45" x14ac:dyDescent="0.25">
      <c r="B33" s="4" t="s">
        <v>18</v>
      </c>
      <c r="C33" s="4" t="s">
        <v>19</v>
      </c>
      <c r="D33" s="4" t="s">
        <v>20</v>
      </c>
      <c r="E33" s="4" t="s">
        <v>21</v>
      </c>
      <c r="F33" s="4" t="s">
        <v>22</v>
      </c>
    </row>
    <row r="34" spans="2:19" ht="15" customHeight="1" x14ac:dyDescent="0.25">
      <c r="B34" s="28" t="s">
        <v>23</v>
      </c>
      <c r="C34" s="28"/>
      <c r="D34" s="28"/>
      <c r="E34" s="28"/>
      <c r="F34" s="28"/>
      <c r="R34" s="7" t="s">
        <v>52</v>
      </c>
    </row>
    <row r="35" spans="2:19" ht="30" x14ac:dyDescent="0.25">
      <c r="B35" s="5" t="s">
        <v>24</v>
      </c>
      <c r="C35" s="5" t="s">
        <v>25</v>
      </c>
      <c r="D35" s="5"/>
      <c r="E35" s="9">
        <v>350</v>
      </c>
      <c r="F35" s="9">
        <v>0</v>
      </c>
      <c r="R35" t="s">
        <v>53</v>
      </c>
      <c r="S35">
        <v>50</v>
      </c>
    </row>
    <row r="36" spans="2:19" ht="30" x14ac:dyDescent="0.25">
      <c r="B36" s="5" t="s">
        <v>26</v>
      </c>
      <c r="C36" s="5" t="s">
        <v>27</v>
      </c>
      <c r="D36" s="5">
        <f>11959.9*S12*S17</f>
        <v>0</v>
      </c>
      <c r="E36" s="9">
        <v>1.5</v>
      </c>
      <c r="F36" s="9">
        <f>D36*E36</f>
        <v>0</v>
      </c>
      <c r="R36" t="s">
        <v>54</v>
      </c>
      <c r="S36">
        <v>1.9E-2</v>
      </c>
    </row>
    <row r="37" spans="2:19" ht="30" x14ac:dyDescent="0.25">
      <c r="B37" s="5" t="s">
        <v>28</v>
      </c>
      <c r="C37" s="5" t="s">
        <v>29</v>
      </c>
      <c r="D37" s="5">
        <f>T10*S16</f>
        <v>0</v>
      </c>
      <c r="E37" s="9">
        <v>3</v>
      </c>
      <c r="F37" s="9">
        <v>0</v>
      </c>
      <c r="R37" t="s">
        <v>84</v>
      </c>
    </row>
    <row r="38" spans="2:19" ht="30" x14ac:dyDescent="0.25">
      <c r="B38" s="5" t="s">
        <v>30</v>
      </c>
      <c r="C38" s="5" t="s">
        <v>27</v>
      </c>
      <c r="D38" s="5"/>
      <c r="E38" s="9">
        <v>4.5</v>
      </c>
      <c r="F38" s="9">
        <v>0</v>
      </c>
    </row>
    <row r="39" spans="2:19" ht="15" customHeight="1" x14ac:dyDescent="0.25">
      <c r="B39" s="28" t="s">
        <v>31</v>
      </c>
      <c r="C39" s="28"/>
      <c r="D39" s="28"/>
      <c r="E39" s="28"/>
      <c r="F39" s="28"/>
    </row>
    <row r="40" spans="2:19" ht="30" x14ac:dyDescent="0.25">
      <c r="B40" s="5" t="s">
        <v>32</v>
      </c>
      <c r="C40" s="5" t="s">
        <v>27</v>
      </c>
      <c r="D40" s="5">
        <f>11959.9*S12*S18</f>
        <v>0</v>
      </c>
      <c r="E40" s="9">
        <v>5</v>
      </c>
      <c r="F40" s="9">
        <v>0</v>
      </c>
      <c r="G40" t="s">
        <v>70</v>
      </c>
    </row>
    <row r="41" spans="2:19" x14ac:dyDescent="0.25">
      <c r="B41" s="5" t="s">
        <v>209</v>
      </c>
      <c r="C41" s="5" t="s">
        <v>71</v>
      </c>
      <c r="D41" s="5">
        <f>0.5625*S7*10000*S14</f>
        <v>393750</v>
      </c>
      <c r="E41" s="9">
        <f>2.62*S13</f>
        <v>2.62</v>
      </c>
      <c r="F41" s="9">
        <f>E41*D41</f>
        <v>1031625</v>
      </c>
    </row>
    <row r="42" spans="2:19" ht="30" x14ac:dyDescent="0.25">
      <c r="B42" s="5" t="s">
        <v>33</v>
      </c>
      <c r="C42" s="5" t="s">
        <v>27</v>
      </c>
      <c r="D42" s="5"/>
      <c r="E42" s="9">
        <v>1</v>
      </c>
      <c r="F42" s="9">
        <v>0</v>
      </c>
    </row>
    <row r="43" spans="2:19" ht="30" x14ac:dyDescent="0.25">
      <c r="B43" s="5" t="s">
        <v>34</v>
      </c>
      <c r="C43" s="5" t="s">
        <v>27</v>
      </c>
      <c r="D43" s="5">
        <f>11959.9*S12*S20</f>
        <v>864222.40413602791</v>
      </c>
      <c r="E43" s="9">
        <v>1.5</v>
      </c>
      <c r="F43" s="9">
        <f>E43*D43</f>
        <v>1296333.6062040417</v>
      </c>
    </row>
    <row r="44" spans="2:19" ht="30" x14ac:dyDescent="0.25">
      <c r="B44" s="5" t="s">
        <v>35</v>
      </c>
      <c r="C44" s="5" t="s">
        <v>27</v>
      </c>
      <c r="E44" s="9">
        <v>5</v>
      </c>
      <c r="F44" s="9">
        <v>0</v>
      </c>
      <c r="G44" t="s">
        <v>74</v>
      </c>
    </row>
    <row r="45" spans="2:19" ht="30" x14ac:dyDescent="0.25">
      <c r="B45" s="5" t="s">
        <v>75</v>
      </c>
      <c r="C45" s="5"/>
      <c r="D45" s="5">
        <f>0.5625*S7*10000*S14</f>
        <v>393750</v>
      </c>
      <c r="E45" s="9">
        <v>2.62</v>
      </c>
      <c r="F45" s="9">
        <f>E45*D45</f>
        <v>1031625</v>
      </c>
    </row>
    <row r="46" spans="2:19" ht="15" customHeight="1" x14ac:dyDescent="0.25">
      <c r="B46" s="28" t="s">
        <v>36</v>
      </c>
      <c r="C46" s="28"/>
      <c r="D46" s="28"/>
      <c r="E46" s="28"/>
      <c r="F46" s="28"/>
      <c r="I46" t="s">
        <v>81</v>
      </c>
    </row>
    <row r="47" spans="2:19" x14ac:dyDescent="0.25">
      <c r="B47" s="5" t="s">
        <v>2</v>
      </c>
      <c r="C47" s="5" t="s">
        <v>25</v>
      </c>
      <c r="D47" s="5">
        <v>1</v>
      </c>
      <c r="E47" s="9">
        <v>2000</v>
      </c>
      <c r="F47" s="9">
        <f>E47*D47</f>
        <v>2000</v>
      </c>
    </row>
    <row r="48" spans="2:19" x14ac:dyDescent="0.25">
      <c r="B48" s="5" t="s">
        <v>3</v>
      </c>
      <c r="C48" s="5" t="s">
        <v>25</v>
      </c>
      <c r="D48" s="5">
        <v>1</v>
      </c>
      <c r="E48" s="9">
        <v>3500</v>
      </c>
      <c r="F48" s="9">
        <f>E48*D48</f>
        <v>3500</v>
      </c>
    </row>
    <row r="49" spans="2:9" ht="15" customHeight="1" x14ac:dyDescent="0.25">
      <c r="B49" s="28" t="s">
        <v>37</v>
      </c>
      <c r="C49" s="28"/>
      <c r="D49" s="28"/>
      <c r="E49" s="28"/>
      <c r="F49" s="28"/>
    </row>
    <row r="50" spans="2:9" ht="30" x14ac:dyDescent="0.25">
      <c r="B50" s="5" t="s">
        <v>38</v>
      </c>
      <c r="C50" s="5" t="s">
        <v>27</v>
      </c>
      <c r="D50" s="5">
        <f>11959.9*S11*S21</f>
        <v>0</v>
      </c>
      <c r="E50" s="9">
        <v>4.5</v>
      </c>
      <c r="F50" s="9">
        <f>E50*D50</f>
        <v>0</v>
      </c>
    </row>
    <row r="51" spans="2:9" ht="30" x14ac:dyDescent="0.25">
      <c r="B51" s="5" t="s">
        <v>4</v>
      </c>
      <c r="C51" s="5" t="s">
        <v>27</v>
      </c>
      <c r="D51" s="5">
        <f>11959.9*S11*S23</f>
        <v>0</v>
      </c>
      <c r="E51" s="9">
        <v>25</v>
      </c>
      <c r="F51" s="9">
        <f>E51*D51</f>
        <v>0</v>
      </c>
    </row>
    <row r="52" spans="2:9" ht="30" x14ac:dyDescent="0.25">
      <c r="B52" s="5" t="s">
        <v>39</v>
      </c>
      <c r="C52" s="5" t="s">
        <v>27</v>
      </c>
      <c r="D52" s="5">
        <f>11959.9*S11</f>
        <v>27029.404136027952</v>
      </c>
      <c r="E52" s="9">
        <v>0.5</v>
      </c>
      <c r="F52" s="9">
        <f>E52*D52</f>
        <v>13514.702068013976</v>
      </c>
    </row>
    <row r="53" spans="2:9" ht="30" x14ac:dyDescent="0.25">
      <c r="B53" s="5" t="s">
        <v>40</v>
      </c>
      <c r="C53" s="5" t="s">
        <v>27</v>
      </c>
      <c r="D53" s="5">
        <f>11959.9*S11*S22</f>
        <v>0</v>
      </c>
      <c r="E53" s="9">
        <v>30</v>
      </c>
      <c r="F53" s="9">
        <f>E53*D53</f>
        <v>0</v>
      </c>
    </row>
    <row r="54" spans="2:9" ht="15" customHeight="1" x14ac:dyDescent="0.25">
      <c r="B54" s="29"/>
      <c r="C54" s="29"/>
      <c r="D54" s="29"/>
      <c r="E54" s="29"/>
      <c r="F54" s="9"/>
    </row>
    <row r="55" spans="2:9" ht="15" customHeight="1" x14ac:dyDescent="0.25">
      <c r="B55" s="29"/>
      <c r="C55" s="29"/>
      <c r="D55" s="29"/>
      <c r="E55" s="29"/>
      <c r="F55" s="9"/>
    </row>
    <row r="56" spans="2:9" ht="15" customHeight="1" x14ac:dyDescent="0.25">
      <c r="B56" s="28" t="s">
        <v>41</v>
      </c>
      <c r="C56" s="28"/>
      <c r="D56" s="28"/>
      <c r="E56" s="28"/>
      <c r="F56" s="28"/>
    </row>
    <row r="57" spans="2:9" x14ac:dyDescent="0.25">
      <c r="B57" s="5" t="s">
        <v>5</v>
      </c>
      <c r="C57" s="5" t="s">
        <v>42</v>
      </c>
      <c r="D57" s="5">
        <f>S26</f>
        <v>2</v>
      </c>
      <c r="E57" s="9">
        <v>100</v>
      </c>
      <c r="F57" s="9">
        <f>E57*D57</f>
        <v>200</v>
      </c>
    </row>
    <row r="58" spans="2:9" x14ac:dyDescent="0.25">
      <c r="B58" s="5" t="s">
        <v>43</v>
      </c>
      <c r="C58" s="5" t="s">
        <v>42</v>
      </c>
      <c r="D58" s="5">
        <f>S27</f>
        <v>0.2</v>
      </c>
      <c r="E58" s="9">
        <v>500</v>
      </c>
      <c r="F58" s="9">
        <f t="shared" ref="F58:F64" si="0">E58*D58</f>
        <v>100</v>
      </c>
    </row>
    <row r="59" spans="2:9" ht="30" x14ac:dyDescent="0.25">
      <c r="B59" s="5" t="s">
        <v>44</v>
      </c>
      <c r="C59" s="5" t="s">
        <v>45</v>
      </c>
      <c r="D59" s="5">
        <f>0</f>
        <v>0</v>
      </c>
      <c r="E59" s="9">
        <v>10</v>
      </c>
      <c r="F59" s="9">
        <f t="shared" si="0"/>
        <v>0</v>
      </c>
    </row>
    <row r="60" spans="2:9" ht="30" x14ac:dyDescent="0.25">
      <c r="B60" s="5" t="s">
        <v>46</v>
      </c>
      <c r="C60" s="5" t="s">
        <v>27</v>
      </c>
      <c r="D60" s="5">
        <f>S28</f>
        <v>0</v>
      </c>
      <c r="E60" s="9">
        <v>75</v>
      </c>
      <c r="F60" s="9">
        <f t="shared" si="0"/>
        <v>0</v>
      </c>
    </row>
    <row r="61" spans="2:9" ht="30" x14ac:dyDescent="0.25">
      <c r="B61" s="5" t="s">
        <v>47</v>
      </c>
      <c r="C61" s="5" t="s">
        <v>48</v>
      </c>
      <c r="D61" s="5">
        <v>0</v>
      </c>
      <c r="E61" s="9">
        <v>10</v>
      </c>
      <c r="F61" s="9">
        <f t="shared" si="0"/>
        <v>0</v>
      </c>
    </row>
    <row r="62" spans="2:9" x14ac:dyDescent="0.25">
      <c r="B62" s="5" t="s">
        <v>49</v>
      </c>
      <c r="C62" s="5" t="s">
        <v>42</v>
      </c>
      <c r="D62" s="5">
        <f>S32</f>
        <v>4</v>
      </c>
      <c r="E62" s="9">
        <v>150</v>
      </c>
      <c r="F62" s="9">
        <f t="shared" si="0"/>
        <v>600</v>
      </c>
      <c r="I62" t="s">
        <v>87</v>
      </c>
    </row>
    <row r="63" spans="2:9" x14ac:dyDescent="0.25">
      <c r="B63" s="5" t="s">
        <v>50</v>
      </c>
      <c r="C63" s="5" t="s">
        <v>42</v>
      </c>
      <c r="D63" s="5">
        <f>S30</f>
        <v>2</v>
      </c>
      <c r="E63" s="9">
        <v>125</v>
      </c>
      <c r="F63" s="9">
        <f t="shared" si="0"/>
        <v>250</v>
      </c>
      <c r="I63" t="s">
        <v>89</v>
      </c>
    </row>
    <row r="64" spans="2:9" x14ac:dyDescent="0.25">
      <c r="B64" s="5" t="s">
        <v>10</v>
      </c>
      <c r="C64" s="5" t="s">
        <v>42</v>
      </c>
      <c r="D64" s="5">
        <f>S31</f>
        <v>2</v>
      </c>
      <c r="E64" s="9">
        <v>125</v>
      </c>
      <c r="F64" s="9">
        <f t="shared" si="0"/>
        <v>250</v>
      </c>
    </row>
    <row r="65" spans="2:17" ht="15" customHeight="1" x14ac:dyDescent="0.25">
      <c r="B65" s="29"/>
      <c r="C65" s="29"/>
      <c r="D65" s="29"/>
      <c r="E65" s="29"/>
      <c r="F65" s="9"/>
      <c r="I65" t="s">
        <v>88</v>
      </c>
      <c r="P65" t="s">
        <v>90</v>
      </c>
    </row>
    <row r="66" spans="2:17" ht="15" customHeight="1" x14ac:dyDescent="0.25">
      <c r="B66" s="30"/>
      <c r="C66" s="30"/>
      <c r="D66" s="30"/>
      <c r="E66" s="30"/>
      <c r="F66" s="9">
        <v>0</v>
      </c>
      <c r="P66">
        <f>(660.69-529.08)</f>
        <v>131.61000000000001</v>
      </c>
      <c r="Q66" t="s">
        <v>91</v>
      </c>
    </row>
    <row r="67" spans="2:17" ht="15" customHeight="1" x14ac:dyDescent="0.25">
      <c r="B67" s="29" t="s">
        <v>51</v>
      </c>
      <c r="C67" s="29"/>
      <c r="D67" s="29"/>
      <c r="E67" s="29"/>
      <c r="F67" s="9">
        <f>SUM(F57:F64)</f>
        <v>1400</v>
      </c>
    </row>
    <row r="68" spans="2:17" ht="15" customHeight="1" x14ac:dyDescent="0.25">
      <c r="B68" s="5" t="s">
        <v>86</v>
      </c>
      <c r="C68" s="5"/>
      <c r="D68" s="5"/>
      <c r="E68" s="5"/>
      <c r="F68" s="9">
        <f>PV(S36,50,-F67,0)</f>
        <v>44932.397575686911</v>
      </c>
      <c r="G68" s="8"/>
    </row>
    <row r="69" spans="2:17" ht="15" customHeight="1" x14ac:dyDescent="0.25">
      <c r="B69" s="5"/>
      <c r="C69" s="5"/>
      <c r="D69" s="5"/>
      <c r="E69" s="5"/>
      <c r="F69" s="9"/>
      <c r="I69" t="s">
        <v>92</v>
      </c>
      <c r="P69">
        <f>P66*405/18</f>
        <v>2961.2250000000004</v>
      </c>
      <c r="Q69" t="s">
        <v>82</v>
      </c>
    </row>
    <row r="70" spans="2:17" x14ac:dyDescent="0.25">
      <c r="B70" s="1" t="s">
        <v>79</v>
      </c>
      <c r="F70" s="8">
        <f>F68+SUM(F50:F53)+F48+F47+SUM(F35:F38)+SUM(F40:F45)</f>
        <v>3423530.7058477425</v>
      </c>
      <c r="P70">
        <f>P69/2.471</f>
        <v>1198.3913395386485</v>
      </c>
      <c r="Q70" t="s">
        <v>83</v>
      </c>
    </row>
    <row r="71" spans="2:17" x14ac:dyDescent="0.25">
      <c r="B71" s="1" t="s">
        <v>69</v>
      </c>
      <c r="D71">
        <f>S36*(1+S36)^S35/((1+S36)^S35-1)</f>
        <v>3.1157918907882748E-2</v>
      </c>
    </row>
    <row r="72" spans="2:17" x14ac:dyDescent="0.25">
      <c r="B72" s="1" t="s">
        <v>128</v>
      </c>
      <c r="F72" s="8">
        <f>F70*D71</f>
        <v>106670.09211145055</v>
      </c>
    </row>
    <row r="73" spans="2:17" x14ac:dyDescent="0.25">
      <c r="B73" s="10" t="s">
        <v>57</v>
      </c>
      <c r="F73" s="8">
        <f>F70*D71/T7</f>
        <v>616.68459105846011</v>
      </c>
      <c r="I73" t="s">
        <v>104</v>
      </c>
    </row>
    <row r="75" spans="2:17" x14ac:dyDescent="0.25">
      <c r="B75" s="10" t="s">
        <v>80</v>
      </c>
      <c r="F75" s="8">
        <f>F70*D71/S7</f>
        <v>1523.8584587350078</v>
      </c>
    </row>
    <row r="78" spans="2:17" x14ac:dyDescent="0.25">
      <c r="F78" t="s">
        <v>93</v>
      </c>
    </row>
    <row r="84" spans="2:4" x14ac:dyDescent="0.25">
      <c r="B84" t="s">
        <v>103</v>
      </c>
    </row>
    <row r="86" spans="2:4" x14ac:dyDescent="0.25">
      <c r="C86" t="s">
        <v>94</v>
      </c>
      <c r="D86" t="s">
        <v>85</v>
      </c>
    </row>
    <row r="87" spans="2:4" x14ac:dyDescent="0.25">
      <c r="C87">
        <v>0.98842000000000008</v>
      </c>
      <c r="D87">
        <v>2316.4580034655241</v>
      </c>
    </row>
    <row r="88" spans="2:4" x14ac:dyDescent="0.25">
      <c r="C88">
        <v>2.47105</v>
      </c>
      <c r="D88">
        <v>1315.2449878024786</v>
      </c>
    </row>
    <row r="89" spans="2:4" x14ac:dyDescent="0.25">
      <c r="C89">
        <v>4.9915209999999997</v>
      </c>
      <c r="D89">
        <v>969.99299784055074</v>
      </c>
    </row>
    <row r="90" spans="2:4" x14ac:dyDescent="0.25">
      <c r="C90">
        <v>12.35525</v>
      </c>
      <c r="D90">
        <v>761.47977147794813</v>
      </c>
    </row>
    <row r="91" spans="2:4" x14ac:dyDescent="0.25">
      <c r="C91">
        <v>24.7105</v>
      </c>
      <c r="D91">
        <v>687.21706536043143</v>
      </c>
    </row>
  </sheetData>
  <mergeCells count="10">
    <mergeCell ref="B67:E67"/>
    <mergeCell ref="B55:E55"/>
    <mergeCell ref="B56:F56"/>
    <mergeCell ref="B65:E65"/>
    <mergeCell ref="B66:E66"/>
    <mergeCell ref="B34:F34"/>
    <mergeCell ref="B39:F39"/>
    <mergeCell ref="B46:F46"/>
    <mergeCell ref="B49:F49"/>
    <mergeCell ref="B54:E54"/>
  </mergeCells>
  <hyperlinks>
    <hyperlink ref="A5" r:id="rId1"/>
  </hyperlinks>
  <pageMargins left="0.7" right="0.7" top="0.75" bottom="0.75" header="0.3" footer="0.3"/>
  <pageSetup orientation="portrait" verticalDpi="0"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78"/>
  <sheetViews>
    <sheetView topLeftCell="A49" zoomScale="80" zoomScaleNormal="80" workbookViewId="0">
      <selection activeCell="F72" sqref="F72"/>
    </sheetView>
  </sheetViews>
  <sheetFormatPr defaultRowHeight="15" x14ac:dyDescent="0.25"/>
  <cols>
    <col min="2" max="2" width="24.140625" customWidth="1"/>
    <col min="4" max="4" width="11.5703125" bestFit="1" customWidth="1"/>
    <col min="5" max="5" width="19.5703125" customWidth="1"/>
    <col min="6" max="6" width="22" bestFit="1" customWidth="1"/>
    <col min="7" max="7" width="10.85546875" bestFit="1" customWidth="1"/>
    <col min="18" max="18" width="50.140625" bestFit="1" customWidth="1"/>
  </cols>
  <sheetData>
    <row r="1" spans="1:21" x14ac:dyDescent="0.25">
      <c r="A1" s="1" t="s">
        <v>0</v>
      </c>
    </row>
    <row r="2" spans="1:21" x14ac:dyDescent="0.25">
      <c r="A2" s="1" t="s">
        <v>14</v>
      </c>
    </row>
    <row r="3" spans="1:21" x14ac:dyDescent="0.25">
      <c r="A3" s="6" t="s">
        <v>15</v>
      </c>
    </row>
    <row r="4" spans="1:21" x14ac:dyDescent="0.25">
      <c r="A4" s="6" t="s">
        <v>16</v>
      </c>
    </row>
    <row r="5" spans="1:21" x14ac:dyDescent="0.25">
      <c r="A5" s="2" t="s">
        <v>1</v>
      </c>
      <c r="R5" t="s">
        <v>96</v>
      </c>
    </row>
    <row r="6" spans="1:21" ht="15.75" thickBot="1" x14ac:dyDescent="0.3">
      <c r="A6" s="2" t="s">
        <v>95</v>
      </c>
    </row>
    <row r="7" spans="1:21" ht="15.75" thickBot="1" x14ac:dyDescent="0.3">
      <c r="R7" t="s">
        <v>58</v>
      </c>
      <c r="S7" s="11">
        <v>10.1</v>
      </c>
      <c r="T7">
        <f>2.47105*S7</f>
        <v>24.957604999999997</v>
      </c>
      <c r="U7" t="s">
        <v>59</v>
      </c>
    </row>
    <row r="8" spans="1:21" x14ac:dyDescent="0.25">
      <c r="R8" t="s">
        <v>97</v>
      </c>
      <c r="S8">
        <f>3.28084*T8</f>
        <v>4.9212600000000002</v>
      </c>
      <c r="T8">
        <v>1.5</v>
      </c>
      <c r="U8" t="s">
        <v>137</v>
      </c>
    </row>
    <row r="9" spans="1:21" x14ac:dyDescent="0.25">
      <c r="R9" t="s">
        <v>60</v>
      </c>
      <c r="S9">
        <f>SQRT(S7*10000/PI())</f>
        <v>179.30225459977589</v>
      </c>
      <c r="T9">
        <f>3.28084*S9</f>
        <v>588.2620089811287</v>
      </c>
      <c r="U9" t="s">
        <v>61</v>
      </c>
    </row>
    <row r="10" spans="1:21" x14ac:dyDescent="0.25">
      <c r="R10" t="s">
        <v>12</v>
      </c>
      <c r="S10">
        <v>25</v>
      </c>
      <c r="T10">
        <f>0.3048*S10</f>
        <v>7.62</v>
      </c>
      <c r="U10" t="s">
        <v>65</v>
      </c>
    </row>
    <row r="11" spans="1:21" x14ac:dyDescent="0.25">
      <c r="R11" t="s">
        <v>64</v>
      </c>
      <c r="S11">
        <f>2*PI()*S9</f>
        <v>1126.5892916454852</v>
      </c>
      <c r="T11">
        <f>3.28084*S11</f>
        <v>3696.1592116021739</v>
      </c>
      <c r="U11" t="s">
        <v>61</v>
      </c>
    </row>
    <row r="12" spans="1:21" x14ac:dyDescent="0.25">
      <c r="R12" t="s">
        <v>63</v>
      </c>
      <c r="S12">
        <f>0.0001*S11*T10</f>
        <v>0.85846104023385983</v>
      </c>
    </row>
    <row r="13" spans="1:21" x14ac:dyDescent="0.25">
      <c r="R13" t="s">
        <v>66</v>
      </c>
      <c r="S13">
        <f>S7+S12</f>
        <v>10.958461040233859</v>
      </c>
      <c r="T13">
        <f>2.47105*S13</f>
        <v>27.078905153469876</v>
      </c>
      <c r="U13" t="s">
        <v>59</v>
      </c>
    </row>
    <row r="15" spans="1:21" x14ac:dyDescent="0.25">
      <c r="R15" t="s">
        <v>13</v>
      </c>
      <c r="S15">
        <v>1</v>
      </c>
    </row>
    <row r="16" spans="1:21" x14ac:dyDescent="0.25">
      <c r="R16" t="s">
        <v>56</v>
      </c>
      <c r="S16">
        <v>0</v>
      </c>
    </row>
    <row r="17" spans="18:19" x14ac:dyDescent="0.25">
      <c r="R17" t="s">
        <v>62</v>
      </c>
      <c r="S17">
        <v>0</v>
      </c>
    </row>
    <row r="18" spans="18:19" x14ac:dyDescent="0.25">
      <c r="R18" t="s">
        <v>67</v>
      </c>
      <c r="S18">
        <v>0</v>
      </c>
    </row>
    <row r="19" spans="18:19" x14ac:dyDescent="0.25">
      <c r="R19" t="s">
        <v>68</v>
      </c>
      <c r="S19">
        <v>0</v>
      </c>
    </row>
    <row r="20" spans="18:19" x14ac:dyDescent="0.25">
      <c r="R20" t="s">
        <v>72</v>
      </c>
      <c r="S20">
        <v>0</v>
      </c>
    </row>
    <row r="21" spans="18:19" x14ac:dyDescent="0.25">
      <c r="R21" t="s">
        <v>73</v>
      </c>
      <c r="S21">
        <f>S15</f>
        <v>1</v>
      </c>
    </row>
    <row r="22" spans="18:19" x14ac:dyDescent="0.25">
      <c r="R22" t="s">
        <v>76</v>
      </c>
      <c r="S22">
        <v>0</v>
      </c>
    </row>
    <row r="23" spans="18:19" x14ac:dyDescent="0.25">
      <c r="R23" t="s">
        <v>77</v>
      </c>
      <c r="S23">
        <v>0</v>
      </c>
    </row>
    <row r="24" spans="18:19" x14ac:dyDescent="0.25">
      <c r="R24" t="s">
        <v>78</v>
      </c>
      <c r="S24">
        <v>0</v>
      </c>
    </row>
    <row r="25" spans="18:19" x14ac:dyDescent="0.25">
      <c r="R25" t="s">
        <v>102</v>
      </c>
      <c r="S25">
        <v>0</v>
      </c>
    </row>
    <row r="26" spans="18:19" x14ac:dyDescent="0.25">
      <c r="R26" s="7" t="s">
        <v>17</v>
      </c>
    </row>
    <row r="27" spans="18:19" x14ac:dyDescent="0.25">
      <c r="R27" t="s">
        <v>5</v>
      </c>
      <c r="S27">
        <v>2</v>
      </c>
    </row>
    <row r="28" spans="18:19" x14ac:dyDescent="0.25">
      <c r="R28" t="s">
        <v>6</v>
      </c>
      <c r="S28">
        <v>0.2</v>
      </c>
    </row>
    <row r="29" spans="18:19" x14ac:dyDescent="0.25">
      <c r="R29" t="s">
        <v>7</v>
      </c>
      <c r="S29">
        <v>0</v>
      </c>
    </row>
    <row r="30" spans="18:19" x14ac:dyDescent="0.25">
      <c r="R30" t="s">
        <v>8</v>
      </c>
      <c r="S30">
        <v>0</v>
      </c>
    </row>
    <row r="31" spans="18:19" x14ac:dyDescent="0.25">
      <c r="R31" t="s">
        <v>9</v>
      </c>
      <c r="S31">
        <v>2</v>
      </c>
    </row>
    <row r="32" spans="18:19" x14ac:dyDescent="0.25">
      <c r="R32" t="s">
        <v>10</v>
      </c>
      <c r="S32">
        <v>2</v>
      </c>
    </row>
    <row r="33" spans="2:19" ht="45" x14ac:dyDescent="0.25">
      <c r="B33" s="4" t="s">
        <v>18</v>
      </c>
      <c r="C33" s="4" t="s">
        <v>19</v>
      </c>
      <c r="D33" s="4" t="s">
        <v>20</v>
      </c>
      <c r="E33" s="4" t="s">
        <v>21</v>
      </c>
      <c r="F33" s="4" t="s">
        <v>22</v>
      </c>
      <c r="R33" t="s">
        <v>55</v>
      </c>
      <c r="S33">
        <v>4</v>
      </c>
    </row>
    <row r="34" spans="2:19" ht="15" customHeight="1" x14ac:dyDescent="0.25">
      <c r="B34" s="28" t="s">
        <v>23</v>
      </c>
      <c r="C34" s="28"/>
      <c r="D34" s="28"/>
      <c r="E34" s="28"/>
      <c r="F34" s="28"/>
    </row>
    <row r="35" spans="2:19" ht="30" x14ac:dyDescent="0.25">
      <c r="B35" s="5" t="s">
        <v>24</v>
      </c>
      <c r="C35" s="5" t="s">
        <v>25</v>
      </c>
      <c r="D35" s="5"/>
      <c r="E35" s="9">
        <v>350</v>
      </c>
      <c r="F35" s="9">
        <v>0</v>
      </c>
      <c r="R35" s="7" t="s">
        <v>52</v>
      </c>
    </row>
    <row r="36" spans="2:19" ht="30" x14ac:dyDescent="0.25">
      <c r="B36" s="5" t="s">
        <v>26</v>
      </c>
      <c r="C36" s="5" t="s">
        <v>27</v>
      </c>
      <c r="D36" s="5">
        <f>11959.9*S13*S18</f>
        <v>0</v>
      </c>
      <c r="E36" s="9">
        <v>1.5</v>
      </c>
      <c r="F36" s="9">
        <f>D36*E36</f>
        <v>0</v>
      </c>
      <c r="R36" t="s">
        <v>53</v>
      </c>
      <c r="S36">
        <v>50</v>
      </c>
    </row>
    <row r="37" spans="2:19" ht="30" x14ac:dyDescent="0.25">
      <c r="B37" s="5" t="s">
        <v>28</v>
      </c>
      <c r="C37" s="5" t="s">
        <v>29</v>
      </c>
      <c r="D37" s="5">
        <f>T11*S17</f>
        <v>0</v>
      </c>
      <c r="E37" s="9">
        <v>3</v>
      </c>
      <c r="F37" s="9">
        <v>0</v>
      </c>
      <c r="R37" t="s">
        <v>54</v>
      </c>
      <c r="S37">
        <v>1.9E-2</v>
      </c>
    </row>
    <row r="38" spans="2:19" ht="30" x14ac:dyDescent="0.25">
      <c r="B38" s="5" t="s">
        <v>30</v>
      </c>
      <c r="C38" s="5" t="s">
        <v>27</v>
      </c>
      <c r="D38" s="5"/>
      <c r="E38" s="9">
        <v>4.5</v>
      </c>
      <c r="F38" s="9">
        <v>0</v>
      </c>
      <c r="R38" t="s">
        <v>84</v>
      </c>
    </row>
    <row r="39" spans="2:19" ht="15" customHeight="1" x14ac:dyDescent="0.25">
      <c r="B39" s="28" t="s">
        <v>31</v>
      </c>
      <c r="C39" s="28"/>
      <c r="D39" s="28"/>
      <c r="E39" s="28"/>
      <c r="F39" s="28"/>
    </row>
    <row r="40" spans="2:19" ht="30" x14ac:dyDescent="0.25">
      <c r="B40" s="5" t="s">
        <v>99</v>
      </c>
      <c r="C40" s="5" t="s">
        <v>27</v>
      </c>
      <c r="D40" s="5">
        <f>11959.9*S13*S19</f>
        <v>0</v>
      </c>
      <c r="E40" s="9">
        <v>10</v>
      </c>
      <c r="F40" s="9">
        <v>0</v>
      </c>
      <c r="G40" t="s">
        <v>100</v>
      </c>
    </row>
    <row r="41" spans="2:19" x14ac:dyDescent="0.25">
      <c r="B41" s="5" t="s">
        <v>98</v>
      </c>
      <c r="C41" s="5" t="s">
        <v>71</v>
      </c>
      <c r="D41" s="5">
        <f>0.5625*S7*10000*S15</f>
        <v>56812.499999999993</v>
      </c>
      <c r="E41" s="9">
        <v>4.0999999999999996</v>
      </c>
      <c r="F41" s="9">
        <f>D41*E41*S15*T8</f>
        <v>349396.87499999988</v>
      </c>
    </row>
    <row r="42" spans="2:19" x14ac:dyDescent="0.25">
      <c r="B42" s="5"/>
      <c r="C42" s="5"/>
      <c r="D42" s="5"/>
      <c r="E42" s="9"/>
      <c r="F42" s="9"/>
    </row>
    <row r="43" spans="2:19" ht="30" x14ac:dyDescent="0.25">
      <c r="B43" s="5" t="s">
        <v>34</v>
      </c>
      <c r="C43" s="5" t="s">
        <v>27</v>
      </c>
      <c r="D43" s="5">
        <f>11959.9*S13*S21</f>
        <v>131062.09819509293</v>
      </c>
      <c r="E43" s="9">
        <v>1.5</v>
      </c>
      <c r="F43" s="9">
        <f>E43*D43</f>
        <v>196593.14729263939</v>
      </c>
    </row>
    <row r="44" spans="2:19" ht="30" x14ac:dyDescent="0.25">
      <c r="B44" s="5" t="s">
        <v>35</v>
      </c>
      <c r="C44" s="5" t="s">
        <v>27</v>
      </c>
      <c r="E44" s="9">
        <v>5</v>
      </c>
      <c r="F44" s="9">
        <v>0</v>
      </c>
      <c r="G44" t="s">
        <v>74</v>
      </c>
    </row>
    <row r="45" spans="2:19" x14ac:dyDescent="0.25">
      <c r="B45" s="5" t="s">
        <v>136</v>
      </c>
      <c r="C45" s="5"/>
      <c r="D45" s="5">
        <f>0.5625*S7*10000*S15</f>
        <v>56812.499999999993</v>
      </c>
      <c r="E45" s="9">
        <v>4.0999999999999996</v>
      </c>
      <c r="F45" s="9">
        <f>E45*D45</f>
        <v>232931.24999999994</v>
      </c>
    </row>
    <row r="46" spans="2:19" ht="15" customHeight="1" x14ac:dyDescent="0.25">
      <c r="B46" s="28" t="s">
        <v>36</v>
      </c>
      <c r="C46" s="28"/>
      <c r="D46" s="28"/>
      <c r="E46" s="28"/>
      <c r="F46" s="28"/>
      <c r="I46" t="s">
        <v>81</v>
      </c>
    </row>
    <row r="47" spans="2:19" x14ac:dyDescent="0.25">
      <c r="B47" s="5" t="s">
        <v>2</v>
      </c>
      <c r="C47" s="5" t="s">
        <v>25</v>
      </c>
      <c r="D47" s="5">
        <v>1</v>
      </c>
      <c r="E47" s="9">
        <v>2000</v>
      </c>
      <c r="F47" s="9">
        <f>E47*D47</f>
        <v>2000</v>
      </c>
    </row>
    <row r="48" spans="2:19" x14ac:dyDescent="0.25">
      <c r="B48" s="5" t="s">
        <v>3</v>
      </c>
      <c r="C48" s="5" t="s">
        <v>25</v>
      </c>
      <c r="D48" s="5">
        <v>1</v>
      </c>
      <c r="E48" s="9">
        <v>3500</v>
      </c>
      <c r="F48" s="9">
        <f>E48*D48</f>
        <v>3500</v>
      </c>
    </row>
    <row r="49" spans="2:9" ht="15" customHeight="1" x14ac:dyDescent="0.25">
      <c r="B49" s="28" t="s">
        <v>37</v>
      </c>
      <c r="C49" s="28"/>
      <c r="D49" s="28"/>
      <c r="E49" s="28"/>
      <c r="F49" s="28"/>
    </row>
    <row r="50" spans="2:9" ht="30" x14ac:dyDescent="0.25">
      <c r="B50" s="5" t="s">
        <v>38</v>
      </c>
      <c r="C50" s="5" t="s">
        <v>27</v>
      </c>
      <c r="D50" s="5">
        <f>11959.9*S12*S22</f>
        <v>0</v>
      </c>
      <c r="E50" s="9">
        <v>4.5</v>
      </c>
      <c r="F50" s="9">
        <f>E50*D50</f>
        <v>0</v>
      </c>
    </row>
    <row r="51" spans="2:9" ht="30" x14ac:dyDescent="0.25">
      <c r="B51" s="5" t="s">
        <v>4</v>
      </c>
      <c r="C51" s="5" t="s">
        <v>27</v>
      </c>
      <c r="D51" s="5">
        <f>11959.9*S12*S24</f>
        <v>0</v>
      </c>
      <c r="E51" s="9">
        <v>25</v>
      </c>
      <c r="F51" s="9">
        <f>E51*D51</f>
        <v>0</v>
      </c>
    </row>
    <row r="52" spans="2:9" ht="30" x14ac:dyDescent="0.25">
      <c r="B52" s="5" t="s">
        <v>39</v>
      </c>
      <c r="C52" s="5" t="s">
        <v>27</v>
      </c>
      <c r="D52" s="5">
        <f>11959.9*S12</f>
        <v>10267.10819509294</v>
      </c>
      <c r="E52" s="9">
        <v>0.5</v>
      </c>
      <c r="F52" s="9">
        <f>E52*D52</f>
        <v>5133.5540975464701</v>
      </c>
    </row>
    <row r="53" spans="2:9" ht="30" x14ac:dyDescent="0.25">
      <c r="B53" s="5" t="s">
        <v>101</v>
      </c>
      <c r="C53" s="5" t="s">
        <v>27</v>
      </c>
      <c r="D53" s="5">
        <f>11959.9*S12*S25</f>
        <v>0</v>
      </c>
      <c r="E53" s="9">
        <v>2</v>
      </c>
      <c r="F53" s="9">
        <f>E53*D53</f>
        <v>0</v>
      </c>
    </row>
    <row r="54" spans="2:9" ht="15" customHeight="1" x14ac:dyDescent="0.25">
      <c r="B54" s="29"/>
      <c r="C54" s="29"/>
      <c r="D54" s="29"/>
      <c r="E54" s="29"/>
      <c r="F54" s="9"/>
    </row>
    <row r="55" spans="2:9" ht="15" customHeight="1" x14ac:dyDescent="0.25">
      <c r="B55" s="29"/>
      <c r="C55" s="29"/>
      <c r="D55" s="29"/>
      <c r="E55" s="29"/>
      <c r="F55" s="9"/>
    </row>
    <row r="56" spans="2:9" ht="15" customHeight="1" x14ac:dyDescent="0.25">
      <c r="B56" s="28" t="s">
        <v>41</v>
      </c>
      <c r="C56" s="28"/>
      <c r="D56" s="28"/>
      <c r="E56" s="28"/>
      <c r="F56" s="28"/>
    </row>
    <row r="57" spans="2:9" x14ac:dyDescent="0.25">
      <c r="B57" s="5" t="s">
        <v>5</v>
      </c>
      <c r="C57" s="5" t="s">
        <v>42</v>
      </c>
      <c r="D57" s="5">
        <f>S27</f>
        <v>2</v>
      </c>
      <c r="E57" s="9">
        <v>100</v>
      </c>
      <c r="F57" s="9">
        <f>E57*D57</f>
        <v>200</v>
      </c>
    </row>
    <row r="58" spans="2:9" x14ac:dyDescent="0.25">
      <c r="B58" s="5" t="s">
        <v>43</v>
      </c>
      <c r="C58" s="5" t="s">
        <v>42</v>
      </c>
      <c r="D58" s="5">
        <f>S28</f>
        <v>0.2</v>
      </c>
      <c r="E58" s="9">
        <v>500</v>
      </c>
      <c r="F58" s="9">
        <f t="shared" ref="F58:F64" si="0">E58*D58</f>
        <v>100</v>
      </c>
    </row>
    <row r="59" spans="2:9" ht="30" x14ac:dyDescent="0.25">
      <c r="B59" s="5" t="s">
        <v>44</v>
      </c>
      <c r="C59" s="5" t="s">
        <v>45</v>
      </c>
      <c r="D59" s="5">
        <f>0</f>
        <v>0</v>
      </c>
      <c r="E59" s="9">
        <v>10</v>
      </c>
      <c r="F59" s="9">
        <f t="shared" si="0"/>
        <v>0</v>
      </c>
    </row>
    <row r="60" spans="2:9" ht="30" x14ac:dyDescent="0.25">
      <c r="B60" s="5" t="s">
        <v>46</v>
      </c>
      <c r="C60" s="5" t="s">
        <v>27</v>
      </c>
      <c r="D60" s="5">
        <f>S29</f>
        <v>0</v>
      </c>
      <c r="E60" s="9">
        <v>75</v>
      </c>
      <c r="F60" s="9">
        <f t="shared" si="0"/>
        <v>0</v>
      </c>
    </row>
    <row r="61" spans="2:9" ht="30" x14ac:dyDescent="0.25">
      <c r="B61" s="5" t="s">
        <v>47</v>
      </c>
      <c r="C61" s="5" t="s">
        <v>48</v>
      </c>
      <c r="D61" s="5">
        <v>0</v>
      </c>
      <c r="E61" s="9">
        <v>10</v>
      </c>
      <c r="F61" s="9">
        <f t="shared" si="0"/>
        <v>0</v>
      </c>
    </row>
    <row r="62" spans="2:9" x14ac:dyDescent="0.25">
      <c r="B62" s="5" t="s">
        <v>49</v>
      </c>
      <c r="C62" s="5" t="s">
        <v>42</v>
      </c>
      <c r="D62" s="5">
        <f>S33</f>
        <v>4</v>
      </c>
      <c r="E62" s="9">
        <v>150</v>
      </c>
      <c r="F62" s="9">
        <f t="shared" si="0"/>
        <v>600</v>
      </c>
      <c r="I62" t="s">
        <v>87</v>
      </c>
    </row>
    <row r="63" spans="2:9" x14ac:dyDescent="0.25">
      <c r="B63" s="5" t="s">
        <v>50</v>
      </c>
      <c r="C63" s="5" t="s">
        <v>42</v>
      </c>
      <c r="D63" s="5">
        <f>S31</f>
        <v>2</v>
      </c>
      <c r="E63" s="9">
        <v>125</v>
      </c>
      <c r="F63" s="9">
        <f t="shared" si="0"/>
        <v>250</v>
      </c>
      <c r="I63" t="s">
        <v>89</v>
      </c>
    </row>
    <row r="64" spans="2:9" x14ac:dyDescent="0.25">
      <c r="B64" s="5" t="s">
        <v>10</v>
      </c>
      <c r="C64" s="5" t="s">
        <v>42</v>
      </c>
      <c r="D64" s="5">
        <f>S32</f>
        <v>2</v>
      </c>
      <c r="E64" s="9">
        <v>125</v>
      </c>
      <c r="F64" s="9">
        <f t="shared" si="0"/>
        <v>250</v>
      </c>
    </row>
    <row r="65" spans="2:17" ht="15" customHeight="1" x14ac:dyDescent="0.25">
      <c r="B65" s="29"/>
      <c r="C65" s="29"/>
      <c r="D65" s="29"/>
      <c r="E65" s="29"/>
      <c r="F65" s="9"/>
      <c r="I65" t="s">
        <v>88</v>
      </c>
      <c r="P65" t="s">
        <v>90</v>
      </c>
    </row>
    <row r="66" spans="2:17" ht="15" customHeight="1" x14ac:dyDescent="0.25">
      <c r="B66" s="30"/>
      <c r="C66" s="30"/>
      <c r="D66" s="30"/>
      <c r="E66" s="30"/>
      <c r="F66" s="9">
        <v>0</v>
      </c>
      <c r="P66">
        <f>(660.69-529.08)</f>
        <v>131.61000000000001</v>
      </c>
      <c r="Q66" t="s">
        <v>91</v>
      </c>
    </row>
    <row r="67" spans="2:17" ht="15" customHeight="1" x14ac:dyDescent="0.25">
      <c r="B67" s="29" t="s">
        <v>51</v>
      </c>
      <c r="C67" s="29"/>
      <c r="D67" s="29"/>
      <c r="E67" s="29"/>
      <c r="F67" s="9">
        <f>SUM(F57:F64)</f>
        <v>1400</v>
      </c>
    </row>
    <row r="68" spans="2:17" ht="15" customHeight="1" x14ac:dyDescent="0.25">
      <c r="B68" s="5" t="s">
        <v>86</v>
      </c>
      <c r="C68" s="5"/>
      <c r="D68" s="5"/>
      <c r="E68" s="5"/>
      <c r="F68" s="9">
        <f>PV(S37,50,-F67,0)</f>
        <v>44932.397575686911</v>
      </c>
      <c r="G68" s="8"/>
    </row>
    <row r="69" spans="2:17" ht="15" customHeight="1" x14ac:dyDescent="0.25">
      <c r="B69" s="5"/>
      <c r="C69" s="5"/>
      <c r="D69" s="5"/>
      <c r="E69" s="5"/>
      <c r="F69" s="9"/>
      <c r="I69" t="s">
        <v>92</v>
      </c>
      <c r="P69">
        <f>P66*405/18</f>
        <v>2961.2250000000004</v>
      </c>
      <c r="Q69" t="s">
        <v>82</v>
      </c>
    </row>
    <row r="70" spans="2:17" x14ac:dyDescent="0.25">
      <c r="B70" s="1" t="s">
        <v>79</v>
      </c>
      <c r="F70" s="8">
        <f>F68+SUM(F50:F53)+F48+F47+SUM(F35:F38)+SUM(F40:F45)</f>
        <v>834487.22396587254</v>
      </c>
      <c r="P70">
        <f>P69/2.471</f>
        <v>1198.3913395386485</v>
      </c>
      <c r="Q70" t="s">
        <v>83</v>
      </c>
    </row>
    <row r="71" spans="2:17" x14ac:dyDescent="0.25">
      <c r="B71" s="1" t="s">
        <v>69</v>
      </c>
      <c r="D71">
        <f>S37*(1+S37)^S36/((1+S37)^S36-1)</f>
        <v>3.1157918907882748E-2</v>
      </c>
    </row>
    <row r="72" spans="2:17" x14ac:dyDescent="0.25">
      <c r="B72" s="1" t="s">
        <v>129</v>
      </c>
      <c r="F72" s="8">
        <f>F70*D71</f>
        <v>26000.885253992845</v>
      </c>
    </row>
    <row r="73" spans="2:17" x14ac:dyDescent="0.25">
      <c r="B73" s="10" t="s">
        <v>57</v>
      </c>
      <c r="F73" s="8">
        <f>F70*D71/T7</f>
        <v>1041.8020981577699</v>
      </c>
    </row>
    <row r="75" spans="2:17" x14ac:dyDescent="0.25">
      <c r="B75" s="10" t="s">
        <v>80</v>
      </c>
      <c r="F75" s="8">
        <f>F70*D71/S7</f>
        <v>2574.3450746527569</v>
      </c>
    </row>
    <row r="78" spans="2:17" x14ac:dyDescent="0.25">
      <c r="F78" t="s">
        <v>93</v>
      </c>
    </row>
  </sheetData>
  <mergeCells count="10">
    <mergeCell ref="B56:F56"/>
    <mergeCell ref="B65:E65"/>
    <mergeCell ref="B66:E66"/>
    <mergeCell ref="B67:E67"/>
    <mergeCell ref="B34:F34"/>
    <mergeCell ref="B39:F39"/>
    <mergeCell ref="B46:F46"/>
    <mergeCell ref="B49:F49"/>
    <mergeCell ref="B54:E54"/>
    <mergeCell ref="B55:E55"/>
  </mergeCells>
  <hyperlinks>
    <hyperlink ref="A5" r:id="rId1"/>
    <hyperlink ref="A6" r:id="rId2"/>
  </hyperlinks>
  <pageMargins left="0.7" right="0.7" top="0.75" bottom="0.75" header="0.3" footer="0.3"/>
  <pageSetup orientation="portrait" verticalDpi="0" r:id="rId3"/>
  <drawing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opLeftCell="A28" workbookViewId="0">
      <selection activeCell="D25" sqref="D25"/>
    </sheetView>
  </sheetViews>
  <sheetFormatPr defaultRowHeight="15" x14ac:dyDescent="0.25"/>
  <sheetData>
    <row r="1" spans="1:1" x14ac:dyDescent="0.25">
      <c r="A1" s="12" t="s">
        <v>105</v>
      </c>
    </row>
    <row r="2" spans="1:1" x14ac:dyDescent="0.25">
      <c r="A2" s="3" t="s">
        <v>106</v>
      </c>
    </row>
    <row r="3" spans="1:1" x14ac:dyDescent="0.25">
      <c r="A3" s="3"/>
    </row>
    <row r="4" spans="1:1" x14ac:dyDescent="0.25">
      <c r="A4" s="3" t="s">
        <v>107</v>
      </c>
    </row>
    <row r="5" spans="1:1" x14ac:dyDescent="0.25">
      <c r="A5" s="3"/>
    </row>
    <row r="6" spans="1:1" x14ac:dyDescent="0.25">
      <c r="A6" s="3" t="s">
        <v>108</v>
      </c>
    </row>
    <row r="7" spans="1:1" x14ac:dyDescent="0.25">
      <c r="A7" s="3"/>
    </row>
    <row r="8" spans="1:1" x14ac:dyDescent="0.25">
      <c r="A8" s="3" t="s">
        <v>109</v>
      </c>
    </row>
    <row r="9" spans="1:1" x14ac:dyDescent="0.25">
      <c r="A9" s="3"/>
    </row>
    <row r="10" spans="1:1" x14ac:dyDescent="0.25">
      <c r="A10" s="3" t="s">
        <v>110</v>
      </c>
    </row>
    <row r="12" spans="1:1" x14ac:dyDescent="0.25">
      <c r="A12" s="3"/>
    </row>
    <row r="13" spans="1:1" x14ac:dyDescent="0.25">
      <c r="A13" s="3" t="s">
        <v>111</v>
      </c>
    </row>
    <row r="14" spans="1:1" x14ac:dyDescent="0.25">
      <c r="A14" s="3"/>
    </row>
    <row r="15" spans="1:1" x14ac:dyDescent="0.25">
      <c r="A15" s="3" t="s">
        <v>112</v>
      </c>
    </row>
    <row r="16" spans="1:1" x14ac:dyDescent="0.25">
      <c r="A16" s="3"/>
    </row>
    <row r="17" spans="1:1" x14ac:dyDescent="0.25">
      <c r="A17" s="3" t="s">
        <v>113</v>
      </c>
    </row>
    <row r="18" spans="1:1" x14ac:dyDescent="0.25">
      <c r="A18" s="3"/>
    </row>
    <row r="19" spans="1:1" x14ac:dyDescent="0.25">
      <c r="A19" s="3" t="s">
        <v>114</v>
      </c>
    </row>
    <row r="20" spans="1:1" x14ac:dyDescent="0.25">
      <c r="A20" s="3"/>
    </row>
    <row r="21" spans="1:1" x14ac:dyDescent="0.25">
      <c r="A21" s="3" t="s">
        <v>115</v>
      </c>
    </row>
    <row r="22" spans="1:1" x14ac:dyDescent="0.25">
      <c r="A22" s="3" t="s">
        <v>116</v>
      </c>
    </row>
    <row r="23" spans="1:1" x14ac:dyDescent="0.25">
      <c r="A23" s="3" t="s">
        <v>117</v>
      </c>
    </row>
    <row r="24" spans="1:1" x14ac:dyDescent="0.25">
      <c r="A24" s="3"/>
    </row>
    <row r="25" spans="1:1" x14ac:dyDescent="0.25">
      <c r="A25" s="3" t="s">
        <v>118</v>
      </c>
    </row>
    <row r="26" spans="1:1" x14ac:dyDescent="0.25">
      <c r="A26" s="3"/>
    </row>
    <row r="27" spans="1:1" x14ac:dyDescent="0.25">
      <c r="A27" s="3" t="s">
        <v>119</v>
      </c>
    </row>
    <row r="28" spans="1:1" x14ac:dyDescent="0.25">
      <c r="A28" s="13"/>
    </row>
    <row r="29" spans="1:1" x14ac:dyDescent="0.25">
      <c r="A29" s="13" t="s">
        <v>120</v>
      </c>
    </row>
  </sheetData>
  <hyperlinks>
    <hyperlink ref="A1" r:id="rId1" display="mailto:rabotyag@uw.edu"/>
  </hyperlinks>
  <pageMargins left="0.7" right="0.7" top="0.75" bottom="0.75" header="0.3" footer="0.3"/>
  <pageSetup orientation="portrait" verticalDpi="0" r:id="rId2"/>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55"/>
  <sheetViews>
    <sheetView topLeftCell="A25" workbookViewId="0">
      <selection activeCell="E45" sqref="E45"/>
    </sheetView>
  </sheetViews>
  <sheetFormatPr defaultRowHeight="15" x14ac:dyDescent="0.25"/>
  <cols>
    <col min="4" max="4" width="10.5703125" bestFit="1" customWidth="1"/>
    <col min="5" max="5" width="14.85546875" customWidth="1"/>
    <col min="6" max="6" width="12.85546875" customWidth="1"/>
    <col min="8" max="8" width="17.7109375" customWidth="1"/>
    <col min="9" max="9" width="10.5703125" bestFit="1" customWidth="1"/>
  </cols>
  <sheetData>
    <row r="2" spans="1:16" x14ac:dyDescent="0.25">
      <c r="A2" t="s">
        <v>121</v>
      </c>
    </row>
    <row r="4" spans="1:16" x14ac:dyDescent="0.25">
      <c r="O4" s="1" t="s">
        <v>142</v>
      </c>
    </row>
    <row r="6" spans="1:16" x14ac:dyDescent="0.25">
      <c r="O6" t="s">
        <v>144</v>
      </c>
      <c r="P6" t="s">
        <v>143</v>
      </c>
    </row>
    <row r="7" spans="1:16" x14ac:dyDescent="0.25">
      <c r="O7" t="s">
        <v>145</v>
      </c>
      <c r="P7" t="s">
        <v>146</v>
      </c>
    </row>
    <row r="8" spans="1:16" x14ac:dyDescent="0.25">
      <c r="O8" t="s">
        <v>147</v>
      </c>
      <c r="P8" t="s">
        <v>148</v>
      </c>
    </row>
    <row r="9" spans="1:16" x14ac:dyDescent="0.25">
      <c r="O9" t="s">
        <v>149</v>
      </c>
      <c r="P9" t="s">
        <v>150</v>
      </c>
    </row>
    <row r="10" spans="1:16" x14ac:dyDescent="0.25">
      <c r="O10" t="s">
        <v>151</v>
      </c>
      <c r="P10" t="s">
        <v>152</v>
      </c>
    </row>
    <row r="11" spans="1:16" x14ac:dyDescent="0.25">
      <c r="O11" t="s">
        <v>153</v>
      </c>
    </row>
    <row r="13" spans="1:16" x14ac:dyDescent="0.25">
      <c r="O13" t="s">
        <v>154</v>
      </c>
    </row>
    <row r="14" spans="1:16" x14ac:dyDescent="0.25">
      <c r="A14" t="s">
        <v>122</v>
      </c>
      <c r="O14" t="s">
        <v>155</v>
      </c>
    </row>
    <row r="15" spans="1:16" x14ac:dyDescent="0.25">
      <c r="O15" t="s">
        <v>156</v>
      </c>
    </row>
    <row r="16" spans="1:16" x14ac:dyDescent="0.25">
      <c r="A16" s="3" t="s">
        <v>115</v>
      </c>
      <c r="O16" t="s">
        <v>157</v>
      </c>
    </row>
    <row r="17" spans="1:15" x14ac:dyDescent="0.25">
      <c r="A17" s="3" t="s">
        <v>116</v>
      </c>
      <c r="O17" t="s">
        <v>158</v>
      </c>
    </row>
    <row r="18" spans="1:15" x14ac:dyDescent="0.25">
      <c r="A18" s="3" t="s">
        <v>117</v>
      </c>
      <c r="O18" t="s">
        <v>159</v>
      </c>
    </row>
    <row r="20" spans="1:15" x14ac:dyDescent="0.25">
      <c r="A20" s="3" t="s">
        <v>123</v>
      </c>
      <c r="O20" s="1" t="s">
        <v>160</v>
      </c>
    </row>
    <row r="22" spans="1:15" x14ac:dyDescent="0.25">
      <c r="B22" t="s">
        <v>210</v>
      </c>
      <c r="O22" t="s">
        <v>161</v>
      </c>
    </row>
    <row r="23" spans="1:15" x14ac:dyDescent="0.25">
      <c r="O23" t="s">
        <v>162</v>
      </c>
    </row>
    <row r="24" spans="1:15" s="14" customFormat="1" ht="60" x14ac:dyDescent="0.25">
      <c r="C24" s="14" t="s">
        <v>127</v>
      </c>
      <c r="D24" s="14" t="s">
        <v>130</v>
      </c>
      <c r="E24" s="14" t="s">
        <v>131</v>
      </c>
      <c r="F24" s="25" t="s">
        <v>204</v>
      </c>
      <c r="O24" s="14" t="s">
        <v>163</v>
      </c>
    </row>
    <row r="25" spans="1:15" x14ac:dyDescent="0.25">
      <c r="B25" t="s">
        <v>124</v>
      </c>
      <c r="C25">
        <v>2.02</v>
      </c>
      <c r="D25" s="15"/>
      <c r="E25" s="15">
        <v>4841.7404185740634</v>
      </c>
      <c r="F25" s="26">
        <v>4377.958690370092</v>
      </c>
      <c r="G25" s="24"/>
      <c r="H25" s="24"/>
      <c r="I25" s="24"/>
      <c r="O25" t="s">
        <v>164</v>
      </c>
    </row>
    <row r="26" spans="1:15" x14ac:dyDescent="0.25">
      <c r="B26" t="s">
        <v>125</v>
      </c>
      <c r="C26">
        <v>6.06</v>
      </c>
      <c r="D26" s="15"/>
      <c r="E26" s="15">
        <v>11019.687365709036</v>
      </c>
      <c r="F26" s="26">
        <v>9628.3421810971213</v>
      </c>
      <c r="O26" t="s">
        <v>165</v>
      </c>
    </row>
    <row r="27" spans="1:15" x14ac:dyDescent="0.25">
      <c r="B27" t="s">
        <v>126</v>
      </c>
      <c r="C27">
        <v>10.1</v>
      </c>
      <c r="D27" s="15"/>
      <c r="E27" s="15">
        <v>17132.387321542868</v>
      </c>
      <c r="F27" s="26">
        <v>14813.478680523011</v>
      </c>
      <c r="O27" t="s">
        <v>166</v>
      </c>
    </row>
    <row r="28" spans="1:15" x14ac:dyDescent="0.25">
      <c r="O28" t="s">
        <v>167</v>
      </c>
    </row>
    <row r="29" spans="1:15" x14ac:dyDescent="0.25">
      <c r="B29" t="s">
        <v>211</v>
      </c>
      <c r="O29" t="s">
        <v>168</v>
      </c>
    </row>
    <row r="30" spans="1:15" x14ac:dyDescent="0.25">
      <c r="O30" t="s">
        <v>169</v>
      </c>
    </row>
    <row r="31" spans="1:15" ht="60" x14ac:dyDescent="0.25">
      <c r="B31" s="14"/>
      <c r="C31" s="14" t="s">
        <v>127</v>
      </c>
      <c r="D31" s="14" t="s">
        <v>130</v>
      </c>
      <c r="F31" s="14" t="s">
        <v>212</v>
      </c>
      <c r="G31" s="14"/>
      <c r="H31" s="14"/>
      <c r="I31" s="14"/>
      <c r="J31" s="14"/>
      <c r="O31" t="s">
        <v>170</v>
      </c>
    </row>
    <row r="32" spans="1:15" x14ac:dyDescent="0.25">
      <c r="B32" t="s">
        <v>124</v>
      </c>
      <c r="C32">
        <v>2.02</v>
      </c>
      <c r="D32" s="15"/>
      <c r="E32" s="15"/>
      <c r="F32" s="26">
        <v>6615.4400050640588</v>
      </c>
      <c r="H32" s="24"/>
      <c r="O32" t="s">
        <v>171</v>
      </c>
    </row>
    <row r="33" spans="1:15" x14ac:dyDescent="0.25">
      <c r="B33" t="s">
        <v>125</v>
      </c>
      <c r="C33">
        <v>6.06</v>
      </c>
      <c r="D33" s="15"/>
      <c r="E33" s="15"/>
      <c r="F33" s="26">
        <v>16340.786125179025</v>
      </c>
      <c r="O33" t="s">
        <v>172</v>
      </c>
    </row>
    <row r="34" spans="1:15" x14ac:dyDescent="0.25">
      <c r="B34" t="s">
        <v>126</v>
      </c>
      <c r="C34">
        <v>10.1</v>
      </c>
      <c r="D34" s="15"/>
      <c r="E34" s="15"/>
      <c r="F34" s="26">
        <v>26000.885253992845</v>
      </c>
    </row>
    <row r="36" spans="1:15" x14ac:dyDescent="0.25">
      <c r="A36" t="s">
        <v>132</v>
      </c>
    </row>
    <row r="42" spans="1:15" x14ac:dyDescent="0.25">
      <c r="B42" t="s">
        <v>133</v>
      </c>
    </row>
    <row r="44" spans="1:15" ht="60" x14ac:dyDescent="0.25">
      <c r="B44" s="14"/>
      <c r="C44" s="14" t="s">
        <v>127</v>
      </c>
      <c r="D44" s="14" t="s">
        <v>130</v>
      </c>
      <c r="E44" s="14" t="s">
        <v>131</v>
      </c>
    </row>
    <row r="45" spans="1:15" x14ac:dyDescent="0.25">
      <c r="B45" t="s">
        <v>124</v>
      </c>
      <c r="C45">
        <v>70</v>
      </c>
      <c r="D45" s="15"/>
      <c r="E45" s="15">
        <v>106670.09211145055</v>
      </c>
      <c r="F45" s="24"/>
    </row>
    <row r="46" spans="1:15" x14ac:dyDescent="0.25">
      <c r="B46" t="s">
        <v>125</v>
      </c>
      <c r="C46">
        <v>450</v>
      </c>
      <c r="D46" s="15"/>
      <c r="E46" s="15">
        <v>670648.62362344912</v>
      </c>
    </row>
    <row r="47" spans="1:15" x14ac:dyDescent="0.25">
      <c r="B47" t="s">
        <v>126</v>
      </c>
      <c r="C47">
        <v>1700</v>
      </c>
      <c r="D47" s="15"/>
      <c r="E47" s="15">
        <v>2521363.6723422622</v>
      </c>
    </row>
    <row r="50" spans="2:5" x14ac:dyDescent="0.25">
      <c r="B50" t="s">
        <v>134</v>
      </c>
    </row>
    <row r="52" spans="2:5" ht="60" x14ac:dyDescent="0.25">
      <c r="B52" s="14"/>
      <c r="C52" s="14" t="s">
        <v>127</v>
      </c>
      <c r="D52" s="14" t="s">
        <v>130</v>
      </c>
      <c r="E52" s="14" t="s">
        <v>135</v>
      </c>
    </row>
    <row r="53" spans="2:5" x14ac:dyDescent="0.25">
      <c r="B53" t="s">
        <v>124</v>
      </c>
      <c r="C53">
        <v>70</v>
      </c>
      <c r="D53" s="15"/>
      <c r="E53" s="15">
        <v>193259.45482763663</v>
      </c>
    </row>
    <row r="54" spans="2:5" x14ac:dyDescent="0.25">
      <c r="B54" t="s">
        <v>125</v>
      </c>
      <c r="C54">
        <v>450</v>
      </c>
      <c r="D54" s="15"/>
      <c r="E54" s="15">
        <v>1227294.526798931</v>
      </c>
    </row>
    <row r="55" spans="2:5" x14ac:dyDescent="0.25">
      <c r="B55" t="s">
        <v>126</v>
      </c>
      <c r="C55">
        <v>1700</v>
      </c>
      <c r="D55" s="15"/>
      <c r="E55" s="15">
        <v>4624248.1954496382</v>
      </c>
    </row>
  </sheetData>
  <pageMargins left="0.7" right="0.7" top="0.75" bottom="0.75" header="0.3" footer="0.3"/>
  <pageSetup orientation="portrait"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E31" sqref="E31"/>
    </sheetView>
  </sheetViews>
  <sheetFormatPr defaultRowHeight="15" x14ac:dyDescent="0.25"/>
  <sheetData>
    <row r="1" spans="1:1" x14ac:dyDescent="0.25">
      <c r="A1" s="16" t="s">
        <v>191</v>
      </c>
    </row>
    <row r="2" spans="1:1" x14ac:dyDescent="0.25">
      <c r="A2" s="17" t="s">
        <v>190</v>
      </c>
    </row>
    <row r="3" spans="1:1" x14ac:dyDescent="0.25">
      <c r="A3" s="17" t="s">
        <v>183</v>
      </c>
    </row>
    <row r="4" spans="1:1" x14ac:dyDescent="0.25">
      <c r="A4" s="17" t="s">
        <v>205</v>
      </c>
    </row>
    <row r="5" spans="1:1" x14ac:dyDescent="0.25">
      <c r="A5" s="17" t="s">
        <v>206</v>
      </c>
    </row>
    <row r="6" spans="1:1" x14ac:dyDescent="0.25">
      <c r="A6" s="17" t="s">
        <v>207</v>
      </c>
    </row>
    <row r="7" spans="1:1" x14ac:dyDescent="0.25">
      <c r="A7" s="17" t="s">
        <v>184</v>
      </c>
    </row>
    <row r="8" spans="1:1" x14ac:dyDescent="0.25">
      <c r="A8" s="17" t="s">
        <v>185</v>
      </c>
    </row>
    <row r="9" spans="1:1" x14ac:dyDescent="0.25">
      <c r="A9" s="17" t="s">
        <v>186</v>
      </c>
    </row>
    <row r="10" spans="1:1" x14ac:dyDescent="0.25">
      <c r="A10" s="17" t="s">
        <v>187</v>
      </c>
    </row>
    <row r="11" spans="1:1" x14ac:dyDescent="0.25">
      <c r="A11" s="17" t="s">
        <v>188</v>
      </c>
    </row>
    <row r="12" spans="1:1" x14ac:dyDescent="0.25">
      <c r="A12" s="17" t="s">
        <v>189</v>
      </c>
    </row>
    <row r="14" spans="1:1" ht="15.75" x14ac:dyDescent="0.25">
      <c r="A14" s="19" t="s">
        <v>192</v>
      </c>
    </row>
    <row r="15" spans="1:1" ht="15.75" x14ac:dyDescent="0.25">
      <c r="A15" s="19" t="s">
        <v>193</v>
      </c>
    </row>
    <row r="16" spans="1:1" ht="15.75" x14ac:dyDescent="0.25">
      <c r="A16" s="19" t="s">
        <v>194</v>
      </c>
    </row>
    <row r="17" spans="1:1" ht="15.75" x14ac:dyDescent="0.25">
      <c r="A17" s="19" t="s">
        <v>195</v>
      </c>
    </row>
    <row r="18" spans="1:1" ht="15.75" x14ac:dyDescent="0.25">
      <c r="A18" s="19" t="s">
        <v>196</v>
      </c>
    </row>
    <row r="19" spans="1:1" ht="15.75" x14ac:dyDescent="0.25">
      <c r="A19" s="19"/>
    </row>
    <row r="20" spans="1:1" ht="15.75" x14ac:dyDescent="0.25">
      <c r="A20" s="19" t="s">
        <v>120</v>
      </c>
    </row>
    <row r="21" spans="1:1" ht="15.75" x14ac:dyDescent="0.25">
      <c r="A21" s="19" t="s">
        <v>197</v>
      </c>
    </row>
    <row r="22" spans="1:1" x14ac:dyDescent="0.25">
      <c r="A22" s="18"/>
    </row>
    <row r="23" spans="1:1" x14ac:dyDescent="0.25">
      <c r="A23" s="12" t="s">
        <v>198</v>
      </c>
    </row>
    <row r="24" spans="1:1" x14ac:dyDescent="0.25">
      <c r="A24" s="20" t="s">
        <v>199</v>
      </c>
    </row>
    <row r="25" spans="1:1" x14ac:dyDescent="0.25">
      <c r="A25" s="20"/>
    </row>
    <row r="26" spans="1:1" x14ac:dyDescent="0.25">
      <c r="A26" s="20" t="s">
        <v>200</v>
      </c>
    </row>
    <row r="27" spans="1:1" x14ac:dyDescent="0.25">
      <c r="A27" s="21" t="s">
        <v>201</v>
      </c>
    </row>
    <row r="28" spans="1:1" x14ac:dyDescent="0.25">
      <c r="A28" s="20"/>
    </row>
    <row r="29" spans="1:1" x14ac:dyDescent="0.25">
      <c r="A29" s="22" t="s">
        <v>202</v>
      </c>
    </row>
    <row r="32" spans="1:1" x14ac:dyDescent="0.25">
      <c r="A32" s="23" t="s">
        <v>203</v>
      </c>
    </row>
  </sheetData>
  <hyperlinks>
    <hyperlink ref="A23" r:id="rId1" display="mailto:hanse782@umn.edu"/>
  </hyperlinks>
  <pageMargins left="0.7" right="0.7" top="0.75" bottom="0.75" header="0.3" footer="0.3"/>
  <pageSetup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workbookViewId="0">
      <selection activeCell="C2" sqref="C2"/>
    </sheetView>
  </sheetViews>
  <sheetFormatPr defaultRowHeight="15" x14ac:dyDescent="0.25"/>
  <cols>
    <col min="3" max="3" width="14.5703125" customWidth="1"/>
    <col min="5" max="5" width="18.85546875" customWidth="1"/>
  </cols>
  <sheetData>
    <row r="1" spans="1:6" x14ac:dyDescent="0.25">
      <c r="A1" t="s">
        <v>138</v>
      </c>
      <c r="B1" t="s">
        <v>174</v>
      </c>
      <c r="C1" t="s">
        <v>175</v>
      </c>
      <c r="D1" t="s">
        <v>176</v>
      </c>
      <c r="E1" t="s">
        <v>177</v>
      </c>
      <c r="F1" t="s">
        <v>178</v>
      </c>
    </row>
    <row r="2" spans="1:6" x14ac:dyDescent="0.25">
      <c r="A2">
        <v>1</v>
      </c>
      <c r="B2">
        <v>5</v>
      </c>
      <c r="C2">
        <v>7100.4899539999997</v>
      </c>
      <c r="D2">
        <v>1</v>
      </c>
      <c r="E2">
        <v>7100.4899539999997</v>
      </c>
      <c r="F2" t="s">
        <v>179</v>
      </c>
    </row>
    <row r="3" spans="1:6" x14ac:dyDescent="0.25">
      <c r="A3">
        <v>2</v>
      </c>
      <c r="B3">
        <v>1</v>
      </c>
      <c r="C3">
        <v>3427.0654290000002</v>
      </c>
      <c r="D3">
        <v>0.93461887200000004</v>
      </c>
      <c r="E3">
        <v>3666.805296</v>
      </c>
      <c r="F3" t="s">
        <v>180</v>
      </c>
    </row>
    <row r="4" spans="1:6" x14ac:dyDescent="0.25">
      <c r="A4">
        <v>2</v>
      </c>
      <c r="B4">
        <v>5</v>
      </c>
      <c r="C4">
        <v>239.73986690000001</v>
      </c>
      <c r="D4">
        <v>6.5381127999999997E-2</v>
      </c>
      <c r="E4">
        <v>3666.805296</v>
      </c>
      <c r="F4" t="s">
        <v>179</v>
      </c>
    </row>
    <row r="5" spans="1:6" x14ac:dyDescent="0.25">
      <c r="A5">
        <v>3</v>
      </c>
      <c r="B5">
        <v>1</v>
      </c>
      <c r="C5">
        <v>3642.9053250000002</v>
      </c>
      <c r="D5">
        <v>0.94328111000000003</v>
      </c>
      <c r="E5">
        <v>3861.9508919999998</v>
      </c>
      <c r="F5" t="s">
        <v>180</v>
      </c>
    </row>
    <row r="6" spans="1:6" x14ac:dyDescent="0.25">
      <c r="A6">
        <v>3</v>
      </c>
      <c r="B6">
        <v>5</v>
      </c>
      <c r="C6">
        <v>219.04556700000001</v>
      </c>
      <c r="D6">
        <v>5.6718890000000001E-2</v>
      </c>
      <c r="E6">
        <v>3861.9508919999998</v>
      </c>
      <c r="F6" t="s">
        <v>179</v>
      </c>
    </row>
    <row r="7" spans="1:6" x14ac:dyDescent="0.25">
      <c r="A7">
        <v>4</v>
      </c>
      <c r="B7">
        <v>1</v>
      </c>
      <c r="C7">
        <v>5357.876859</v>
      </c>
      <c r="D7">
        <v>1</v>
      </c>
      <c r="E7">
        <v>5357.876859</v>
      </c>
      <c r="F7" t="s">
        <v>180</v>
      </c>
    </row>
    <row r="8" spans="1:6" x14ac:dyDescent="0.25">
      <c r="A8">
        <v>5</v>
      </c>
      <c r="B8">
        <v>1</v>
      </c>
      <c r="C8">
        <v>228.33005220000001</v>
      </c>
      <c r="D8">
        <v>0.114577755</v>
      </c>
      <c r="E8">
        <v>1992.795658</v>
      </c>
      <c r="F8" t="s">
        <v>180</v>
      </c>
    </row>
    <row r="9" spans="1:6" x14ac:dyDescent="0.25">
      <c r="A9">
        <v>5</v>
      </c>
      <c r="B9">
        <v>5</v>
      </c>
      <c r="C9">
        <v>1764.465606</v>
      </c>
      <c r="D9">
        <v>0.885422245</v>
      </c>
      <c r="E9">
        <v>1992.795658</v>
      </c>
      <c r="F9" t="s">
        <v>179</v>
      </c>
    </row>
    <row r="10" spans="1:6" x14ac:dyDescent="0.25">
      <c r="A10">
        <v>6</v>
      </c>
      <c r="B10">
        <v>5</v>
      </c>
      <c r="C10">
        <v>4637.9334049999998</v>
      </c>
      <c r="D10">
        <v>1</v>
      </c>
      <c r="E10">
        <v>4637.9334049999998</v>
      </c>
      <c r="F10" t="s">
        <v>179</v>
      </c>
    </row>
    <row r="11" spans="1:6" x14ac:dyDescent="0.25">
      <c r="A11">
        <v>7</v>
      </c>
      <c r="B11">
        <v>1</v>
      </c>
      <c r="C11">
        <v>16775.709650000001</v>
      </c>
      <c r="D11">
        <v>1</v>
      </c>
      <c r="E11">
        <v>16775.709650000001</v>
      </c>
      <c r="F11" t="s">
        <v>180</v>
      </c>
    </row>
    <row r="12" spans="1:6" x14ac:dyDescent="0.25">
      <c r="A12">
        <v>8</v>
      </c>
      <c r="B12">
        <v>1</v>
      </c>
      <c r="C12">
        <v>12.194147770000001</v>
      </c>
      <c r="D12">
        <v>8.2523399999999999E-4</v>
      </c>
      <c r="E12">
        <v>14776.593629999999</v>
      </c>
      <c r="F12" t="s">
        <v>180</v>
      </c>
    </row>
    <row r="13" spans="1:6" x14ac:dyDescent="0.25">
      <c r="A13">
        <v>8</v>
      </c>
      <c r="B13">
        <v>5</v>
      </c>
      <c r="C13">
        <v>14764.39948</v>
      </c>
      <c r="D13">
        <v>0.99917476599999999</v>
      </c>
      <c r="E13">
        <v>14776.593629999999</v>
      </c>
      <c r="F13" t="s">
        <v>179</v>
      </c>
    </row>
    <row r="14" spans="1:6" x14ac:dyDescent="0.25">
      <c r="A14">
        <v>9</v>
      </c>
      <c r="B14">
        <v>5</v>
      </c>
      <c r="C14">
        <v>2054.406054</v>
      </c>
      <c r="D14">
        <v>1</v>
      </c>
      <c r="E14">
        <v>2054.406054</v>
      </c>
      <c r="F14" t="s">
        <v>179</v>
      </c>
    </row>
    <row r="15" spans="1:6" x14ac:dyDescent="0.25">
      <c r="A15">
        <v>10</v>
      </c>
      <c r="B15">
        <v>1</v>
      </c>
      <c r="C15">
        <v>3474.560954</v>
      </c>
      <c r="D15">
        <v>1</v>
      </c>
      <c r="E15">
        <v>3474.560954</v>
      </c>
      <c r="F15" t="s">
        <v>180</v>
      </c>
    </row>
    <row r="16" spans="1:6" x14ac:dyDescent="0.25">
      <c r="A16">
        <v>11</v>
      </c>
      <c r="B16">
        <v>1</v>
      </c>
      <c r="C16">
        <v>8929.6240429999998</v>
      </c>
      <c r="D16">
        <v>1</v>
      </c>
      <c r="E16">
        <v>8929.6240429999998</v>
      </c>
      <c r="F16" t="s">
        <v>180</v>
      </c>
    </row>
    <row r="17" spans="1:6" x14ac:dyDescent="0.25">
      <c r="A17">
        <v>12</v>
      </c>
      <c r="B17">
        <v>1</v>
      </c>
      <c r="C17">
        <v>11950.48273</v>
      </c>
      <c r="D17">
        <v>1</v>
      </c>
      <c r="E17">
        <v>11950.48273</v>
      </c>
      <c r="F17" t="s">
        <v>180</v>
      </c>
    </row>
    <row r="18" spans="1:6" x14ac:dyDescent="0.25">
      <c r="A18">
        <v>13</v>
      </c>
      <c r="B18">
        <v>1</v>
      </c>
      <c r="C18">
        <v>1703.2613249999999</v>
      </c>
      <c r="D18">
        <v>1</v>
      </c>
      <c r="E18">
        <v>1703.2613249999999</v>
      </c>
      <c r="F18" t="s">
        <v>180</v>
      </c>
    </row>
    <row r="19" spans="1:6" x14ac:dyDescent="0.25">
      <c r="A19">
        <v>14</v>
      </c>
      <c r="B19">
        <v>1</v>
      </c>
      <c r="C19">
        <v>8848.0926290000007</v>
      </c>
      <c r="D19">
        <v>0.98100232300000001</v>
      </c>
      <c r="E19">
        <v>9019.4410559999997</v>
      </c>
      <c r="F19" t="s">
        <v>180</v>
      </c>
    </row>
    <row r="20" spans="1:6" x14ac:dyDescent="0.25">
      <c r="A20">
        <v>14</v>
      </c>
      <c r="B20">
        <v>5</v>
      </c>
      <c r="C20">
        <v>171.3484272</v>
      </c>
      <c r="D20">
        <v>1.8997677000000001E-2</v>
      </c>
      <c r="E20">
        <v>9019.4410559999997</v>
      </c>
      <c r="F20" t="s">
        <v>179</v>
      </c>
    </row>
    <row r="21" spans="1:6" x14ac:dyDescent="0.25">
      <c r="A21">
        <v>15</v>
      </c>
      <c r="B21">
        <v>1</v>
      </c>
      <c r="C21">
        <v>3217.46504</v>
      </c>
      <c r="D21">
        <v>1</v>
      </c>
      <c r="E21">
        <v>3217.46504</v>
      </c>
      <c r="F21" t="s">
        <v>180</v>
      </c>
    </row>
    <row r="22" spans="1:6" x14ac:dyDescent="0.25">
      <c r="A22">
        <v>16</v>
      </c>
      <c r="B22">
        <v>1</v>
      </c>
      <c r="C22">
        <v>1588.7305269999999</v>
      </c>
      <c r="D22">
        <v>9.1061983999999999E-2</v>
      </c>
      <c r="E22">
        <v>17446.69354</v>
      </c>
      <c r="F22" t="s">
        <v>180</v>
      </c>
    </row>
    <row r="23" spans="1:6" x14ac:dyDescent="0.25">
      <c r="A23">
        <v>16</v>
      </c>
      <c r="B23">
        <v>5</v>
      </c>
      <c r="C23">
        <v>15857.963009999999</v>
      </c>
      <c r="D23">
        <v>0.90893801600000002</v>
      </c>
      <c r="E23">
        <v>17446.69354</v>
      </c>
      <c r="F23" t="s">
        <v>179</v>
      </c>
    </row>
    <row r="24" spans="1:6" x14ac:dyDescent="0.25">
      <c r="A24">
        <v>17</v>
      </c>
      <c r="B24">
        <v>5</v>
      </c>
      <c r="C24">
        <v>2658.2049019999999</v>
      </c>
      <c r="D24">
        <v>1</v>
      </c>
      <c r="E24">
        <v>2658.2049019999999</v>
      </c>
      <c r="F24" t="s">
        <v>179</v>
      </c>
    </row>
    <row r="25" spans="1:6" x14ac:dyDescent="0.25">
      <c r="A25">
        <v>18</v>
      </c>
      <c r="B25">
        <v>5</v>
      </c>
      <c r="C25">
        <v>5022.3150509999996</v>
      </c>
      <c r="D25">
        <v>1</v>
      </c>
      <c r="E25">
        <v>5022.3150509999996</v>
      </c>
      <c r="F25" t="s">
        <v>179</v>
      </c>
    </row>
    <row r="26" spans="1:6" x14ac:dyDescent="0.25">
      <c r="A26">
        <v>19</v>
      </c>
      <c r="B26">
        <v>1</v>
      </c>
      <c r="C26">
        <v>1186.820146</v>
      </c>
      <c r="D26">
        <v>1</v>
      </c>
      <c r="E26">
        <v>1186.820146</v>
      </c>
      <c r="F26" t="s">
        <v>180</v>
      </c>
    </row>
    <row r="27" spans="1:6" x14ac:dyDescent="0.25">
      <c r="A27">
        <v>20</v>
      </c>
      <c r="B27">
        <v>1</v>
      </c>
      <c r="C27">
        <v>16046.61311</v>
      </c>
      <c r="D27">
        <v>1</v>
      </c>
      <c r="E27">
        <v>16046.61311</v>
      </c>
      <c r="F27" t="s">
        <v>180</v>
      </c>
    </row>
    <row r="28" spans="1:6" x14ac:dyDescent="0.25">
      <c r="A28">
        <v>21</v>
      </c>
      <c r="B28">
        <v>1</v>
      </c>
      <c r="C28">
        <v>1609.89751</v>
      </c>
      <c r="D28">
        <v>0.196542473</v>
      </c>
      <c r="E28">
        <v>8191.0921770000004</v>
      </c>
      <c r="F28" t="s">
        <v>180</v>
      </c>
    </row>
    <row r="29" spans="1:6" x14ac:dyDescent="0.25">
      <c r="A29">
        <v>21</v>
      </c>
      <c r="B29">
        <v>5</v>
      </c>
      <c r="C29">
        <v>6581.1946669999998</v>
      </c>
      <c r="D29">
        <v>0.80345752699999995</v>
      </c>
      <c r="E29">
        <v>8191.0921770000004</v>
      </c>
      <c r="F29" t="s">
        <v>179</v>
      </c>
    </row>
    <row r="30" spans="1:6" x14ac:dyDescent="0.25">
      <c r="A30">
        <v>22</v>
      </c>
      <c r="B30">
        <v>5</v>
      </c>
      <c r="C30">
        <v>3771.6142070000001</v>
      </c>
      <c r="D30">
        <v>1</v>
      </c>
      <c r="E30">
        <v>3771.6142070000001</v>
      </c>
      <c r="F30" t="s">
        <v>179</v>
      </c>
    </row>
    <row r="31" spans="1:6" x14ac:dyDescent="0.25">
      <c r="A31">
        <v>23</v>
      </c>
      <c r="B31">
        <v>1</v>
      </c>
      <c r="C31">
        <v>695.26077139999995</v>
      </c>
      <c r="D31">
        <v>1</v>
      </c>
      <c r="E31">
        <v>695.26077139999995</v>
      </c>
      <c r="F31" t="s">
        <v>180</v>
      </c>
    </row>
    <row r="32" spans="1:6" x14ac:dyDescent="0.25">
      <c r="A32">
        <v>24</v>
      </c>
      <c r="B32">
        <v>1</v>
      </c>
      <c r="C32">
        <v>4322.1393749999997</v>
      </c>
      <c r="D32">
        <v>1</v>
      </c>
      <c r="E32">
        <v>4322.1393749999997</v>
      </c>
      <c r="F32" t="s">
        <v>180</v>
      </c>
    </row>
    <row r="33" spans="1:6" x14ac:dyDescent="0.25">
      <c r="A33">
        <v>25</v>
      </c>
      <c r="B33">
        <v>5</v>
      </c>
      <c r="C33">
        <v>8780.0937379999996</v>
      </c>
      <c r="D33">
        <v>1</v>
      </c>
      <c r="E33">
        <v>8780.0937379999996</v>
      </c>
      <c r="F33" t="s">
        <v>179</v>
      </c>
    </row>
    <row r="34" spans="1:6" x14ac:dyDescent="0.25">
      <c r="A34">
        <v>26</v>
      </c>
      <c r="B34">
        <v>5</v>
      </c>
      <c r="C34">
        <v>16327.7567</v>
      </c>
      <c r="D34">
        <v>1</v>
      </c>
      <c r="E34">
        <v>16327.7567</v>
      </c>
      <c r="F34" t="s">
        <v>179</v>
      </c>
    </row>
    <row r="35" spans="1:6" x14ac:dyDescent="0.25">
      <c r="A35">
        <v>27</v>
      </c>
      <c r="B35">
        <v>5</v>
      </c>
      <c r="C35">
        <v>8928.5601029999998</v>
      </c>
      <c r="D35">
        <v>1</v>
      </c>
      <c r="E35">
        <v>8928.5601029999998</v>
      </c>
      <c r="F35" t="s">
        <v>179</v>
      </c>
    </row>
    <row r="36" spans="1:6" x14ac:dyDescent="0.25">
      <c r="A36">
        <v>28</v>
      </c>
      <c r="B36">
        <v>1</v>
      </c>
      <c r="C36">
        <v>13757.53217</v>
      </c>
      <c r="D36">
        <v>1</v>
      </c>
      <c r="E36">
        <v>13757.53217</v>
      </c>
      <c r="F36" t="s">
        <v>180</v>
      </c>
    </row>
    <row r="37" spans="1:6" x14ac:dyDescent="0.25">
      <c r="A37">
        <v>29</v>
      </c>
      <c r="B37">
        <v>5</v>
      </c>
      <c r="C37">
        <v>2765.8740769999999</v>
      </c>
      <c r="D37">
        <v>1</v>
      </c>
      <c r="E37">
        <v>2765.8740769999999</v>
      </c>
      <c r="F37" t="s">
        <v>179</v>
      </c>
    </row>
    <row r="38" spans="1:6" x14ac:dyDescent="0.25">
      <c r="A38">
        <v>30</v>
      </c>
      <c r="B38">
        <v>4</v>
      </c>
      <c r="C38">
        <v>1109.328346</v>
      </c>
      <c r="D38">
        <v>0.62151469199999998</v>
      </c>
      <c r="E38">
        <v>1784.8787159999999</v>
      </c>
      <c r="F38" t="s">
        <v>181</v>
      </c>
    </row>
    <row r="39" spans="1:6" x14ac:dyDescent="0.25">
      <c r="A39">
        <v>30</v>
      </c>
      <c r="B39">
        <v>5</v>
      </c>
      <c r="C39">
        <v>675.55036989999996</v>
      </c>
      <c r="D39">
        <v>0.37848530800000002</v>
      </c>
      <c r="E39">
        <v>1784.8787159999999</v>
      </c>
      <c r="F39" t="s">
        <v>179</v>
      </c>
    </row>
    <row r="40" spans="1:6" x14ac:dyDescent="0.25">
      <c r="A40">
        <v>31</v>
      </c>
      <c r="B40">
        <v>1</v>
      </c>
      <c r="C40">
        <v>5127.3247730000003</v>
      </c>
      <c r="D40">
        <v>1</v>
      </c>
      <c r="E40">
        <v>5127.3247730000003</v>
      </c>
      <c r="F40" t="s">
        <v>180</v>
      </c>
    </row>
    <row r="41" spans="1:6" x14ac:dyDescent="0.25">
      <c r="A41">
        <v>32</v>
      </c>
      <c r="B41">
        <v>5</v>
      </c>
      <c r="C41">
        <v>6140.1588979999997</v>
      </c>
      <c r="D41">
        <v>1</v>
      </c>
      <c r="E41">
        <v>6140.1588979999997</v>
      </c>
      <c r="F41" t="s">
        <v>179</v>
      </c>
    </row>
    <row r="42" spans="1:6" x14ac:dyDescent="0.25">
      <c r="A42">
        <v>33</v>
      </c>
      <c r="B42">
        <v>4</v>
      </c>
      <c r="C42">
        <v>2082.0454159999999</v>
      </c>
      <c r="D42">
        <v>0.97129368999999999</v>
      </c>
      <c r="E42">
        <v>2143.5796789999999</v>
      </c>
      <c r="F42" t="s">
        <v>181</v>
      </c>
    </row>
    <row r="43" spans="1:6" x14ac:dyDescent="0.25">
      <c r="A43">
        <v>33</v>
      </c>
      <c r="B43">
        <v>5</v>
      </c>
      <c r="C43">
        <v>61.534263260000003</v>
      </c>
      <c r="D43">
        <v>2.8706309999999999E-2</v>
      </c>
      <c r="E43">
        <v>2143.5796789999999</v>
      </c>
      <c r="F43" t="s">
        <v>179</v>
      </c>
    </row>
    <row r="44" spans="1:6" x14ac:dyDescent="0.25">
      <c r="A44">
        <v>34</v>
      </c>
      <c r="B44">
        <v>4</v>
      </c>
      <c r="C44">
        <v>242.32334159999999</v>
      </c>
      <c r="D44">
        <v>7.0411581000000001E-2</v>
      </c>
      <c r="E44">
        <v>3441.526766</v>
      </c>
      <c r="F44" t="s">
        <v>181</v>
      </c>
    </row>
    <row r="45" spans="1:6" x14ac:dyDescent="0.25">
      <c r="A45">
        <v>34</v>
      </c>
      <c r="B45">
        <v>5</v>
      </c>
      <c r="C45">
        <v>3199.2034239999998</v>
      </c>
      <c r="D45">
        <v>0.929588419</v>
      </c>
      <c r="E45">
        <v>3441.526766</v>
      </c>
      <c r="F45" t="s">
        <v>179</v>
      </c>
    </row>
    <row r="46" spans="1:6" x14ac:dyDescent="0.25">
      <c r="A46">
        <v>35</v>
      </c>
      <c r="B46">
        <v>1</v>
      </c>
      <c r="C46">
        <v>11396.669260000001</v>
      </c>
      <c r="D46">
        <v>0.88056728299999998</v>
      </c>
      <c r="E46">
        <v>12942.41732</v>
      </c>
      <c r="F46" t="s">
        <v>180</v>
      </c>
    </row>
    <row r="47" spans="1:6" x14ac:dyDescent="0.25">
      <c r="A47">
        <v>35</v>
      </c>
      <c r="B47">
        <v>5</v>
      </c>
      <c r="C47">
        <v>1545.748061</v>
      </c>
      <c r="D47">
        <v>0.11943271699999999</v>
      </c>
      <c r="E47">
        <v>12942.41732</v>
      </c>
      <c r="F47" t="s">
        <v>179</v>
      </c>
    </row>
    <row r="48" spans="1:6" x14ac:dyDescent="0.25">
      <c r="A48">
        <v>36</v>
      </c>
      <c r="B48">
        <v>1</v>
      </c>
      <c r="C48">
        <v>1164.4191450000001</v>
      </c>
      <c r="D48">
        <v>0.187816223</v>
      </c>
      <c r="E48">
        <v>6199.7793590000001</v>
      </c>
      <c r="F48" t="s">
        <v>180</v>
      </c>
    </row>
    <row r="49" spans="1:6" x14ac:dyDescent="0.25">
      <c r="A49">
        <v>36</v>
      </c>
      <c r="B49">
        <v>5</v>
      </c>
      <c r="C49">
        <v>5035.3602140000003</v>
      </c>
      <c r="D49">
        <v>0.812183777</v>
      </c>
      <c r="E49">
        <v>6199.7793590000001</v>
      </c>
      <c r="F49" t="s">
        <v>179</v>
      </c>
    </row>
    <row r="50" spans="1:6" x14ac:dyDescent="0.25">
      <c r="A50">
        <v>37</v>
      </c>
      <c r="B50">
        <v>1</v>
      </c>
      <c r="C50">
        <v>1796.0625239999999</v>
      </c>
      <c r="D50">
        <v>1</v>
      </c>
      <c r="E50">
        <v>1796.0625239999999</v>
      </c>
      <c r="F50" t="s">
        <v>180</v>
      </c>
    </row>
    <row r="51" spans="1:6" x14ac:dyDescent="0.25">
      <c r="A51">
        <v>38</v>
      </c>
      <c r="B51">
        <v>5</v>
      </c>
      <c r="C51">
        <v>5995.240092</v>
      </c>
      <c r="D51">
        <v>1</v>
      </c>
      <c r="E51">
        <v>5995.240092</v>
      </c>
      <c r="F51" t="s">
        <v>179</v>
      </c>
    </row>
    <row r="52" spans="1:6" x14ac:dyDescent="0.25">
      <c r="A52">
        <v>39</v>
      </c>
      <c r="B52">
        <v>5</v>
      </c>
      <c r="C52">
        <v>1143.0316780000001</v>
      </c>
      <c r="D52">
        <v>1</v>
      </c>
      <c r="E52">
        <v>1143.0316780000001</v>
      </c>
      <c r="F52" t="s">
        <v>179</v>
      </c>
    </row>
    <row r="53" spans="1:6" x14ac:dyDescent="0.25">
      <c r="A53">
        <v>40</v>
      </c>
      <c r="B53">
        <v>1</v>
      </c>
      <c r="C53">
        <v>20740.941180000002</v>
      </c>
      <c r="D53">
        <v>1</v>
      </c>
      <c r="E53">
        <v>20740.941180000002</v>
      </c>
      <c r="F53" t="s">
        <v>180</v>
      </c>
    </row>
    <row r="54" spans="1:6" x14ac:dyDescent="0.25">
      <c r="A54">
        <v>41</v>
      </c>
      <c r="B54">
        <v>5</v>
      </c>
      <c r="C54">
        <v>1556.6800009999999</v>
      </c>
      <c r="D54">
        <v>1</v>
      </c>
      <c r="E54">
        <v>1556.6800009999999</v>
      </c>
      <c r="F54" t="s">
        <v>179</v>
      </c>
    </row>
    <row r="55" spans="1:6" x14ac:dyDescent="0.25">
      <c r="A55">
        <v>42</v>
      </c>
      <c r="B55">
        <v>1</v>
      </c>
      <c r="C55">
        <v>2694.270696</v>
      </c>
      <c r="D55">
        <v>1</v>
      </c>
      <c r="E55">
        <v>2694.270696</v>
      </c>
      <c r="F55" t="s">
        <v>180</v>
      </c>
    </row>
    <row r="56" spans="1:6" x14ac:dyDescent="0.25">
      <c r="A56">
        <v>43</v>
      </c>
      <c r="B56">
        <v>5</v>
      </c>
      <c r="C56">
        <v>7162.3953259999998</v>
      </c>
      <c r="D56">
        <v>1</v>
      </c>
      <c r="E56">
        <v>7162.3953259999998</v>
      </c>
      <c r="F56" t="s">
        <v>179</v>
      </c>
    </row>
    <row r="57" spans="1:6" x14ac:dyDescent="0.25">
      <c r="A57">
        <v>44</v>
      </c>
      <c r="B57">
        <v>5</v>
      </c>
      <c r="C57">
        <v>2873.7206099999999</v>
      </c>
      <c r="D57">
        <v>1</v>
      </c>
      <c r="E57">
        <v>2873.7206099999999</v>
      </c>
      <c r="F57" t="s">
        <v>179</v>
      </c>
    </row>
    <row r="58" spans="1:6" x14ac:dyDescent="0.25">
      <c r="A58">
        <v>45</v>
      </c>
      <c r="B58">
        <v>1</v>
      </c>
      <c r="C58">
        <v>2416.03647</v>
      </c>
      <c r="D58">
        <v>0.126272409</v>
      </c>
      <c r="E58">
        <v>19133.52636</v>
      </c>
      <c r="F58" t="s">
        <v>180</v>
      </c>
    </row>
    <row r="59" spans="1:6" x14ac:dyDescent="0.25">
      <c r="A59">
        <v>45</v>
      </c>
      <c r="B59">
        <v>5</v>
      </c>
      <c r="C59">
        <v>16717.489890000001</v>
      </c>
      <c r="D59">
        <v>0.87372759099999997</v>
      </c>
      <c r="E59">
        <v>19133.52636</v>
      </c>
      <c r="F59" t="s">
        <v>179</v>
      </c>
    </row>
    <row r="60" spans="1:6" x14ac:dyDescent="0.25">
      <c r="A60">
        <v>46</v>
      </c>
      <c r="B60">
        <v>5</v>
      </c>
      <c r="C60">
        <v>1418.678958</v>
      </c>
      <c r="D60">
        <v>1</v>
      </c>
      <c r="E60">
        <v>1418.678958</v>
      </c>
      <c r="F60" t="s">
        <v>179</v>
      </c>
    </row>
    <row r="61" spans="1:6" x14ac:dyDescent="0.25">
      <c r="A61">
        <v>47</v>
      </c>
      <c r="B61">
        <v>4</v>
      </c>
      <c r="C61">
        <v>10951.94652</v>
      </c>
      <c r="D61">
        <v>0.334949838</v>
      </c>
      <c r="E61">
        <v>32697.273679999998</v>
      </c>
      <c r="F61" t="s">
        <v>181</v>
      </c>
    </row>
    <row r="62" spans="1:6" x14ac:dyDescent="0.25">
      <c r="A62">
        <v>47</v>
      </c>
      <c r="B62">
        <v>5</v>
      </c>
      <c r="C62">
        <v>21745.327160000001</v>
      </c>
      <c r="D62">
        <v>0.665050162</v>
      </c>
      <c r="E62">
        <v>32697.273679999998</v>
      </c>
      <c r="F62" t="s">
        <v>179</v>
      </c>
    </row>
    <row r="63" spans="1:6" x14ac:dyDescent="0.25">
      <c r="A63">
        <v>48</v>
      </c>
      <c r="B63">
        <v>1</v>
      </c>
      <c r="C63">
        <v>1876.2989700000001</v>
      </c>
      <c r="D63">
        <v>1</v>
      </c>
      <c r="E63">
        <v>1876.2989700000001</v>
      </c>
      <c r="F63" t="s">
        <v>180</v>
      </c>
    </row>
    <row r="64" spans="1:6" x14ac:dyDescent="0.25">
      <c r="A64">
        <v>49</v>
      </c>
      <c r="B64">
        <v>1</v>
      </c>
      <c r="C64">
        <v>1479.965659</v>
      </c>
      <c r="D64">
        <v>1</v>
      </c>
      <c r="E64">
        <v>1479.965659</v>
      </c>
      <c r="F64" t="s">
        <v>180</v>
      </c>
    </row>
    <row r="65" spans="1:6" x14ac:dyDescent="0.25">
      <c r="A65">
        <v>50</v>
      </c>
      <c r="B65">
        <v>1</v>
      </c>
      <c r="C65">
        <v>1484.6282160000001</v>
      </c>
      <c r="D65">
        <v>1</v>
      </c>
      <c r="E65">
        <v>1484.6282160000001</v>
      </c>
      <c r="F65" t="s">
        <v>180</v>
      </c>
    </row>
    <row r="66" spans="1:6" x14ac:dyDescent="0.25">
      <c r="A66">
        <v>51</v>
      </c>
      <c r="B66">
        <v>5</v>
      </c>
      <c r="C66">
        <v>703.21776620000003</v>
      </c>
      <c r="D66">
        <v>1</v>
      </c>
      <c r="E66">
        <v>703.21776620000003</v>
      </c>
      <c r="F66" t="s">
        <v>179</v>
      </c>
    </row>
    <row r="67" spans="1:6" x14ac:dyDescent="0.25">
      <c r="A67">
        <v>52</v>
      </c>
      <c r="B67">
        <v>1</v>
      </c>
      <c r="C67">
        <v>1564.0652869999999</v>
      </c>
      <c r="D67">
        <v>1</v>
      </c>
      <c r="E67">
        <v>1564.0652869999999</v>
      </c>
      <c r="F67" t="s">
        <v>180</v>
      </c>
    </row>
    <row r="68" spans="1:6" x14ac:dyDescent="0.25">
      <c r="A68">
        <v>53</v>
      </c>
      <c r="B68">
        <v>3</v>
      </c>
      <c r="C68">
        <v>16241.80537</v>
      </c>
      <c r="D68">
        <v>0.64325120400000002</v>
      </c>
      <c r="E68">
        <v>25249.55301</v>
      </c>
      <c r="F68" t="s">
        <v>181</v>
      </c>
    </row>
    <row r="69" spans="1:6" x14ac:dyDescent="0.25">
      <c r="A69">
        <v>53</v>
      </c>
      <c r="B69">
        <v>4</v>
      </c>
      <c r="C69">
        <v>288.57857949999999</v>
      </c>
      <c r="D69">
        <v>1.1429056999999999E-2</v>
      </c>
      <c r="E69">
        <v>25249.55301</v>
      </c>
      <c r="F69" t="s">
        <v>181</v>
      </c>
    </row>
    <row r="70" spans="1:6" x14ac:dyDescent="0.25">
      <c r="A70">
        <v>53</v>
      </c>
      <c r="B70">
        <v>5</v>
      </c>
      <c r="C70">
        <v>8719.1690620000008</v>
      </c>
      <c r="D70">
        <v>0.34531973900000001</v>
      </c>
      <c r="E70">
        <v>25249.55301</v>
      </c>
      <c r="F70" t="s">
        <v>179</v>
      </c>
    </row>
    <row r="71" spans="1:6" x14ac:dyDescent="0.25">
      <c r="A71">
        <v>54</v>
      </c>
      <c r="B71">
        <v>1</v>
      </c>
      <c r="C71">
        <v>2086.9745200000002</v>
      </c>
      <c r="D71">
        <v>1</v>
      </c>
      <c r="E71">
        <v>2086.9745200000002</v>
      </c>
      <c r="F71" t="s">
        <v>180</v>
      </c>
    </row>
    <row r="72" spans="1:6" x14ac:dyDescent="0.25">
      <c r="A72">
        <v>55</v>
      </c>
      <c r="B72">
        <v>1</v>
      </c>
      <c r="C72">
        <v>2230.1497599999998</v>
      </c>
      <c r="D72">
        <v>1</v>
      </c>
      <c r="E72">
        <v>2230.1497599999998</v>
      </c>
      <c r="F72" t="s">
        <v>180</v>
      </c>
    </row>
    <row r="73" spans="1:6" x14ac:dyDescent="0.25">
      <c r="A73">
        <v>56</v>
      </c>
      <c r="B73">
        <v>1</v>
      </c>
      <c r="C73">
        <v>699.5733626</v>
      </c>
      <c r="D73">
        <v>0.75028771599999999</v>
      </c>
      <c r="E73">
        <v>932.40679290000003</v>
      </c>
      <c r="F73" t="s">
        <v>180</v>
      </c>
    </row>
    <row r="74" spans="1:6" x14ac:dyDescent="0.25">
      <c r="A74">
        <v>56</v>
      </c>
      <c r="B74">
        <v>5</v>
      </c>
      <c r="C74">
        <v>232.8334303</v>
      </c>
      <c r="D74">
        <v>0.24971228400000001</v>
      </c>
      <c r="E74">
        <v>932.40679290000003</v>
      </c>
      <c r="F74" t="s">
        <v>179</v>
      </c>
    </row>
    <row r="75" spans="1:6" x14ac:dyDescent="0.25">
      <c r="A75">
        <v>57</v>
      </c>
      <c r="B75">
        <v>1</v>
      </c>
      <c r="C75">
        <v>1851.4504059999999</v>
      </c>
      <c r="D75">
        <v>1</v>
      </c>
      <c r="E75">
        <v>1851.4504059999999</v>
      </c>
      <c r="F75" t="s">
        <v>180</v>
      </c>
    </row>
    <row r="76" spans="1:6" x14ac:dyDescent="0.25">
      <c r="A76">
        <v>58</v>
      </c>
      <c r="B76">
        <v>3</v>
      </c>
      <c r="C76">
        <v>4885.4209069999997</v>
      </c>
      <c r="D76">
        <v>0.27734953899999998</v>
      </c>
      <c r="E76">
        <v>17614.6711</v>
      </c>
      <c r="F76" t="s">
        <v>181</v>
      </c>
    </row>
    <row r="77" spans="1:6" x14ac:dyDescent="0.25">
      <c r="A77">
        <v>58</v>
      </c>
      <c r="B77">
        <v>5</v>
      </c>
      <c r="C77">
        <v>12729.250190000001</v>
      </c>
      <c r="D77">
        <v>0.72265046099999997</v>
      </c>
      <c r="E77">
        <v>17614.6711</v>
      </c>
      <c r="F77" t="s">
        <v>179</v>
      </c>
    </row>
    <row r="78" spans="1:6" x14ac:dyDescent="0.25">
      <c r="A78">
        <v>59</v>
      </c>
      <c r="B78">
        <v>5</v>
      </c>
      <c r="C78">
        <v>6133.0637699999997</v>
      </c>
      <c r="D78">
        <v>1</v>
      </c>
      <c r="E78">
        <v>6133.0637699999997</v>
      </c>
      <c r="F78" t="s">
        <v>179</v>
      </c>
    </row>
    <row r="79" spans="1:6" x14ac:dyDescent="0.25">
      <c r="A79">
        <v>60</v>
      </c>
      <c r="B79">
        <v>5</v>
      </c>
      <c r="C79">
        <v>3771.7916270000001</v>
      </c>
      <c r="D79">
        <v>1</v>
      </c>
      <c r="E79">
        <v>3771.7916270000001</v>
      </c>
      <c r="F79" t="s">
        <v>179</v>
      </c>
    </row>
    <row r="80" spans="1:6" x14ac:dyDescent="0.25">
      <c r="A80">
        <v>61</v>
      </c>
      <c r="B80">
        <v>1</v>
      </c>
      <c r="C80">
        <v>11734.66156</v>
      </c>
      <c r="D80">
        <v>1</v>
      </c>
      <c r="E80">
        <v>11734.66156</v>
      </c>
      <c r="F80" t="s">
        <v>180</v>
      </c>
    </row>
    <row r="81" spans="1:6" x14ac:dyDescent="0.25">
      <c r="A81">
        <v>62</v>
      </c>
      <c r="B81">
        <v>4</v>
      </c>
      <c r="C81">
        <v>5365.5062589999998</v>
      </c>
      <c r="D81">
        <v>0.96081582300000001</v>
      </c>
      <c r="E81">
        <v>5584.3233769999997</v>
      </c>
      <c r="F81" t="s">
        <v>181</v>
      </c>
    </row>
    <row r="82" spans="1:6" x14ac:dyDescent="0.25">
      <c r="A82">
        <v>62</v>
      </c>
      <c r="B82">
        <v>5</v>
      </c>
      <c r="C82">
        <v>218.81711809999999</v>
      </c>
      <c r="D82">
        <v>3.9184177000000001E-2</v>
      </c>
      <c r="E82">
        <v>5584.3233769999997</v>
      </c>
      <c r="F82" t="s">
        <v>179</v>
      </c>
    </row>
    <row r="83" spans="1:6" x14ac:dyDescent="0.25">
      <c r="A83">
        <v>63</v>
      </c>
      <c r="B83">
        <v>1</v>
      </c>
      <c r="C83">
        <v>1247.0672910000001</v>
      </c>
      <c r="D83">
        <v>0.39856929299999999</v>
      </c>
      <c r="E83">
        <v>3128.8594269999999</v>
      </c>
      <c r="F83" t="s">
        <v>180</v>
      </c>
    </row>
    <row r="84" spans="1:6" x14ac:dyDescent="0.25">
      <c r="A84">
        <v>63</v>
      </c>
      <c r="B84">
        <v>5</v>
      </c>
      <c r="C84">
        <v>1881.792136</v>
      </c>
      <c r="D84">
        <v>0.60143070700000001</v>
      </c>
      <c r="E84">
        <v>3128.8594269999999</v>
      </c>
      <c r="F84" t="s">
        <v>179</v>
      </c>
    </row>
    <row r="85" spans="1:6" x14ac:dyDescent="0.25">
      <c r="A85">
        <v>64</v>
      </c>
      <c r="B85">
        <v>1</v>
      </c>
      <c r="C85">
        <v>10603.988289999999</v>
      </c>
      <c r="D85">
        <v>0.64373153699999996</v>
      </c>
      <c r="E85">
        <v>16472.687249999999</v>
      </c>
      <c r="F85" t="s">
        <v>180</v>
      </c>
    </row>
    <row r="86" spans="1:6" x14ac:dyDescent="0.25">
      <c r="A86">
        <v>64</v>
      </c>
      <c r="B86">
        <v>2</v>
      </c>
      <c r="C86">
        <v>5868.6989610000001</v>
      </c>
      <c r="D86">
        <v>0.35626846299999998</v>
      </c>
      <c r="E86">
        <v>16472.687249999999</v>
      </c>
      <c r="F86" t="s">
        <v>182</v>
      </c>
    </row>
    <row r="87" spans="1:6" x14ac:dyDescent="0.25">
      <c r="A87">
        <v>65</v>
      </c>
      <c r="B87">
        <v>1</v>
      </c>
      <c r="C87">
        <v>5357.3845730000003</v>
      </c>
      <c r="D87">
        <v>0.94948034299999995</v>
      </c>
      <c r="E87">
        <v>5642.4386400000003</v>
      </c>
      <c r="F87" t="s">
        <v>180</v>
      </c>
    </row>
    <row r="88" spans="1:6" x14ac:dyDescent="0.25">
      <c r="A88">
        <v>65</v>
      </c>
      <c r="B88">
        <v>2</v>
      </c>
      <c r="C88">
        <v>285.05406690000001</v>
      </c>
      <c r="D88">
        <v>5.0519657000000003E-2</v>
      </c>
      <c r="E88">
        <v>5642.4386400000003</v>
      </c>
      <c r="F88" t="s">
        <v>182</v>
      </c>
    </row>
    <row r="89" spans="1:6" x14ac:dyDescent="0.25">
      <c r="A89">
        <v>66</v>
      </c>
      <c r="B89">
        <v>1</v>
      </c>
      <c r="C89">
        <v>5350.8446489999997</v>
      </c>
      <c r="D89">
        <v>0.71773439299999997</v>
      </c>
      <c r="E89">
        <v>7455.1877420000001</v>
      </c>
      <c r="F89" t="s">
        <v>180</v>
      </c>
    </row>
    <row r="90" spans="1:6" x14ac:dyDescent="0.25">
      <c r="A90">
        <v>66</v>
      </c>
      <c r="B90">
        <v>2</v>
      </c>
      <c r="C90">
        <v>2104.343093</v>
      </c>
      <c r="D90">
        <v>0.28226560699999997</v>
      </c>
      <c r="E90">
        <v>7455.1877420000001</v>
      </c>
      <c r="F90" t="s">
        <v>182</v>
      </c>
    </row>
    <row r="91" spans="1:6" x14ac:dyDescent="0.25">
      <c r="A91">
        <v>67</v>
      </c>
      <c r="B91">
        <v>1</v>
      </c>
      <c r="C91">
        <v>885.85057889999996</v>
      </c>
      <c r="D91">
        <v>0.29854579199999998</v>
      </c>
      <c r="E91">
        <v>2967.2184350000002</v>
      </c>
      <c r="F91" t="s">
        <v>180</v>
      </c>
    </row>
    <row r="92" spans="1:6" x14ac:dyDescent="0.25">
      <c r="A92">
        <v>67</v>
      </c>
      <c r="B92">
        <v>5</v>
      </c>
      <c r="C92">
        <v>2081.3678559999998</v>
      </c>
      <c r="D92">
        <v>0.70145420800000002</v>
      </c>
      <c r="E92">
        <v>2967.2184350000002</v>
      </c>
      <c r="F92" t="s">
        <v>179</v>
      </c>
    </row>
    <row r="93" spans="1:6" x14ac:dyDescent="0.25">
      <c r="A93">
        <v>68</v>
      </c>
      <c r="B93">
        <v>1</v>
      </c>
      <c r="C93">
        <v>13966.45261</v>
      </c>
      <c r="D93">
        <v>0.99637552200000001</v>
      </c>
      <c r="E93">
        <v>14017.25785</v>
      </c>
      <c r="F93" t="s">
        <v>180</v>
      </c>
    </row>
    <row r="94" spans="1:6" x14ac:dyDescent="0.25">
      <c r="A94">
        <v>68</v>
      </c>
      <c r="B94">
        <v>2</v>
      </c>
      <c r="C94">
        <v>50.80523814</v>
      </c>
      <c r="D94">
        <v>3.624478E-3</v>
      </c>
      <c r="E94">
        <v>14017.25785</v>
      </c>
      <c r="F94" t="s">
        <v>182</v>
      </c>
    </row>
    <row r="95" spans="1:6" x14ac:dyDescent="0.25">
      <c r="A95">
        <v>69</v>
      </c>
      <c r="B95">
        <v>3</v>
      </c>
      <c r="C95">
        <v>114.1984508</v>
      </c>
      <c r="D95">
        <v>5.6203441999999999E-2</v>
      </c>
      <c r="E95">
        <v>2031.876475</v>
      </c>
      <c r="F95" t="s">
        <v>181</v>
      </c>
    </row>
    <row r="96" spans="1:6" x14ac:dyDescent="0.25">
      <c r="A96">
        <v>69</v>
      </c>
      <c r="B96">
        <v>4</v>
      </c>
      <c r="C96">
        <v>1880.8549089999999</v>
      </c>
      <c r="D96">
        <v>0.92567384500000005</v>
      </c>
      <c r="E96">
        <v>2031.876475</v>
      </c>
      <c r="F96" t="s">
        <v>181</v>
      </c>
    </row>
    <row r="97" spans="1:6" x14ac:dyDescent="0.25">
      <c r="A97">
        <v>69</v>
      </c>
      <c r="B97">
        <v>5</v>
      </c>
      <c r="C97">
        <v>36.8231155</v>
      </c>
      <c r="D97">
        <v>1.8122714000000002E-2</v>
      </c>
      <c r="E97">
        <v>2031.876475</v>
      </c>
      <c r="F97" t="s">
        <v>179</v>
      </c>
    </row>
    <row r="98" spans="1:6" x14ac:dyDescent="0.25">
      <c r="A98">
        <v>70</v>
      </c>
      <c r="B98">
        <v>1</v>
      </c>
      <c r="C98">
        <v>907.50750029999995</v>
      </c>
      <c r="D98">
        <v>4.4356426999999997E-2</v>
      </c>
      <c r="E98">
        <v>20459.436689999999</v>
      </c>
      <c r="F98" t="s">
        <v>180</v>
      </c>
    </row>
    <row r="99" spans="1:6" x14ac:dyDescent="0.25">
      <c r="A99">
        <v>70</v>
      </c>
      <c r="B99">
        <v>2</v>
      </c>
      <c r="C99">
        <v>7842.8155349999997</v>
      </c>
      <c r="D99">
        <v>0.38333487199999999</v>
      </c>
      <c r="E99">
        <v>20459.436689999999</v>
      </c>
      <c r="F99" t="s">
        <v>182</v>
      </c>
    </row>
    <row r="100" spans="1:6" x14ac:dyDescent="0.25">
      <c r="A100">
        <v>70</v>
      </c>
      <c r="B100">
        <v>3</v>
      </c>
      <c r="C100">
        <v>2576.758969</v>
      </c>
      <c r="D100">
        <v>0.12594476600000001</v>
      </c>
      <c r="E100">
        <v>20459.436689999999</v>
      </c>
      <c r="F100" t="s">
        <v>181</v>
      </c>
    </row>
    <row r="101" spans="1:6" x14ac:dyDescent="0.25">
      <c r="A101">
        <v>70</v>
      </c>
      <c r="B101">
        <v>5</v>
      </c>
      <c r="C101">
        <v>9132.3546810000007</v>
      </c>
      <c r="D101">
        <v>0.44636393600000002</v>
      </c>
      <c r="E101">
        <v>20459.436689999999</v>
      </c>
      <c r="F101" t="s">
        <v>179</v>
      </c>
    </row>
    <row r="102" spans="1:6" x14ac:dyDescent="0.25">
      <c r="A102">
        <v>71</v>
      </c>
      <c r="B102">
        <v>3</v>
      </c>
      <c r="C102">
        <v>842.36633019999999</v>
      </c>
      <c r="D102">
        <v>0.26633305099999999</v>
      </c>
      <c r="E102">
        <v>3162.8306240000002</v>
      </c>
      <c r="F102" t="s">
        <v>181</v>
      </c>
    </row>
    <row r="103" spans="1:6" x14ac:dyDescent="0.25">
      <c r="A103">
        <v>71</v>
      </c>
      <c r="B103">
        <v>5</v>
      </c>
      <c r="C103">
        <v>2320.4642939999999</v>
      </c>
      <c r="D103">
        <v>0.73366694899999996</v>
      </c>
      <c r="E103">
        <v>3162.8306240000002</v>
      </c>
      <c r="F103" t="s">
        <v>179</v>
      </c>
    </row>
    <row r="104" spans="1:6" x14ac:dyDescent="0.25">
      <c r="A104">
        <v>72</v>
      </c>
      <c r="B104">
        <v>3</v>
      </c>
      <c r="C104">
        <v>415.21967169999999</v>
      </c>
      <c r="D104">
        <v>0.64478179000000002</v>
      </c>
      <c r="E104">
        <v>643.96929009999997</v>
      </c>
      <c r="F104" t="s">
        <v>181</v>
      </c>
    </row>
    <row r="105" spans="1:6" x14ac:dyDescent="0.25">
      <c r="A105">
        <v>72</v>
      </c>
      <c r="B105">
        <v>5</v>
      </c>
      <c r="C105">
        <v>228.7496184</v>
      </c>
      <c r="D105">
        <v>0.35521820999999998</v>
      </c>
      <c r="E105">
        <v>643.96929009999997</v>
      </c>
      <c r="F105" t="s">
        <v>179</v>
      </c>
    </row>
    <row r="106" spans="1:6" x14ac:dyDescent="0.25">
      <c r="A106">
        <v>73</v>
      </c>
      <c r="B106">
        <v>1</v>
      </c>
      <c r="C106">
        <v>1405.0765699999999</v>
      </c>
      <c r="D106">
        <v>0.73570417499999996</v>
      </c>
      <c r="E106">
        <v>1909.8390589999999</v>
      </c>
      <c r="F106" t="s">
        <v>180</v>
      </c>
    </row>
    <row r="107" spans="1:6" x14ac:dyDescent="0.25">
      <c r="A107">
        <v>73</v>
      </c>
      <c r="B107">
        <v>2</v>
      </c>
      <c r="C107">
        <v>504.76248939999999</v>
      </c>
      <c r="D107">
        <v>0.26429582499999998</v>
      </c>
      <c r="E107">
        <v>1909.8390589999999</v>
      </c>
      <c r="F107" t="s">
        <v>182</v>
      </c>
    </row>
    <row r="108" spans="1:6" x14ac:dyDescent="0.25">
      <c r="A108">
        <v>74</v>
      </c>
      <c r="B108">
        <v>3</v>
      </c>
      <c r="C108">
        <v>402.90056090000002</v>
      </c>
      <c r="D108">
        <v>0.39370255900000001</v>
      </c>
      <c r="E108">
        <v>1023.3628200000001</v>
      </c>
      <c r="F108" t="s">
        <v>181</v>
      </c>
    </row>
    <row r="109" spans="1:6" x14ac:dyDescent="0.25">
      <c r="A109">
        <v>74</v>
      </c>
      <c r="B109">
        <v>5</v>
      </c>
      <c r="C109">
        <v>620.46225949999996</v>
      </c>
      <c r="D109">
        <v>0.60629744100000005</v>
      </c>
      <c r="E109">
        <v>1023.3628200000001</v>
      </c>
      <c r="F109" t="s">
        <v>179</v>
      </c>
    </row>
    <row r="110" spans="1:6" x14ac:dyDescent="0.25">
      <c r="A110">
        <v>75</v>
      </c>
      <c r="B110">
        <v>3</v>
      </c>
      <c r="C110">
        <v>6938.4455269999999</v>
      </c>
      <c r="D110">
        <v>0.96790988700000002</v>
      </c>
      <c r="E110">
        <v>7168.4829520000003</v>
      </c>
      <c r="F110" t="s">
        <v>181</v>
      </c>
    </row>
    <row r="111" spans="1:6" x14ac:dyDescent="0.25">
      <c r="A111">
        <v>75</v>
      </c>
      <c r="B111">
        <v>5</v>
      </c>
      <c r="C111">
        <v>230.03742449999999</v>
      </c>
      <c r="D111">
        <v>3.2090113000000003E-2</v>
      </c>
      <c r="E111">
        <v>7168.4829520000003</v>
      </c>
      <c r="F111" t="s">
        <v>179</v>
      </c>
    </row>
    <row r="112" spans="1:6" x14ac:dyDescent="0.25">
      <c r="A112">
        <v>76</v>
      </c>
      <c r="B112">
        <v>1</v>
      </c>
      <c r="C112">
        <v>1179.1109100000001</v>
      </c>
      <c r="D112">
        <v>0.100321638</v>
      </c>
      <c r="E112">
        <v>11753.306039999999</v>
      </c>
      <c r="F112" t="s">
        <v>180</v>
      </c>
    </row>
    <row r="113" spans="1:6" x14ac:dyDescent="0.25">
      <c r="A113">
        <v>76</v>
      </c>
      <c r="B113">
        <v>2</v>
      </c>
      <c r="C113">
        <v>10574.19513</v>
      </c>
      <c r="D113">
        <v>0.89967836199999995</v>
      </c>
      <c r="E113">
        <v>11753.306039999999</v>
      </c>
      <c r="F113" t="s">
        <v>182</v>
      </c>
    </row>
    <row r="114" spans="1:6" x14ac:dyDescent="0.25">
      <c r="A114">
        <v>77</v>
      </c>
      <c r="B114">
        <v>1</v>
      </c>
      <c r="C114">
        <v>666.35358059999999</v>
      </c>
      <c r="D114">
        <v>0.203456578</v>
      </c>
      <c r="E114">
        <v>3275.1636100000001</v>
      </c>
      <c r="F114" t="s">
        <v>180</v>
      </c>
    </row>
    <row r="115" spans="1:6" x14ac:dyDescent="0.25">
      <c r="A115">
        <v>77</v>
      </c>
      <c r="B115">
        <v>2</v>
      </c>
      <c r="C115">
        <v>2608.8100290000002</v>
      </c>
      <c r="D115">
        <v>0.79654342199999995</v>
      </c>
      <c r="E115">
        <v>3275.1636100000001</v>
      </c>
      <c r="F115" t="s">
        <v>182</v>
      </c>
    </row>
    <row r="116" spans="1:6" x14ac:dyDescent="0.25">
      <c r="A116">
        <v>78</v>
      </c>
      <c r="B116">
        <v>3</v>
      </c>
      <c r="C116">
        <v>2829.7304880000002</v>
      </c>
      <c r="D116">
        <v>1</v>
      </c>
      <c r="E116">
        <v>2829.7304880000002</v>
      </c>
      <c r="F116" t="s">
        <v>181</v>
      </c>
    </row>
    <row r="117" spans="1:6" x14ac:dyDescent="0.25">
      <c r="A117">
        <v>79</v>
      </c>
      <c r="B117">
        <v>2</v>
      </c>
      <c r="C117">
        <v>4152.5135799999998</v>
      </c>
      <c r="D117">
        <v>1</v>
      </c>
      <c r="E117">
        <v>4152.5135799999998</v>
      </c>
      <c r="F117" t="s">
        <v>182</v>
      </c>
    </row>
    <row r="118" spans="1:6" x14ac:dyDescent="0.25">
      <c r="A118">
        <v>80</v>
      </c>
      <c r="B118">
        <v>2</v>
      </c>
      <c r="C118">
        <v>691.95630470000003</v>
      </c>
      <c r="D118">
        <v>1</v>
      </c>
      <c r="E118">
        <v>691.95630470000003</v>
      </c>
      <c r="F118" t="s">
        <v>182</v>
      </c>
    </row>
    <row r="119" spans="1:6" x14ac:dyDescent="0.25">
      <c r="A119">
        <v>81</v>
      </c>
      <c r="B119">
        <v>1</v>
      </c>
      <c r="C119">
        <v>142.53702730000001</v>
      </c>
      <c r="D119">
        <v>3.7220865999999998E-2</v>
      </c>
      <c r="E119">
        <v>3829.4925509999998</v>
      </c>
      <c r="F119" t="s">
        <v>180</v>
      </c>
    </row>
    <row r="120" spans="1:6" x14ac:dyDescent="0.25">
      <c r="A120">
        <v>81</v>
      </c>
      <c r="B120">
        <v>2</v>
      </c>
      <c r="C120">
        <v>3686.955524</v>
      </c>
      <c r="D120">
        <v>0.96277913400000004</v>
      </c>
      <c r="E120">
        <v>3829.4925509999998</v>
      </c>
      <c r="F120" t="s">
        <v>182</v>
      </c>
    </row>
    <row r="121" spans="1:6" x14ac:dyDescent="0.25">
      <c r="A121">
        <v>82</v>
      </c>
      <c r="B121">
        <v>2</v>
      </c>
      <c r="C121">
        <v>15965.55294</v>
      </c>
      <c r="D121">
        <v>1</v>
      </c>
      <c r="E121">
        <v>15965.55294</v>
      </c>
      <c r="F121" t="s">
        <v>182</v>
      </c>
    </row>
    <row r="122" spans="1:6" x14ac:dyDescent="0.25">
      <c r="A122">
        <v>83</v>
      </c>
      <c r="B122">
        <v>3</v>
      </c>
      <c r="C122">
        <v>7228.4334900000003</v>
      </c>
      <c r="D122">
        <v>1</v>
      </c>
      <c r="E122">
        <v>7228.4334900000003</v>
      </c>
      <c r="F122" t="s">
        <v>181</v>
      </c>
    </row>
    <row r="123" spans="1:6" x14ac:dyDescent="0.25">
      <c r="A123">
        <v>84</v>
      </c>
      <c r="B123">
        <v>2</v>
      </c>
      <c r="C123">
        <v>1670.20398</v>
      </c>
      <c r="D123">
        <v>0.74373347300000003</v>
      </c>
      <c r="E123">
        <v>2245.7023140000001</v>
      </c>
      <c r="F123" t="s">
        <v>182</v>
      </c>
    </row>
    <row r="124" spans="1:6" x14ac:dyDescent="0.25">
      <c r="A124">
        <v>84</v>
      </c>
      <c r="B124">
        <v>3</v>
      </c>
      <c r="C124">
        <v>575.49833360000002</v>
      </c>
      <c r="D124">
        <v>0.25626652700000002</v>
      </c>
      <c r="E124">
        <v>2245.7023140000001</v>
      </c>
      <c r="F124" t="s">
        <v>181</v>
      </c>
    </row>
    <row r="125" spans="1:6" x14ac:dyDescent="0.25">
      <c r="A125">
        <v>85</v>
      </c>
      <c r="B125">
        <v>2</v>
      </c>
      <c r="C125">
        <v>1030.2184729999999</v>
      </c>
      <c r="D125">
        <v>1</v>
      </c>
      <c r="E125">
        <v>1030.2184729999999</v>
      </c>
      <c r="F125" t="s">
        <v>182</v>
      </c>
    </row>
    <row r="126" spans="1:6" x14ac:dyDescent="0.25">
      <c r="A126">
        <v>86</v>
      </c>
      <c r="B126">
        <v>2</v>
      </c>
      <c r="C126">
        <v>2640.6076979999998</v>
      </c>
      <c r="D126">
        <v>1</v>
      </c>
      <c r="E126">
        <v>2640.6076979999998</v>
      </c>
      <c r="F126" t="s">
        <v>182</v>
      </c>
    </row>
    <row r="127" spans="1:6" x14ac:dyDescent="0.25">
      <c r="A127">
        <v>87</v>
      </c>
      <c r="B127">
        <v>2</v>
      </c>
      <c r="C127">
        <v>12201.73443</v>
      </c>
      <c r="D127">
        <v>1</v>
      </c>
      <c r="E127">
        <v>12201.73443</v>
      </c>
      <c r="F127" t="s">
        <v>182</v>
      </c>
    </row>
    <row r="128" spans="1:6" x14ac:dyDescent="0.25">
      <c r="A128">
        <v>88</v>
      </c>
      <c r="B128">
        <v>3</v>
      </c>
      <c r="C128">
        <v>7150.4327249999997</v>
      </c>
      <c r="D128">
        <v>1</v>
      </c>
      <c r="E128">
        <v>7150.4327249999997</v>
      </c>
      <c r="F128" t="s">
        <v>181</v>
      </c>
    </row>
    <row r="129" spans="1:6" x14ac:dyDescent="0.25">
      <c r="A129">
        <v>89</v>
      </c>
      <c r="B129">
        <v>2</v>
      </c>
      <c r="C129">
        <v>9660.4912509999995</v>
      </c>
      <c r="D129">
        <v>0.99525169800000002</v>
      </c>
      <c r="E129">
        <v>9706.5810290000009</v>
      </c>
      <c r="F129" t="s">
        <v>182</v>
      </c>
    </row>
    <row r="130" spans="1:6" x14ac:dyDescent="0.25">
      <c r="A130">
        <v>89</v>
      </c>
      <c r="B130">
        <v>3</v>
      </c>
      <c r="C130">
        <v>46.089778330000001</v>
      </c>
      <c r="D130">
        <v>4.7483020000000003E-3</v>
      </c>
      <c r="E130">
        <v>9706.5810290000009</v>
      </c>
      <c r="F130" t="s">
        <v>181</v>
      </c>
    </row>
    <row r="131" spans="1:6" x14ac:dyDescent="0.25">
      <c r="A131">
        <v>90</v>
      </c>
      <c r="B131">
        <v>2</v>
      </c>
      <c r="C131">
        <v>10672.470810000001</v>
      </c>
      <c r="D131">
        <v>1</v>
      </c>
      <c r="E131">
        <v>10672.470810000001</v>
      </c>
      <c r="F131" t="s">
        <v>182</v>
      </c>
    </row>
    <row r="132" spans="1:6" x14ac:dyDescent="0.25">
      <c r="A132">
        <v>91</v>
      </c>
      <c r="B132">
        <v>2</v>
      </c>
      <c r="C132">
        <v>13019.674059999999</v>
      </c>
      <c r="D132">
        <v>0.94205129700000001</v>
      </c>
      <c r="E132">
        <v>13820.55744</v>
      </c>
      <c r="F132" t="s">
        <v>182</v>
      </c>
    </row>
    <row r="133" spans="1:6" x14ac:dyDescent="0.25">
      <c r="A133">
        <v>91</v>
      </c>
      <c r="B133">
        <v>3</v>
      </c>
      <c r="C133">
        <v>800.88337960000001</v>
      </c>
      <c r="D133">
        <v>5.7948702999999997E-2</v>
      </c>
      <c r="E133">
        <v>13820.55744</v>
      </c>
      <c r="F133" t="s">
        <v>181</v>
      </c>
    </row>
    <row r="134" spans="1:6" x14ac:dyDescent="0.25">
      <c r="A134">
        <v>92</v>
      </c>
      <c r="B134">
        <v>3</v>
      </c>
      <c r="C134">
        <v>1549.9391989999999</v>
      </c>
      <c r="D134">
        <v>1</v>
      </c>
      <c r="E134">
        <v>1549.9391989999999</v>
      </c>
      <c r="F134" t="s">
        <v>181</v>
      </c>
    </row>
    <row r="135" spans="1:6" x14ac:dyDescent="0.25">
      <c r="A135">
        <v>93</v>
      </c>
      <c r="B135">
        <v>2</v>
      </c>
      <c r="C135">
        <v>12300.457060000001</v>
      </c>
      <c r="D135">
        <v>1</v>
      </c>
      <c r="E135">
        <v>12300.457060000001</v>
      </c>
      <c r="F135" t="s">
        <v>182</v>
      </c>
    </row>
    <row r="136" spans="1:6" x14ac:dyDescent="0.25">
      <c r="A136">
        <v>94</v>
      </c>
      <c r="B136">
        <v>2</v>
      </c>
      <c r="C136">
        <v>766.632969</v>
      </c>
      <c r="D136">
        <v>1</v>
      </c>
      <c r="E136">
        <v>766.632969</v>
      </c>
      <c r="F136" t="s">
        <v>182</v>
      </c>
    </row>
    <row r="137" spans="1:6" x14ac:dyDescent="0.25">
      <c r="A137">
        <v>95</v>
      </c>
      <c r="B137">
        <v>3</v>
      </c>
      <c r="C137">
        <v>2263.7359660000002</v>
      </c>
      <c r="D137">
        <v>1</v>
      </c>
      <c r="E137">
        <v>2263.7359660000002</v>
      </c>
      <c r="F137" t="s">
        <v>181</v>
      </c>
    </row>
    <row r="138" spans="1:6" x14ac:dyDescent="0.25">
      <c r="A138">
        <v>96</v>
      </c>
      <c r="B138">
        <v>3</v>
      </c>
      <c r="C138">
        <v>4010.8996950000001</v>
      </c>
      <c r="D138">
        <v>1</v>
      </c>
      <c r="E138">
        <v>4010.8996950000001</v>
      </c>
      <c r="F138" t="s">
        <v>181</v>
      </c>
    </row>
    <row r="139" spans="1:6" x14ac:dyDescent="0.25">
      <c r="A139">
        <v>97</v>
      </c>
      <c r="B139">
        <v>2</v>
      </c>
      <c r="C139">
        <v>1854.1877119999999</v>
      </c>
      <c r="D139">
        <v>1</v>
      </c>
      <c r="E139">
        <v>1854.1877119999999</v>
      </c>
      <c r="F139" t="s">
        <v>182</v>
      </c>
    </row>
    <row r="140" spans="1:6" x14ac:dyDescent="0.25">
      <c r="A140">
        <v>98</v>
      </c>
      <c r="B140">
        <v>2</v>
      </c>
      <c r="C140">
        <v>2253.0707219999999</v>
      </c>
      <c r="D140">
        <v>1</v>
      </c>
      <c r="E140">
        <v>2253.0707219999999</v>
      </c>
      <c r="F140" t="s">
        <v>182</v>
      </c>
    </row>
    <row r="141" spans="1:6" x14ac:dyDescent="0.25">
      <c r="A141">
        <v>99</v>
      </c>
      <c r="B141">
        <v>2</v>
      </c>
      <c r="C141">
        <v>19496.004209999999</v>
      </c>
      <c r="D141">
        <v>1</v>
      </c>
      <c r="E141">
        <v>19496.004209999999</v>
      </c>
      <c r="F141" t="s">
        <v>182</v>
      </c>
    </row>
    <row r="142" spans="1:6" x14ac:dyDescent="0.25">
      <c r="A142">
        <v>100</v>
      </c>
      <c r="B142">
        <v>3</v>
      </c>
      <c r="C142">
        <v>4309.3284350000004</v>
      </c>
      <c r="D142">
        <v>1</v>
      </c>
      <c r="E142">
        <v>4309.3284350000004</v>
      </c>
      <c r="F142" t="s">
        <v>181</v>
      </c>
    </row>
    <row r="143" spans="1:6" x14ac:dyDescent="0.25">
      <c r="A143">
        <v>101</v>
      </c>
      <c r="B143">
        <v>2</v>
      </c>
      <c r="C143">
        <v>8745.6270600000007</v>
      </c>
      <c r="D143">
        <v>1</v>
      </c>
      <c r="E143">
        <v>8745.6270600000007</v>
      </c>
      <c r="F143" t="s">
        <v>182</v>
      </c>
    </row>
    <row r="144" spans="1:6" x14ac:dyDescent="0.25">
      <c r="A144">
        <v>102</v>
      </c>
      <c r="B144">
        <v>2</v>
      </c>
      <c r="C144">
        <v>1855.3501349999999</v>
      </c>
      <c r="D144">
        <v>1</v>
      </c>
      <c r="E144">
        <v>1855.3501349999999</v>
      </c>
      <c r="F144" t="s">
        <v>182</v>
      </c>
    </row>
    <row r="145" spans="1:6" x14ac:dyDescent="0.25">
      <c r="A145">
        <v>103</v>
      </c>
      <c r="B145">
        <v>3</v>
      </c>
      <c r="C145">
        <v>1567.0886170000001</v>
      </c>
      <c r="D145">
        <v>1</v>
      </c>
      <c r="E145">
        <v>1567.0886170000001</v>
      </c>
      <c r="F145" t="s">
        <v>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E1" sqref="E1"/>
    </sheetView>
  </sheetViews>
  <sheetFormatPr defaultRowHeight="15" x14ac:dyDescent="0.25"/>
  <sheetData>
    <row r="1" spans="1:4" x14ac:dyDescent="0.25">
      <c r="A1" t="s">
        <v>138</v>
      </c>
      <c r="B1" t="s">
        <v>139</v>
      </c>
      <c r="C1" t="s">
        <v>140</v>
      </c>
      <c r="D1" t="s">
        <v>141</v>
      </c>
    </row>
    <row r="2" spans="1:4" x14ac:dyDescent="0.25">
      <c r="A2">
        <v>1</v>
      </c>
      <c r="B2">
        <v>2873.4663369999998</v>
      </c>
      <c r="C2">
        <v>7100.4789929999997</v>
      </c>
      <c r="D2">
        <v>364.46</v>
      </c>
    </row>
    <row r="3" spans="1:4" x14ac:dyDescent="0.25">
      <c r="A3">
        <v>2</v>
      </c>
      <c r="B3">
        <v>2671.3259090000001</v>
      </c>
      <c r="C3">
        <v>6600.9798870000004</v>
      </c>
      <c r="D3">
        <v>315.33643208768001</v>
      </c>
    </row>
    <row r="4" spans="1:4" x14ac:dyDescent="0.25">
      <c r="A4">
        <v>3</v>
      </c>
      <c r="B4">
        <v>1811.1523560000001</v>
      </c>
      <c r="C4">
        <v>4475.4480299999996</v>
      </c>
      <c r="D4">
        <v>314.88114485839998</v>
      </c>
    </row>
    <row r="5" spans="1:4" x14ac:dyDescent="0.25">
      <c r="A5">
        <v>4</v>
      </c>
      <c r="B5">
        <v>2690.4919159999999</v>
      </c>
      <c r="C5">
        <v>6648.3400499999998</v>
      </c>
      <c r="D5">
        <v>311.89999999999998</v>
      </c>
    </row>
    <row r="6" spans="1:4" x14ac:dyDescent="0.25">
      <c r="A6">
        <v>5</v>
      </c>
      <c r="B6">
        <v>813.87362829999995</v>
      </c>
      <c r="C6">
        <v>2011.122429</v>
      </c>
      <c r="D6">
        <v>358.43779319719999</v>
      </c>
    </row>
    <row r="7" spans="1:4" x14ac:dyDescent="0.25">
      <c r="A7">
        <v>6</v>
      </c>
      <c r="B7">
        <v>1876.90543</v>
      </c>
      <c r="C7">
        <v>4637.9271630000003</v>
      </c>
      <c r="D7">
        <v>364.46</v>
      </c>
    </row>
    <row r="8" spans="1:4" x14ac:dyDescent="0.25">
      <c r="A8">
        <v>7</v>
      </c>
      <c r="B8">
        <v>7414.4476260000001</v>
      </c>
      <c r="C8">
        <v>18321.470809999999</v>
      </c>
      <c r="D8">
        <v>311.89999999999998</v>
      </c>
    </row>
    <row r="9" spans="1:4" x14ac:dyDescent="0.25">
      <c r="A9">
        <v>8</v>
      </c>
      <c r="B9">
        <v>6473.949087</v>
      </c>
      <c r="C9">
        <v>15997.45189</v>
      </c>
      <c r="D9">
        <v>364.41662570096003</v>
      </c>
    </row>
    <row r="10" spans="1:4" x14ac:dyDescent="0.25">
      <c r="A10">
        <v>9</v>
      </c>
      <c r="B10">
        <v>831.3886334</v>
      </c>
      <c r="C10">
        <v>2054.4028819999999</v>
      </c>
      <c r="D10">
        <v>364.46</v>
      </c>
    </row>
    <row r="11" spans="1:4" x14ac:dyDescent="0.25">
      <c r="A11">
        <v>10</v>
      </c>
      <c r="B11">
        <v>1520.503731</v>
      </c>
      <c r="C11">
        <v>3757.2407450000001</v>
      </c>
      <c r="D11">
        <v>311.89999999999998</v>
      </c>
    </row>
    <row r="12" spans="1:4" x14ac:dyDescent="0.25">
      <c r="A12">
        <v>11</v>
      </c>
      <c r="B12">
        <v>3850.502305</v>
      </c>
      <c r="C12">
        <v>9514.7837220000001</v>
      </c>
      <c r="D12">
        <v>311.89999999999998</v>
      </c>
    </row>
    <row r="13" spans="1:4" x14ac:dyDescent="0.25">
      <c r="A13">
        <v>12</v>
      </c>
      <c r="B13">
        <v>5194.9945589999998</v>
      </c>
      <c r="C13">
        <v>12837.0913</v>
      </c>
      <c r="D13">
        <v>311.89999999999998</v>
      </c>
    </row>
    <row r="14" spans="1:4" x14ac:dyDescent="0.25">
      <c r="A14">
        <v>13</v>
      </c>
      <c r="B14">
        <v>742.52150289999997</v>
      </c>
      <c r="C14">
        <v>1834.8077599999999</v>
      </c>
      <c r="D14">
        <v>311.89999999999998</v>
      </c>
    </row>
    <row r="15" spans="1:4" x14ac:dyDescent="0.25">
      <c r="A15">
        <v>14</v>
      </c>
      <c r="B15">
        <v>3781.8061560000001</v>
      </c>
      <c r="C15">
        <v>9345.0321019999992</v>
      </c>
      <c r="D15">
        <v>312.89851790312002</v>
      </c>
    </row>
    <row r="16" spans="1:4" x14ac:dyDescent="0.25">
      <c r="A16">
        <v>15</v>
      </c>
      <c r="B16">
        <v>1338.8213989999999</v>
      </c>
      <c r="C16">
        <v>3308.294617</v>
      </c>
      <c r="D16">
        <v>311.89999999999998</v>
      </c>
    </row>
    <row r="17" spans="1:4" x14ac:dyDescent="0.25">
      <c r="A17">
        <v>16</v>
      </c>
      <c r="B17">
        <v>7076.3505320000004</v>
      </c>
      <c r="C17">
        <v>17486.01598</v>
      </c>
      <c r="D17">
        <v>359.67378212096003</v>
      </c>
    </row>
    <row r="18" spans="1:4" x14ac:dyDescent="0.25">
      <c r="A18">
        <v>17</v>
      </c>
      <c r="B18">
        <v>1075.7373580000001</v>
      </c>
      <c r="C18">
        <v>2658.2007979999998</v>
      </c>
      <c r="D18">
        <v>364.46</v>
      </c>
    </row>
    <row r="19" spans="1:4" x14ac:dyDescent="0.25">
      <c r="A19">
        <v>18</v>
      </c>
      <c r="B19">
        <v>2032.4587919999999</v>
      </c>
      <c r="C19">
        <v>5022.3072979999997</v>
      </c>
      <c r="D19">
        <v>364.46</v>
      </c>
    </row>
    <row r="20" spans="1:4" x14ac:dyDescent="0.25">
      <c r="A20">
        <v>19</v>
      </c>
      <c r="B20">
        <v>495.08611739999998</v>
      </c>
      <c r="C20">
        <v>1223.38255</v>
      </c>
      <c r="D20">
        <v>311.89999999999998</v>
      </c>
    </row>
    <row r="21" spans="1:4" x14ac:dyDescent="0.25">
      <c r="A21">
        <v>20</v>
      </c>
      <c r="B21">
        <v>6772.780984</v>
      </c>
      <c r="C21">
        <v>16735.880450000001</v>
      </c>
      <c r="D21">
        <v>311.89999999999998</v>
      </c>
    </row>
    <row r="22" spans="1:4" x14ac:dyDescent="0.25">
      <c r="A22">
        <v>21</v>
      </c>
      <c r="B22">
        <v>3343.8591500000002</v>
      </c>
      <c r="C22">
        <v>8262.8431519999995</v>
      </c>
      <c r="D22">
        <v>354.12972761911999</v>
      </c>
    </row>
    <row r="23" spans="1:4" x14ac:dyDescent="0.25">
      <c r="A23">
        <v>22</v>
      </c>
      <c r="B23">
        <v>1526.3181239999999</v>
      </c>
      <c r="C23">
        <v>3771.6084019999998</v>
      </c>
      <c r="D23">
        <v>364.46</v>
      </c>
    </row>
    <row r="24" spans="1:4" x14ac:dyDescent="0.25">
      <c r="A24">
        <v>23</v>
      </c>
      <c r="B24">
        <v>289.78725109999999</v>
      </c>
      <c r="C24">
        <v>716.07878670000002</v>
      </c>
      <c r="D24">
        <v>311.89999999999998</v>
      </c>
    </row>
    <row r="25" spans="1:4" x14ac:dyDescent="0.25">
      <c r="A25">
        <v>24</v>
      </c>
      <c r="B25">
        <v>1806.055785</v>
      </c>
      <c r="C25">
        <v>4462.8541480000004</v>
      </c>
      <c r="D25">
        <v>311.89999999999998</v>
      </c>
    </row>
    <row r="26" spans="1:4" x14ac:dyDescent="0.25">
      <c r="A26">
        <v>25</v>
      </c>
      <c r="B26">
        <v>3553.1778730000001</v>
      </c>
      <c r="C26">
        <v>8780.0801840000004</v>
      </c>
      <c r="D26">
        <v>364.46</v>
      </c>
    </row>
    <row r="27" spans="1:4" x14ac:dyDescent="0.25">
      <c r="A27">
        <v>26</v>
      </c>
      <c r="B27">
        <v>6607.6087070000003</v>
      </c>
      <c r="C27">
        <v>16327.7315</v>
      </c>
      <c r="D27">
        <v>364.46</v>
      </c>
    </row>
    <row r="28" spans="1:4" x14ac:dyDescent="0.25">
      <c r="A28">
        <v>27</v>
      </c>
      <c r="B28">
        <v>3613.2601030000001</v>
      </c>
      <c r="C28">
        <v>8928.5463770000006</v>
      </c>
      <c r="D28">
        <v>364.46</v>
      </c>
    </row>
    <row r="29" spans="1:4" x14ac:dyDescent="0.25">
      <c r="A29">
        <v>28</v>
      </c>
      <c r="B29">
        <v>5909.6643270000004</v>
      </c>
      <c r="C29">
        <v>14603.07603</v>
      </c>
      <c r="D29">
        <v>311.89999999999998</v>
      </c>
    </row>
    <row r="30" spans="1:4" x14ac:dyDescent="0.25">
      <c r="A30">
        <v>29</v>
      </c>
      <c r="B30">
        <v>1119.3095269999999</v>
      </c>
      <c r="C30">
        <v>2765.869807</v>
      </c>
      <c r="D30">
        <v>364.46</v>
      </c>
    </row>
    <row r="31" spans="1:4" x14ac:dyDescent="0.25">
      <c r="A31">
        <v>30</v>
      </c>
      <c r="B31">
        <v>721.77626599999996</v>
      </c>
      <c r="C31">
        <v>1783.5452419999999</v>
      </c>
      <c r="D31">
        <v>411.37192895215998</v>
      </c>
    </row>
    <row r="32" spans="1:4" x14ac:dyDescent="0.25">
      <c r="A32">
        <v>31</v>
      </c>
      <c r="B32">
        <v>2141.5686970000002</v>
      </c>
      <c r="C32">
        <v>5291.9233299999996</v>
      </c>
      <c r="D32">
        <v>311.89999999999998</v>
      </c>
    </row>
    <row r="33" spans="1:4" x14ac:dyDescent="0.25">
      <c r="A33">
        <v>32</v>
      </c>
      <c r="B33">
        <v>2484.834147</v>
      </c>
      <c r="C33">
        <v>6140.1494190000003</v>
      </c>
      <c r="D33">
        <v>364.46</v>
      </c>
    </row>
    <row r="34" spans="1:4" x14ac:dyDescent="0.25">
      <c r="A34">
        <v>33</v>
      </c>
      <c r="B34">
        <v>867.56718239999998</v>
      </c>
      <c r="C34">
        <v>2143.8018860000002</v>
      </c>
      <c r="D34">
        <v>437.77324772119999</v>
      </c>
    </row>
    <row r="35" spans="1:4" x14ac:dyDescent="0.25">
      <c r="A35">
        <v>34</v>
      </c>
      <c r="B35">
        <v>1392.8738579999999</v>
      </c>
      <c r="C35">
        <v>3441.8609459999998</v>
      </c>
      <c r="D35">
        <v>369.77466613387998</v>
      </c>
    </row>
    <row r="36" spans="1:4" x14ac:dyDescent="0.25">
      <c r="A36">
        <v>35</v>
      </c>
      <c r="B36">
        <v>5405.0311009999996</v>
      </c>
      <c r="C36">
        <v>13356.1021</v>
      </c>
      <c r="D36">
        <v>318.17738360551999</v>
      </c>
    </row>
    <row r="37" spans="1:4" x14ac:dyDescent="0.25">
      <c r="A37">
        <v>36</v>
      </c>
      <c r="B37">
        <v>2536.4459830000001</v>
      </c>
      <c r="C37">
        <v>6267.6848460000001</v>
      </c>
      <c r="D37">
        <v>354.58837931912001</v>
      </c>
    </row>
    <row r="38" spans="1:4" x14ac:dyDescent="0.25">
      <c r="A38">
        <v>37</v>
      </c>
      <c r="B38">
        <v>747.11560889999998</v>
      </c>
      <c r="C38">
        <v>1846.1600249999999</v>
      </c>
      <c r="D38">
        <v>311.89999999999998</v>
      </c>
    </row>
    <row r="39" spans="1:4" x14ac:dyDescent="0.25">
      <c r="A39">
        <v>38</v>
      </c>
      <c r="B39">
        <v>2426.1875869999999</v>
      </c>
      <c r="C39">
        <v>5995.2308370000001</v>
      </c>
      <c r="D39">
        <v>364.46</v>
      </c>
    </row>
    <row r="40" spans="1:4" x14ac:dyDescent="0.25">
      <c r="A40">
        <v>39</v>
      </c>
      <c r="B40">
        <v>462.56850059999999</v>
      </c>
      <c r="C40">
        <v>1143.0298929999999</v>
      </c>
      <c r="D40">
        <v>364.46</v>
      </c>
    </row>
    <row r="41" spans="1:4" x14ac:dyDescent="0.25">
      <c r="A41">
        <v>40</v>
      </c>
      <c r="B41">
        <v>8846.0124149999992</v>
      </c>
      <c r="C41">
        <v>21858.938979999999</v>
      </c>
      <c r="D41">
        <v>311.89999999999998</v>
      </c>
    </row>
    <row r="42" spans="1:4" x14ac:dyDescent="0.25">
      <c r="A42">
        <v>41</v>
      </c>
      <c r="B42">
        <v>629.96604319999994</v>
      </c>
      <c r="C42">
        <v>1556.6775909999999</v>
      </c>
      <c r="D42">
        <v>364.46</v>
      </c>
    </row>
    <row r="43" spans="1:4" x14ac:dyDescent="0.25">
      <c r="A43">
        <v>42</v>
      </c>
      <c r="B43">
        <v>1118.017441</v>
      </c>
      <c r="C43">
        <v>2762.6769979999999</v>
      </c>
      <c r="D43">
        <v>311.89999999999998</v>
      </c>
    </row>
    <row r="44" spans="1:4" x14ac:dyDescent="0.25">
      <c r="A44">
        <v>43</v>
      </c>
      <c r="B44">
        <v>2898.5185529999999</v>
      </c>
      <c r="C44">
        <v>7162.3842690000001</v>
      </c>
      <c r="D44">
        <v>364.46</v>
      </c>
    </row>
    <row r="45" spans="1:4" x14ac:dyDescent="0.25">
      <c r="A45">
        <v>44</v>
      </c>
      <c r="B45">
        <v>1162.9534839999999</v>
      </c>
      <c r="C45">
        <v>2873.7162050000002</v>
      </c>
      <c r="D45">
        <v>364.46</v>
      </c>
    </row>
    <row r="46" spans="1:4" x14ac:dyDescent="0.25">
      <c r="A46">
        <v>45</v>
      </c>
      <c r="B46">
        <v>7775.6587579999996</v>
      </c>
      <c r="C46">
        <v>19214.041570000001</v>
      </c>
      <c r="D46">
        <v>357.82312218295999</v>
      </c>
    </row>
    <row r="47" spans="1:4" x14ac:dyDescent="0.25">
      <c r="A47">
        <v>46</v>
      </c>
      <c r="B47">
        <v>574.11900419999995</v>
      </c>
      <c r="C47">
        <v>1418.6767649999999</v>
      </c>
      <c r="D47">
        <v>364.46</v>
      </c>
    </row>
    <row r="48" spans="1:4" x14ac:dyDescent="0.25">
      <c r="A48">
        <v>47</v>
      </c>
      <c r="B48">
        <v>13232.15814</v>
      </c>
      <c r="C48">
        <v>32697.324379999998</v>
      </c>
      <c r="D48">
        <v>389.74201377224</v>
      </c>
    </row>
    <row r="49" spans="1:4" x14ac:dyDescent="0.25">
      <c r="A49">
        <v>48</v>
      </c>
      <c r="B49">
        <v>778.6282612</v>
      </c>
      <c r="C49">
        <v>1924.0293650000001</v>
      </c>
      <c r="D49">
        <v>311.89999999999998</v>
      </c>
    </row>
    <row r="50" spans="1:4" x14ac:dyDescent="0.25">
      <c r="A50">
        <v>49</v>
      </c>
      <c r="B50">
        <v>623.43380239999999</v>
      </c>
      <c r="C50">
        <v>1540.5360969999999</v>
      </c>
      <c r="D50">
        <v>311.89999999999998</v>
      </c>
    </row>
    <row r="51" spans="1:4" x14ac:dyDescent="0.25">
      <c r="A51">
        <v>50</v>
      </c>
      <c r="B51">
        <v>626.16155670000001</v>
      </c>
      <c r="C51">
        <v>1547.276515</v>
      </c>
      <c r="D51">
        <v>311.89999999999998</v>
      </c>
    </row>
    <row r="52" spans="1:4" x14ac:dyDescent="0.25">
      <c r="A52">
        <v>51</v>
      </c>
      <c r="B52">
        <v>284.61889070000001</v>
      </c>
      <c r="C52">
        <v>703.30750999999998</v>
      </c>
      <c r="D52">
        <v>364.46</v>
      </c>
    </row>
    <row r="53" spans="1:4" x14ac:dyDescent="0.25">
      <c r="A53">
        <v>52</v>
      </c>
      <c r="B53">
        <v>651.78801769999995</v>
      </c>
      <c r="C53">
        <v>1610.6007810000001</v>
      </c>
      <c r="D53">
        <v>311.89999999999998</v>
      </c>
    </row>
    <row r="54" spans="1:4" x14ac:dyDescent="0.25">
      <c r="A54">
        <v>53</v>
      </c>
      <c r="B54">
        <v>10273.34204</v>
      </c>
      <c r="C54">
        <v>25385.94184</v>
      </c>
      <c r="D54">
        <v>413.87526610027999</v>
      </c>
    </row>
    <row r="55" spans="1:4" x14ac:dyDescent="0.25">
      <c r="A55">
        <v>54</v>
      </c>
      <c r="B55">
        <v>875.89398840000001</v>
      </c>
      <c r="C55">
        <v>2164.3778400000001</v>
      </c>
      <c r="D55">
        <v>311.89999999999998</v>
      </c>
    </row>
    <row r="56" spans="1:4" x14ac:dyDescent="0.25">
      <c r="A56">
        <v>55</v>
      </c>
      <c r="B56">
        <v>940.78565360000005</v>
      </c>
      <c r="C56">
        <v>2324.7283889999999</v>
      </c>
      <c r="D56">
        <v>311.89999999999998</v>
      </c>
    </row>
    <row r="57" spans="1:4" x14ac:dyDescent="0.25">
      <c r="A57">
        <v>56</v>
      </c>
      <c r="B57">
        <v>384.25344009999998</v>
      </c>
      <c r="C57">
        <v>949.50946320000003</v>
      </c>
      <c r="D57">
        <v>325.02487764704</v>
      </c>
    </row>
    <row r="58" spans="1:4" x14ac:dyDescent="0.25">
      <c r="A58">
        <v>57</v>
      </c>
      <c r="B58">
        <v>765.49200540000004</v>
      </c>
      <c r="C58">
        <v>1891.5690199999999</v>
      </c>
      <c r="D58">
        <v>311.89999999999998</v>
      </c>
    </row>
    <row r="59" spans="1:4" x14ac:dyDescent="0.25">
      <c r="A59">
        <v>58</v>
      </c>
      <c r="B59">
        <v>7132.4129169999997</v>
      </c>
      <c r="C59">
        <v>17624.548940000001</v>
      </c>
      <c r="D59">
        <v>385.39434320371998</v>
      </c>
    </row>
    <row r="60" spans="1:4" x14ac:dyDescent="0.25">
      <c r="A60">
        <v>59</v>
      </c>
      <c r="B60">
        <v>2481.962833</v>
      </c>
      <c r="C60">
        <v>6133.0542580000001</v>
      </c>
      <c r="D60">
        <v>364.46</v>
      </c>
    </row>
    <row r="61" spans="1:4" x14ac:dyDescent="0.25">
      <c r="A61">
        <v>60</v>
      </c>
      <c r="B61">
        <v>1526.389911</v>
      </c>
      <c r="C61">
        <v>3771.7857899999999</v>
      </c>
      <c r="D61">
        <v>364.46</v>
      </c>
    </row>
    <row r="62" spans="1:4" x14ac:dyDescent="0.25">
      <c r="A62">
        <v>61</v>
      </c>
      <c r="B62">
        <v>4907.7914989999999</v>
      </c>
      <c r="C62">
        <v>12127.39818</v>
      </c>
      <c r="D62">
        <v>311.89999999999998</v>
      </c>
    </row>
    <row r="63" spans="1:4" x14ac:dyDescent="0.25">
      <c r="A63">
        <v>62</v>
      </c>
      <c r="B63">
        <v>2259.7949950000002</v>
      </c>
      <c r="C63">
        <v>5584.0664219999999</v>
      </c>
      <c r="D63">
        <v>436.98237832004003</v>
      </c>
    </row>
    <row r="64" spans="1:4" x14ac:dyDescent="0.25">
      <c r="A64">
        <v>63</v>
      </c>
      <c r="B64">
        <v>1284.840727</v>
      </c>
      <c r="C64">
        <v>3174.9056770000002</v>
      </c>
      <c r="D64">
        <v>343.51119795992003</v>
      </c>
    </row>
    <row r="65" spans="1:4" x14ac:dyDescent="0.25">
      <c r="A65">
        <v>64</v>
      </c>
      <c r="B65">
        <v>6812.1897410000001</v>
      </c>
      <c r="C65">
        <v>16833.261460000002</v>
      </c>
      <c r="D65">
        <v>334.30216095344002</v>
      </c>
    </row>
    <row r="66" spans="1:4" x14ac:dyDescent="0.25">
      <c r="A66">
        <v>65</v>
      </c>
      <c r="B66">
        <v>2350.8156180000001</v>
      </c>
      <c r="C66">
        <v>5808.9829330000002</v>
      </c>
      <c r="D66">
        <v>315.07667603215998</v>
      </c>
    </row>
    <row r="67" spans="1:4" x14ac:dyDescent="0.25">
      <c r="A67">
        <v>66</v>
      </c>
      <c r="B67">
        <v>3106.2580250000001</v>
      </c>
      <c r="C67">
        <v>7675.7188939999996</v>
      </c>
      <c r="D67">
        <v>329.64886136816</v>
      </c>
    </row>
    <row r="68" spans="1:4" x14ac:dyDescent="0.25">
      <c r="A68">
        <v>67</v>
      </c>
      <c r="B68">
        <v>1209.0380600000001</v>
      </c>
      <c r="C68">
        <v>2987.5934969999998</v>
      </c>
      <c r="D68">
        <v>348.76843317248</v>
      </c>
    </row>
    <row r="69" spans="1:4" x14ac:dyDescent="0.25">
      <c r="A69">
        <v>68</v>
      </c>
      <c r="B69">
        <v>5866.9535390000001</v>
      </c>
      <c r="C69">
        <v>14497.535540000001</v>
      </c>
      <c r="D69">
        <v>312.12790717664001</v>
      </c>
    </row>
    <row r="70" spans="1:4" x14ac:dyDescent="0.25">
      <c r="A70">
        <v>69</v>
      </c>
      <c r="B70">
        <v>822.55935250000005</v>
      </c>
      <c r="C70">
        <v>2032.585288</v>
      </c>
      <c r="D70">
        <v>438.57209798721999</v>
      </c>
    </row>
    <row r="71" spans="1:4" x14ac:dyDescent="0.25">
      <c r="A71">
        <v>70</v>
      </c>
      <c r="B71">
        <v>8291.6336940000001</v>
      </c>
      <c r="C71">
        <v>20489.041440000001</v>
      </c>
      <c r="D71">
        <v>375.59095337806002</v>
      </c>
    </row>
    <row r="72" spans="1:4" x14ac:dyDescent="0.25">
      <c r="A72">
        <v>71</v>
      </c>
      <c r="B72">
        <v>1338.534265</v>
      </c>
      <c r="C72">
        <v>3307.5850949999999</v>
      </c>
      <c r="D72">
        <v>384.56281868948003</v>
      </c>
    </row>
    <row r="73" spans="1:4" x14ac:dyDescent="0.25">
      <c r="A73">
        <v>72</v>
      </c>
      <c r="B73">
        <v>262.00729740000003</v>
      </c>
      <c r="C73">
        <v>647.43313220000005</v>
      </c>
      <c r="D73">
        <v>413.12812950919999</v>
      </c>
    </row>
    <row r="74" spans="1:4" x14ac:dyDescent="0.25">
      <c r="A74">
        <v>73</v>
      </c>
      <c r="B74">
        <v>1339.7545720000001</v>
      </c>
      <c r="C74">
        <v>3310.600535</v>
      </c>
      <c r="D74">
        <v>328.518921476</v>
      </c>
    </row>
    <row r="75" spans="1:4" x14ac:dyDescent="0.25">
      <c r="A75">
        <v>74</v>
      </c>
      <c r="B75">
        <v>414.97648479999998</v>
      </c>
      <c r="C75">
        <v>1025.427643</v>
      </c>
      <c r="D75">
        <v>394.17666915332001</v>
      </c>
    </row>
    <row r="76" spans="1:4" x14ac:dyDescent="0.25">
      <c r="A76">
        <v>75</v>
      </c>
      <c r="B76">
        <v>2939.7936669999999</v>
      </c>
      <c r="C76">
        <v>7264.3771409999999</v>
      </c>
      <c r="D76">
        <v>437.51783827076002</v>
      </c>
    </row>
    <row r="77" spans="1:4" x14ac:dyDescent="0.25">
      <c r="A77">
        <v>76</v>
      </c>
      <c r="B77">
        <v>4779.4438069999997</v>
      </c>
      <c r="C77">
        <v>11810.244619999999</v>
      </c>
      <c r="D77">
        <v>368.47177540256001</v>
      </c>
    </row>
    <row r="78" spans="1:4" x14ac:dyDescent="0.25">
      <c r="A78">
        <v>77</v>
      </c>
      <c r="B78">
        <v>2053.4193930000001</v>
      </c>
      <c r="C78">
        <v>5074.1019900000001</v>
      </c>
      <c r="D78">
        <v>361.98665037536</v>
      </c>
    </row>
    <row r="79" spans="1:4" x14ac:dyDescent="0.25">
      <c r="A79">
        <v>78</v>
      </c>
      <c r="B79">
        <v>1145.151345</v>
      </c>
      <c r="C79">
        <v>2829.726232</v>
      </c>
      <c r="D79">
        <v>439.94</v>
      </c>
    </row>
    <row r="80" spans="1:4" x14ac:dyDescent="0.25">
      <c r="A80">
        <v>79</v>
      </c>
      <c r="B80">
        <v>1759.4687369999999</v>
      </c>
      <c r="C80">
        <v>4347.7352220000002</v>
      </c>
      <c r="D80">
        <v>374.78</v>
      </c>
    </row>
    <row r="81" spans="1:4" x14ac:dyDescent="0.25">
      <c r="A81">
        <v>80</v>
      </c>
      <c r="B81">
        <v>280.02478159999998</v>
      </c>
      <c r="C81">
        <v>691.95523649999996</v>
      </c>
      <c r="D81">
        <v>374.78</v>
      </c>
    </row>
    <row r="82" spans="1:4" x14ac:dyDescent="0.25">
      <c r="A82">
        <v>81</v>
      </c>
      <c r="B82">
        <v>1554.9594790000001</v>
      </c>
      <c r="C82">
        <v>3842.3826199999999</v>
      </c>
      <c r="D82">
        <v>372.43955194592002</v>
      </c>
    </row>
    <row r="83" spans="1:4" x14ac:dyDescent="0.25">
      <c r="A83">
        <v>82</v>
      </c>
      <c r="B83">
        <v>6616.437989</v>
      </c>
      <c r="C83">
        <v>16349.54909</v>
      </c>
      <c r="D83">
        <v>374.78</v>
      </c>
    </row>
    <row r="84" spans="1:4" x14ac:dyDescent="0.25">
      <c r="A84">
        <v>83</v>
      </c>
      <c r="B84">
        <v>2967.0711249999999</v>
      </c>
      <c r="C84">
        <v>7331.7811030000003</v>
      </c>
      <c r="D84">
        <v>439.94</v>
      </c>
    </row>
    <row r="85" spans="1:4" x14ac:dyDescent="0.25">
      <c r="A85">
        <v>84</v>
      </c>
      <c r="B85">
        <v>911.13934940000001</v>
      </c>
      <c r="C85">
        <v>2251.4708890000002</v>
      </c>
      <c r="D85">
        <v>391.47832689932</v>
      </c>
    </row>
    <row r="86" spans="1:4" x14ac:dyDescent="0.25">
      <c r="A86">
        <v>85</v>
      </c>
      <c r="B86">
        <v>416.91463010000001</v>
      </c>
      <c r="C86">
        <v>1030.216897</v>
      </c>
      <c r="D86">
        <v>374.78</v>
      </c>
    </row>
    <row r="87" spans="1:4" x14ac:dyDescent="0.25">
      <c r="A87">
        <v>86</v>
      </c>
      <c r="B87">
        <v>1162.3074449999999</v>
      </c>
      <c r="C87">
        <v>2872.1198119999999</v>
      </c>
      <c r="D87">
        <v>374.78</v>
      </c>
    </row>
    <row r="88" spans="1:4" x14ac:dyDescent="0.25">
      <c r="A88">
        <v>87</v>
      </c>
      <c r="B88">
        <v>4989.3367770000004</v>
      </c>
      <c r="C88">
        <v>12328.90064</v>
      </c>
      <c r="D88">
        <v>374.78</v>
      </c>
    </row>
    <row r="89" spans="1:4" x14ac:dyDescent="0.25">
      <c r="A89">
        <v>88</v>
      </c>
      <c r="B89">
        <v>2898.5185409999999</v>
      </c>
      <c r="C89">
        <v>7162.3842400000003</v>
      </c>
      <c r="D89">
        <v>439.94</v>
      </c>
    </row>
    <row r="90" spans="1:4" x14ac:dyDescent="0.25">
      <c r="A90">
        <v>89</v>
      </c>
      <c r="B90">
        <v>3985.8847089999999</v>
      </c>
      <c r="C90">
        <v>9849.3204089999999</v>
      </c>
      <c r="D90">
        <v>375.08939935832001</v>
      </c>
    </row>
    <row r="91" spans="1:4" x14ac:dyDescent="0.25">
      <c r="A91">
        <v>90</v>
      </c>
      <c r="B91">
        <v>4367.1950550000001</v>
      </c>
      <c r="C91">
        <v>10791.557339999999</v>
      </c>
      <c r="D91">
        <v>374.78</v>
      </c>
    </row>
    <row r="92" spans="1:4" x14ac:dyDescent="0.25">
      <c r="A92">
        <v>91</v>
      </c>
      <c r="B92">
        <v>5819.3615520000003</v>
      </c>
      <c r="C92">
        <v>14379.933360000001</v>
      </c>
      <c r="D92">
        <v>378.55593748747998</v>
      </c>
    </row>
    <row r="93" spans="1:4" x14ac:dyDescent="0.25">
      <c r="A93">
        <v>92</v>
      </c>
      <c r="B93">
        <v>627.23829350000005</v>
      </c>
      <c r="C93">
        <v>1549.937185</v>
      </c>
      <c r="D93">
        <v>439.94</v>
      </c>
    </row>
    <row r="94" spans="1:4" x14ac:dyDescent="0.25">
      <c r="A94">
        <v>93</v>
      </c>
      <c r="B94">
        <v>5007.2824799999999</v>
      </c>
      <c r="C94">
        <v>12373.245370000001</v>
      </c>
      <c r="D94">
        <v>374.78</v>
      </c>
    </row>
    <row r="95" spans="1:4" x14ac:dyDescent="0.25">
      <c r="A95">
        <v>94</v>
      </c>
      <c r="B95">
        <v>310.24535539999999</v>
      </c>
      <c r="C95">
        <v>766.63178549999998</v>
      </c>
      <c r="D95">
        <v>374.78</v>
      </c>
    </row>
    <row r="96" spans="1:4" x14ac:dyDescent="0.25">
      <c r="A96">
        <v>95</v>
      </c>
      <c r="B96">
        <v>919.03545889999998</v>
      </c>
      <c r="C96">
        <v>2270.982571</v>
      </c>
      <c r="D96">
        <v>439.94</v>
      </c>
    </row>
    <row r="97" spans="1:4" x14ac:dyDescent="0.25">
      <c r="A97">
        <v>96</v>
      </c>
      <c r="B97">
        <v>2499.3342680000001</v>
      </c>
      <c r="C97">
        <v>6175.9799419999999</v>
      </c>
      <c r="D97">
        <v>439.94</v>
      </c>
    </row>
    <row r="98" spans="1:4" x14ac:dyDescent="0.25">
      <c r="A98">
        <v>97</v>
      </c>
      <c r="B98">
        <v>756.51915480000002</v>
      </c>
      <c r="C98">
        <v>1869.396657</v>
      </c>
      <c r="D98">
        <v>374.78</v>
      </c>
    </row>
    <row r="99" spans="1:4" x14ac:dyDescent="0.25">
      <c r="A99">
        <v>98</v>
      </c>
      <c r="B99">
        <v>911.78539720000003</v>
      </c>
      <c r="C99">
        <v>2253.0673059999999</v>
      </c>
      <c r="D99">
        <v>374.78</v>
      </c>
    </row>
    <row r="100" spans="1:4" x14ac:dyDescent="0.25">
      <c r="A100">
        <v>99</v>
      </c>
      <c r="B100">
        <v>7908.8159079999996</v>
      </c>
      <c r="C100">
        <v>19543.079549999999</v>
      </c>
      <c r="D100">
        <v>374.78</v>
      </c>
    </row>
    <row r="101" spans="1:4" x14ac:dyDescent="0.25">
      <c r="A101">
        <v>100</v>
      </c>
      <c r="B101">
        <v>1756.1667210000001</v>
      </c>
      <c r="C101">
        <v>4339.5757750000002</v>
      </c>
      <c r="D101">
        <v>439.94</v>
      </c>
    </row>
    <row r="102" spans="1:4" x14ac:dyDescent="0.25">
      <c r="A102">
        <v>101</v>
      </c>
      <c r="B102">
        <v>3544.205011</v>
      </c>
      <c r="C102">
        <v>8757.9077930000003</v>
      </c>
      <c r="D102">
        <v>374.78</v>
      </c>
    </row>
    <row r="103" spans="1:4" x14ac:dyDescent="0.25">
      <c r="A103">
        <v>102</v>
      </c>
      <c r="B103">
        <v>755.80132419999995</v>
      </c>
      <c r="C103">
        <v>1867.6228619999999</v>
      </c>
      <c r="D103">
        <v>374.78</v>
      </c>
    </row>
    <row r="104" spans="1:4" x14ac:dyDescent="0.25">
      <c r="A104">
        <v>103</v>
      </c>
      <c r="B104">
        <v>654.94645500000001</v>
      </c>
      <c r="C104">
        <v>1618.405438</v>
      </c>
      <c r="D104">
        <v>439.94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tabSelected="1" workbookViewId="0">
      <selection activeCell="H20" sqref="H20"/>
    </sheetView>
  </sheetViews>
  <sheetFormatPr defaultRowHeight="15" x14ac:dyDescent="0.25"/>
  <sheetData>
    <row r="1" spans="1:17" x14ac:dyDescent="0.25">
      <c r="A1" t="s">
        <v>138</v>
      </c>
      <c r="B1" t="s">
        <v>139</v>
      </c>
      <c r="C1" t="s">
        <v>140</v>
      </c>
      <c r="D1" t="s">
        <v>141</v>
      </c>
      <c r="E1" t="s">
        <v>173</v>
      </c>
      <c r="F1" s="27" t="s">
        <v>149</v>
      </c>
      <c r="G1" s="27" t="s">
        <v>151</v>
      </c>
      <c r="H1" s="27" t="s">
        <v>153</v>
      </c>
      <c r="I1" s="27" t="s">
        <v>157</v>
      </c>
      <c r="J1" s="27" t="s">
        <v>158</v>
      </c>
      <c r="K1" s="27" t="s">
        <v>159</v>
      </c>
      <c r="L1" s="27" t="s">
        <v>164</v>
      </c>
      <c r="M1" s="27" t="s">
        <v>165</v>
      </c>
      <c r="N1" s="27" t="s">
        <v>166</v>
      </c>
      <c r="O1" s="27" t="s">
        <v>170</v>
      </c>
      <c r="P1" s="27" t="s">
        <v>171</v>
      </c>
      <c r="Q1" s="27" t="s">
        <v>172</v>
      </c>
    </row>
    <row r="2" spans="1:17" x14ac:dyDescent="0.25">
      <c r="A2">
        <v>1</v>
      </c>
      <c r="B2">
        <v>2873.4663369999998</v>
      </c>
      <c r="C2">
        <v>7100.4789929999997</v>
      </c>
      <c r="D2">
        <v>364.46</v>
      </c>
      <c r="E2">
        <v>14</v>
      </c>
      <c r="F2">
        <f>(5*D2+'Multimodel scenarios I&amp;M costs'!$F$25)*E2</f>
        <v>86803.621665181287</v>
      </c>
      <c r="G2">
        <f>(14.97*D2+'Multimodel scenarios I&amp;M costs'!$F$26)*E2</f>
        <v>211180.31733535969</v>
      </c>
      <c r="H2">
        <f>(24.96*D2+'Multimodel scenarios I&amp;M costs'!$F$27)*E2</f>
        <v>334745.6039273222</v>
      </c>
      <c r="I2">
        <f>(5*D2+'Multimodel scenarios I&amp;M costs'!$F$32)*E2</f>
        <v>118128.36007089683</v>
      </c>
      <c r="J2">
        <f>(14.97*D2+'Multimodel scenarios I&amp;M costs'!$F$33)*E2</f>
        <v>305154.53255250637</v>
      </c>
      <c r="K2">
        <f>(24.96*D2+'Multimodel scenarios I&amp;M costs'!$F$34)*E2</f>
        <v>491369.29595589981</v>
      </c>
      <c r="L2">
        <f>(70*2.47105*D2+'Multimodel scenarios I&amp;M costs'!$E$45)</f>
        <v>169712.01392145053</v>
      </c>
      <c r="M2">
        <f>(450*2.47105*D2+'Multimodel scenarios I&amp;M costs'!$E$46)</f>
        <v>1075918.1209734492</v>
      </c>
      <c r="N2">
        <f>(1700*2.47105*D2+'Multimodel scenarios I&amp;M costs'!$E$47)</f>
        <v>4052381.7734422619</v>
      </c>
      <c r="O2">
        <f>(70*2.47105*D2+'Multimodel scenarios I&amp;M costs'!$E$53)</f>
        <v>256301.37663763663</v>
      </c>
      <c r="P2">
        <f>(450*2.47105*D2+'Multimodel scenarios I&amp;M costs'!$E$54)</f>
        <v>1632564.024148931</v>
      </c>
      <c r="Q2">
        <f>(1700*2.47105*D2+'Multimodel scenarios I&amp;M costs'!$E$55)</f>
        <v>6155266.2965496378</v>
      </c>
    </row>
    <row r="3" spans="1:17" x14ac:dyDescent="0.25">
      <c r="A3">
        <v>2</v>
      </c>
      <c r="B3">
        <v>2671.3259090000001</v>
      </c>
      <c r="C3">
        <v>6600.9798870000004</v>
      </c>
      <c r="D3">
        <v>315.33643208768001</v>
      </c>
      <c r="E3">
        <v>13</v>
      </c>
      <c r="F3">
        <f>(5*D3+'Multimodel scenarios I&amp;M costs'!$F$25)*E3</f>
        <v>77410.331060510391</v>
      </c>
      <c r="G3">
        <f>(14.97*D3+'Multimodel scenarios I&amp;M costs'!$F$26)*E3</f>
        <v>186536.07140284596</v>
      </c>
      <c r="H3">
        <f>(24.96*D3+'Multimodel scenarios I&amp;M costs'!$F$27)*E3</f>
        <v>294895.58833060955</v>
      </c>
      <c r="I3">
        <f>(5*D3+'Multimodel scenarios I&amp;M costs'!$F$32)*E3</f>
        <v>106497.58815153196</v>
      </c>
      <c r="J3">
        <f>(14.97*D3+'Multimodel scenarios I&amp;M costs'!$F$33)*E3</f>
        <v>273797.84267591074</v>
      </c>
      <c r="K3">
        <f>(24.96*D3+'Multimodel scenarios I&amp;M costs'!$F$34)*E3</f>
        <v>440331.87378571741</v>
      </c>
      <c r="L3">
        <f>(70*2.47105*D3+'Multimodel scenarios I&amp;M costs'!$E$45)</f>
        <v>161214.93844716885</v>
      </c>
      <c r="M3">
        <f>(450*2.47105*D3+'Multimodel scenarios I&amp;M costs'!$E$46)</f>
        <v>1021294.064353067</v>
      </c>
      <c r="N3">
        <f>(1700*2.47105*D3+'Multimodel scenarios I&amp;M costs'!$E$47)</f>
        <v>3846024.2262097071</v>
      </c>
      <c r="O3">
        <f>(70*2.47105*D3+'Multimodel scenarios I&amp;M costs'!$E$53)</f>
        <v>247804.30116335495</v>
      </c>
      <c r="P3">
        <f>(450*2.47105*D3+'Multimodel scenarios I&amp;M costs'!$E$54)</f>
        <v>1577939.9675285488</v>
      </c>
      <c r="Q3">
        <f>(1700*2.47105*D3+'Multimodel scenarios I&amp;M costs'!$E$55)</f>
        <v>5948908.7493170835</v>
      </c>
    </row>
    <row r="4" spans="1:17" x14ac:dyDescent="0.25">
      <c r="A4">
        <v>3</v>
      </c>
      <c r="B4">
        <v>1811.1523560000001</v>
      </c>
      <c r="C4">
        <v>4475.4480299999996</v>
      </c>
      <c r="D4">
        <v>314.88114485839998</v>
      </c>
      <c r="E4">
        <v>9</v>
      </c>
      <c r="F4">
        <f>(5*D4+'Multimodel scenarios I&amp;M costs'!$F$25)*E4</f>
        <v>53571.279731958828</v>
      </c>
      <c r="G4">
        <f>(14.97*D4+'Multimodel scenarios I&amp;M costs'!$F$26)*E4</f>
        <v>129079.01627664632</v>
      </c>
      <c r="H4">
        <f>(24.96*D4+'Multimodel scenarios I&amp;M costs'!$F$27)*E4</f>
        <v>204056.20850569807</v>
      </c>
      <c r="I4">
        <f>(5*D4+'Multimodel scenarios I&amp;M costs'!$F$32)*E4</f>
        <v>73708.611564204533</v>
      </c>
      <c r="J4">
        <f>(14.97*D4+'Multimodel scenarios I&amp;M costs'!$F$33)*E4</f>
        <v>189491.01177338345</v>
      </c>
      <c r="K4">
        <f>(24.96*D4+'Multimodel scenarios I&amp;M costs'!$F$34)*E4</f>
        <v>304742.86766692653</v>
      </c>
      <c r="L4">
        <f>(70*2.47105*D4+'Multimodel scenarios I&amp;M costs'!$E$45)</f>
        <v>161136.18582161498</v>
      </c>
      <c r="M4">
        <f>(450*2.47105*D4+'Multimodel scenarios I&amp;M costs'!$E$46)</f>
        <v>1020787.7974745063</v>
      </c>
      <c r="N4">
        <f>(1700*2.47105*D4+'Multimodel scenarios I&amp;M costs'!$E$47)</f>
        <v>3844111.6624462558</v>
      </c>
      <c r="O4">
        <f>(70*2.47105*D4+'Multimodel scenarios I&amp;M costs'!$E$53)</f>
        <v>247725.54853780108</v>
      </c>
      <c r="P4">
        <f>(450*2.47105*D4+'Multimodel scenarios I&amp;M costs'!$E$54)</f>
        <v>1577433.7006499881</v>
      </c>
      <c r="Q4">
        <f>(1700*2.47105*D4+'Multimodel scenarios I&amp;M costs'!$E$55)</f>
        <v>5946996.1855536317</v>
      </c>
    </row>
    <row r="5" spans="1:17" x14ac:dyDescent="0.25">
      <c r="A5">
        <v>4</v>
      </c>
      <c r="B5">
        <v>2690.4919159999999</v>
      </c>
      <c r="C5">
        <v>6648.3400499999998</v>
      </c>
      <c r="D5">
        <v>311.89999999999998</v>
      </c>
      <c r="E5">
        <v>13</v>
      </c>
      <c r="F5">
        <f>(5*D5+'Multimodel scenarios I&amp;M costs'!$F$25)*E5</f>
        <v>77186.962974811191</v>
      </c>
      <c r="G5">
        <f>(14.97*D5+'Multimodel scenarios I&amp;M costs'!$F$26)*E5</f>
        <v>185867.30735426256</v>
      </c>
      <c r="H5">
        <f>(24.96*D5+'Multimodel scenarios I&amp;M costs'!$F$27)*E5</f>
        <v>293780.5348467991</v>
      </c>
      <c r="I5">
        <f>(5*D5+'Multimodel scenarios I&amp;M costs'!$F$32)*E5</f>
        <v>106274.22006583276</v>
      </c>
      <c r="J5">
        <f>(14.97*D5+'Multimodel scenarios I&amp;M costs'!$F$33)*E5</f>
        <v>273129.07862732734</v>
      </c>
      <c r="K5">
        <f>(24.96*D5+'Multimodel scenarios I&amp;M costs'!$F$34)*E5</f>
        <v>439216.82030190702</v>
      </c>
      <c r="L5">
        <f>(70*2.47105*D5+'Multimodel scenarios I&amp;M costs'!$E$45)</f>
        <v>160620.52676145054</v>
      </c>
      <c r="M5">
        <f>(450*2.47105*D5+'Multimodel scenarios I&amp;M costs'!$E$46)</f>
        <v>1017472.8463734491</v>
      </c>
      <c r="N5">
        <f>(1700*2.47105*D5+'Multimodel scenarios I&amp;M costs'!$E$47)</f>
        <v>3831588.5138422623</v>
      </c>
      <c r="O5">
        <f>(70*2.47105*D5+'Multimodel scenarios I&amp;M costs'!$E$53)</f>
        <v>247209.88947763661</v>
      </c>
      <c r="P5">
        <f>(450*2.47105*D5+'Multimodel scenarios I&amp;M costs'!$E$54)</f>
        <v>1574118.7495489309</v>
      </c>
      <c r="Q5">
        <f>(1700*2.47105*D5+'Multimodel scenarios I&amp;M costs'!$E$55)</f>
        <v>5934473.0369496383</v>
      </c>
    </row>
    <row r="6" spans="1:17" x14ac:dyDescent="0.25">
      <c r="A6">
        <v>5</v>
      </c>
      <c r="B6">
        <v>813.87362829999995</v>
      </c>
      <c r="C6">
        <v>2011.122429</v>
      </c>
      <c r="D6">
        <v>358.43779319719999</v>
      </c>
      <c r="E6">
        <v>4</v>
      </c>
      <c r="F6">
        <f>(5*D6+'Multimodel scenarios I&amp;M costs'!$F$25)*E6</f>
        <v>24680.590625424367</v>
      </c>
      <c r="G6">
        <f>(14.97*D6+'Multimodel scenarios I&amp;M costs'!$F$26)*E6</f>
        <v>59976.623781036818</v>
      </c>
      <c r="H6">
        <f>(24.96*D6+'Multimodel scenarios I&amp;M costs'!$F$27)*E6</f>
        <v>95040.343994900497</v>
      </c>
      <c r="I6">
        <f>(5*D6+'Multimodel scenarios I&amp;M costs'!$F$32)*E6</f>
        <v>33630.515884200235</v>
      </c>
      <c r="J6">
        <f>(14.97*D6+'Multimodel scenarios I&amp;M costs'!$F$33)*E6</f>
        <v>86826.399557364435</v>
      </c>
      <c r="K6">
        <f>(24.96*D6+'Multimodel scenarios I&amp;M costs'!$F$34)*E6</f>
        <v>139789.97028877982</v>
      </c>
      <c r="L6">
        <f>(70*2.47105*D6+'Multimodel scenarios I&amp;M costs'!$E$45)</f>
        <v>168670.33173304642</v>
      </c>
      <c r="M6">
        <f>(450*2.47105*D6+'Multimodel scenarios I&amp;M costs'!$E$46)</f>
        <v>1069221.5926194226</v>
      </c>
      <c r="N6">
        <f>(1700*2.47105*D6+'Multimodel scenarios I&amp;M costs'!$E$47)</f>
        <v>4027083.7774381619</v>
      </c>
      <c r="O6">
        <f>(70*2.47105*D6+'Multimodel scenarios I&amp;M costs'!$E$53)</f>
        <v>255259.69444923248</v>
      </c>
      <c r="P6">
        <f>(450*2.47105*D6+'Multimodel scenarios I&amp;M costs'!$E$54)</f>
        <v>1625867.4957949044</v>
      </c>
      <c r="Q6">
        <f>(1700*2.47105*D6+'Multimodel scenarios I&amp;M costs'!$E$55)</f>
        <v>6129968.3005455378</v>
      </c>
    </row>
    <row r="7" spans="1:17" x14ac:dyDescent="0.25">
      <c r="A7">
        <v>6</v>
      </c>
      <c r="B7">
        <v>1876.90543</v>
      </c>
      <c r="C7">
        <v>4637.9271630000003</v>
      </c>
      <c r="D7">
        <v>364.46</v>
      </c>
      <c r="E7">
        <v>9</v>
      </c>
      <c r="F7">
        <f>(5*D7+'Multimodel scenarios I&amp;M costs'!$F$25)*E7</f>
        <v>55802.328213330831</v>
      </c>
      <c r="G7">
        <f>(14.97*D7+'Multimodel scenarios I&amp;M costs'!$F$26)*E7</f>
        <v>135758.77542987411</v>
      </c>
      <c r="H7">
        <f>(24.96*D7+'Multimodel scenarios I&amp;M costs'!$F$27)*E7</f>
        <v>215193.60252470709</v>
      </c>
      <c r="I7">
        <f>(5*D7+'Multimodel scenarios I&amp;M costs'!$F$32)*E7</f>
        <v>75939.660045576529</v>
      </c>
      <c r="J7">
        <f>(14.97*D7+'Multimodel scenarios I&amp;M costs'!$F$33)*E7</f>
        <v>196170.77092661124</v>
      </c>
      <c r="K7">
        <f>(24.96*D7+'Multimodel scenarios I&amp;M costs'!$F$34)*E7</f>
        <v>315880.26168593561</v>
      </c>
      <c r="L7">
        <f>(70*2.47105*D7+'Multimodel scenarios I&amp;M costs'!$E$45)</f>
        <v>169712.01392145053</v>
      </c>
      <c r="M7">
        <f>(450*2.47105*D7+'Multimodel scenarios I&amp;M costs'!$E$46)</f>
        <v>1075918.1209734492</v>
      </c>
      <c r="N7">
        <f>(1700*2.47105*D7+'Multimodel scenarios I&amp;M costs'!$E$47)</f>
        <v>4052381.7734422619</v>
      </c>
      <c r="O7">
        <f>(70*2.47105*D7+'Multimodel scenarios I&amp;M costs'!$E$53)</f>
        <v>256301.37663763663</v>
      </c>
      <c r="P7">
        <f>(450*2.47105*D7+'Multimodel scenarios I&amp;M costs'!$E$54)</f>
        <v>1632564.024148931</v>
      </c>
      <c r="Q7">
        <f>(1700*2.47105*D7+'Multimodel scenarios I&amp;M costs'!$E$55)</f>
        <v>6155266.2965496378</v>
      </c>
    </row>
    <row r="8" spans="1:17" x14ac:dyDescent="0.25">
      <c r="A8">
        <v>7</v>
      </c>
      <c r="B8">
        <v>7414.4476260000001</v>
      </c>
      <c r="C8">
        <v>18321.470809999999</v>
      </c>
      <c r="D8">
        <v>311.89999999999998</v>
      </c>
      <c r="E8">
        <v>37</v>
      </c>
      <c r="F8">
        <f>(5*D8+'Multimodel scenarios I&amp;M costs'!$F$25)*E8</f>
        <v>219685.97154369339</v>
      </c>
      <c r="G8">
        <f>(14.97*D8+'Multimodel scenarios I&amp;M costs'!$F$26)*E8</f>
        <v>529006.95170059346</v>
      </c>
      <c r="H8">
        <f>(24.96*D8+'Multimodel scenarios I&amp;M costs'!$F$27)*E8</f>
        <v>836144.59917935135</v>
      </c>
      <c r="I8">
        <f>(5*D8+'Multimodel scenarios I&amp;M costs'!$F$32)*E8</f>
        <v>302472.7801873702</v>
      </c>
      <c r="J8">
        <f>(14.97*D8+'Multimodel scenarios I&amp;M costs'!$F$33)*E8</f>
        <v>777367.377631624</v>
      </c>
      <c r="K8">
        <f>(24.96*D8+'Multimodel scenarios I&amp;M costs'!$F$34)*E8</f>
        <v>1250078.6423977353</v>
      </c>
      <c r="L8">
        <f>(70*2.47105*D8+'Multimodel scenarios I&amp;M costs'!$E$45)</f>
        <v>160620.52676145054</v>
      </c>
      <c r="M8">
        <f>(450*2.47105*D8+'Multimodel scenarios I&amp;M costs'!$E$46)</f>
        <v>1017472.8463734491</v>
      </c>
      <c r="N8">
        <f>(1700*2.47105*D8+'Multimodel scenarios I&amp;M costs'!$E$47)</f>
        <v>3831588.5138422623</v>
      </c>
      <c r="O8">
        <f>(70*2.47105*D8+'Multimodel scenarios I&amp;M costs'!$E$53)</f>
        <v>247209.88947763661</v>
      </c>
      <c r="P8">
        <f>(450*2.47105*D8+'Multimodel scenarios I&amp;M costs'!$E$54)</f>
        <v>1574118.7495489309</v>
      </c>
      <c r="Q8">
        <f>(1700*2.47105*D8+'Multimodel scenarios I&amp;M costs'!$E$55)</f>
        <v>5934473.0369496383</v>
      </c>
    </row>
    <row r="9" spans="1:17" x14ac:dyDescent="0.25">
      <c r="A9">
        <v>8</v>
      </c>
      <c r="B9">
        <v>6473.949087</v>
      </c>
      <c r="C9">
        <v>15997.45189</v>
      </c>
      <c r="D9">
        <v>364.41662570096003</v>
      </c>
      <c r="E9">
        <v>32</v>
      </c>
      <c r="F9">
        <f>(5*D9+'Multimodel scenarios I&amp;M costs'!$F$25)*E9</f>
        <v>198401.33820399654</v>
      </c>
      <c r="G9">
        <f>(14.97*D9+'Multimodel scenarios I&amp;M costs'!$F$26)*E9</f>
        <v>482677.0901708958</v>
      </c>
      <c r="H9">
        <f>(24.96*D9+'Multimodel scenarios I&amp;M costs'!$F$27)*E9</f>
        <v>765098.16505660722</v>
      </c>
      <c r="I9">
        <f>(5*D9+'Multimodel scenarios I&amp;M costs'!$F$32)*E9</f>
        <v>270000.74027420348</v>
      </c>
      <c r="J9">
        <f>(14.97*D9+'Multimodel scenarios I&amp;M costs'!$F$33)*E9</f>
        <v>697475.29638151673</v>
      </c>
      <c r="K9">
        <f>(24.96*D9+'Multimodel scenarios I&amp;M costs'!$F$34)*E9</f>
        <v>1123095.1754076418</v>
      </c>
      <c r="L9">
        <f>(70*2.47105*D9+'Multimodel scenarios I&amp;M costs'!$E$45)</f>
        <v>169704.51131713556</v>
      </c>
      <c r="M9">
        <f>(450*2.47105*D9+'Multimodel scenarios I&amp;M costs'!$E$46)</f>
        <v>1075869.8899457098</v>
      </c>
      <c r="N9">
        <f>(1700*2.47105*D9+'Multimodel scenarios I&amp;M costs'!$E$47)</f>
        <v>4052199.5673374692</v>
      </c>
      <c r="O9">
        <f>(70*2.47105*D9+'Multimodel scenarios I&amp;M costs'!$E$53)</f>
        <v>256293.87403332163</v>
      </c>
      <c r="P9">
        <f>(450*2.47105*D9+'Multimodel scenarios I&amp;M costs'!$E$54)</f>
        <v>1632515.7931211917</v>
      </c>
      <c r="Q9">
        <f>(1700*2.47105*D9+'Multimodel scenarios I&amp;M costs'!$E$55)</f>
        <v>6155084.0904448451</v>
      </c>
    </row>
    <row r="10" spans="1:17" x14ac:dyDescent="0.25">
      <c r="A10">
        <v>9</v>
      </c>
      <c r="B10">
        <v>831.3886334</v>
      </c>
      <c r="C10">
        <v>2054.4028819999999</v>
      </c>
      <c r="D10">
        <v>364.46</v>
      </c>
      <c r="E10">
        <v>4</v>
      </c>
      <c r="F10">
        <f>(5*D10+'Multimodel scenarios I&amp;M costs'!$F$25)*E10</f>
        <v>24801.034761480369</v>
      </c>
      <c r="G10">
        <f>(14.97*D10+'Multimodel scenarios I&amp;M costs'!$F$26)*E10</f>
        <v>60337.233524388488</v>
      </c>
      <c r="H10">
        <f>(24.96*D10+'Multimodel scenarios I&amp;M costs'!$F$27)*E10</f>
        <v>95641.601122092048</v>
      </c>
      <c r="I10">
        <f>(5*D10+'Multimodel scenarios I&amp;M costs'!$F$32)*E10</f>
        <v>33750.960020256236</v>
      </c>
      <c r="J10">
        <f>(14.97*D10+'Multimodel scenarios I&amp;M costs'!$F$33)*E10</f>
        <v>87187.009300716105</v>
      </c>
      <c r="K10">
        <f>(24.96*D10+'Multimodel scenarios I&amp;M costs'!$F$34)*E10</f>
        <v>140391.22741597137</v>
      </c>
      <c r="L10">
        <f>(70*2.47105*D10+'Multimodel scenarios I&amp;M costs'!$E$45)</f>
        <v>169712.01392145053</v>
      </c>
      <c r="M10">
        <f>(450*2.47105*D10+'Multimodel scenarios I&amp;M costs'!$E$46)</f>
        <v>1075918.1209734492</v>
      </c>
      <c r="N10">
        <f>(1700*2.47105*D10+'Multimodel scenarios I&amp;M costs'!$E$47)</f>
        <v>4052381.7734422619</v>
      </c>
      <c r="O10">
        <f>(70*2.47105*D10+'Multimodel scenarios I&amp;M costs'!$E$53)</f>
        <v>256301.37663763663</v>
      </c>
      <c r="P10">
        <f>(450*2.47105*D10+'Multimodel scenarios I&amp;M costs'!$E$54)</f>
        <v>1632564.024148931</v>
      </c>
      <c r="Q10">
        <f>(1700*2.47105*D10+'Multimodel scenarios I&amp;M costs'!$E$55)</f>
        <v>6155266.2965496378</v>
      </c>
    </row>
    <row r="11" spans="1:17" x14ac:dyDescent="0.25">
      <c r="A11">
        <v>10</v>
      </c>
      <c r="B11">
        <v>1520.503731</v>
      </c>
      <c r="C11">
        <v>3757.2407450000001</v>
      </c>
      <c r="D11">
        <v>311.89999999999998</v>
      </c>
      <c r="E11">
        <v>8</v>
      </c>
      <c r="F11">
        <f>(5*D11+'Multimodel scenarios I&amp;M costs'!$F$25)*E11</f>
        <v>47499.669522960736</v>
      </c>
      <c r="G11">
        <f>(14.97*D11+'Multimodel scenarios I&amp;M costs'!$F$26)*E11</f>
        <v>114379.88144877697</v>
      </c>
      <c r="H11">
        <f>(24.96*D11+'Multimodel scenarios I&amp;M costs'!$F$27)*E11</f>
        <v>180788.02144418407</v>
      </c>
      <c r="I11">
        <f>(5*D11+'Multimodel scenarios I&amp;M costs'!$F$32)*E11</f>
        <v>65399.520040512471</v>
      </c>
      <c r="J11">
        <f>(14.97*D11+'Multimodel scenarios I&amp;M costs'!$F$33)*E11</f>
        <v>168079.43300143222</v>
      </c>
      <c r="K11">
        <f>(24.96*D11+'Multimodel scenarios I&amp;M costs'!$F$34)*E11</f>
        <v>270287.27403194277</v>
      </c>
      <c r="L11">
        <f>(70*2.47105*D11+'Multimodel scenarios I&amp;M costs'!$E$45)</f>
        <v>160620.52676145054</v>
      </c>
      <c r="M11">
        <f>(450*2.47105*D11+'Multimodel scenarios I&amp;M costs'!$E$46)</f>
        <v>1017472.8463734491</v>
      </c>
      <c r="N11">
        <f>(1700*2.47105*D11+'Multimodel scenarios I&amp;M costs'!$E$47)</f>
        <v>3831588.5138422623</v>
      </c>
      <c r="O11">
        <f>(70*2.47105*D11+'Multimodel scenarios I&amp;M costs'!$E$53)</f>
        <v>247209.88947763661</v>
      </c>
      <c r="P11">
        <f>(450*2.47105*D11+'Multimodel scenarios I&amp;M costs'!$E$54)</f>
        <v>1574118.7495489309</v>
      </c>
      <c r="Q11">
        <f>(1700*2.47105*D11+'Multimodel scenarios I&amp;M costs'!$E$55)</f>
        <v>5934473.0369496383</v>
      </c>
    </row>
    <row r="12" spans="1:17" x14ac:dyDescent="0.25">
      <c r="A12">
        <v>11</v>
      </c>
      <c r="B12">
        <v>3850.502305</v>
      </c>
      <c r="C12">
        <v>9514.7837220000001</v>
      </c>
      <c r="D12">
        <v>311.89999999999998</v>
      </c>
      <c r="E12">
        <v>19</v>
      </c>
      <c r="F12">
        <f>(5*D12+'Multimodel scenarios I&amp;M costs'!$F$25)*E12</f>
        <v>112811.71511703175</v>
      </c>
      <c r="G12">
        <f>(14.97*D12+'Multimodel scenarios I&amp;M costs'!$F$26)*E12</f>
        <v>271652.21844084532</v>
      </c>
      <c r="H12">
        <f>(24.96*D12+'Multimodel scenarios I&amp;M costs'!$F$27)*E12</f>
        <v>429371.55092993716</v>
      </c>
      <c r="I12">
        <f>(5*D12+'Multimodel scenarios I&amp;M costs'!$F$32)*E12</f>
        <v>155323.8600962171</v>
      </c>
      <c r="J12">
        <f>(14.97*D12+'Multimodel scenarios I&amp;M costs'!$F$33)*E12</f>
        <v>399188.65337840153</v>
      </c>
      <c r="K12">
        <f>(24.96*D12+'Multimodel scenarios I&amp;M costs'!$F$34)*E12</f>
        <v>641932.27582586405</v>
      </c>
      <c r="L12">
        <f>(70*2.47105*D12+'Multimodel scenarios I&amp;M costs'!$E$45)</f>
        <v>160620.52676145054</v>
      </c>
      <c r="M12">
        <f>(450*2.47105*D12+'Multimodel scenarios I&amp;M costs'!$E$46)</f>
        <v>1017472.8463734491</v>
      </c>
      <c r="N12">
        <f>(1700*2.47105*D12+'Multimodel scenarios I&amp;M costs'!$E$47)</f>
        <v>3831588.5138422623</v>
      </c>
      <c r="O12">
        <f>(70*2.47105*D12+'Multimodel scenarios I&amp;M costs'!$E$53)</f>
        <v>247209.88947763661</v>
      </c>
      <c r="P12">
        <f>(450*2.47105*D12+'Multimodel scenarios I&amp;M costs'!$E$54)</f>
        <v>1574118.7495489309</v>
      </c>
      <c r="Q12">
        <f>(1700*2.47105*D12+'Multimodel scenarios I&amp;M costs'!$E$55)</f>
        <v>5934473.0369496383</v>
      </c>
    </row>
    <row r="13" spans="1:17" x14ac:dyDescent="0.25">
      <c r="A13">
        <v>12</v>
      </c>
      <c r="B13">
        <v>5194.9945589999998</v>
      </c>
      <c r="C13">
        <v>12837.0913</v>
      </c>
      <c r="D13">
        <v>311.89999999999998</v>
      </c>
      <c r="E13">
        <v>26</v>
      </c>
      <c r="F13">
        <f>(5*D13+'Multimodel scenarios I&amp;M costs'!$F$25)*E13</f>
        <v>154373.92594962238</v>
      </c>
      <c r="G13">
        <f>(14.97*D13+'Multimodel scenarios I&amp;M costs'!$F$26)*E13</f>
        <v>371734.61470852513</v>
      </c>
      <c r="H13">
        <f>(24.96*D13+'Multimodel scenarios I&amp;M costs'!$F$27)*E13</f>
        <v>587561.0696935982</v>
      </c>
      <c r="I13">
        <f>(5*D13+'Multimodel scenarios I&amp;M costs'!$F$32)*E13</f>
        <v>212548.44013166553</v>
      </c>
      <c r="J13">
        <f>(14.97*D13+'Multimodel scenarios I&amp;M costs'!$F$33)*E13</f>
        <v>546258.15725465468</v>
      </c>
      <c r="K13">
        <f>(24.96*D13+'Multimodel scenarios I&amp;M costs'!$F$34)*E13</f>
        <v>878433.64060381404</v>
      </c>
      <c r="L13">
        <f>(70*2.47105*D13+'Multimodel scenarios I&amp;M costs'!$E$45)</f>
        <v>160620.52676145054</v>
      </c>
      <c r="M13">
        <f>(450*2.47105*D13+'Multimodel scenarios I&amp;M costs'!$E$46)</f>
        <v>1017472.8463734491</v>
      </c>
      <c r="N13">
        <f>(1700*2.47105*D13+'Multimodel scenarios I&amp;M costs'!$E$47)</f>
        <v>3831588.5138422623</v>
      </c>
      <c r="O13">
        <f>(70*2.47105*D13+'Multimodel scenarios I&amp;M costs'!$E$53)</f>
        <v>247209.88947763661</v>
      </c>
      <c r="P13">
        <f>(450*2.47105*D13+'Multimodel scenarios I&amp;M costs'!$E$54)</f>
        <v>1574118.7495489309</v>
      </c>
      <c r="Q13">
        <f>(1700*2.47105*D13+'Multimodel scenarios I&amp;M costs'!$E$55)</f>
        <v>5934473.0369496383</v>
      </c>
    </row>
    <row r="14" spans="1:17" x14ac:dyDescent="0.25">
      <c r="A14">
        <v>13</v>
      </c>
      <c r="B14">
        <v>742.52150289999997</v>
      </c>
      <c r="C14">
        <v>1834.8077599999999</v>
      </c>
      <c r="D14">
        <v>311.89999999999998</v>
      </c>
      <c r="E14">
        <v>4</v>
      </c>
      <c r="F14">
        <f>(5*D14+'Multimodel scenarios I&amp;M costs'!$F$25)*E14</f>
        <v>23749.834761480368</v>
      </c>
      <c r="G14">
        <f>(14.97*D14+'Multimodel scenarios I&amp;M costs'!$F$26)*E14</f>
        <v>57189.940724388485</v>
      </c>
      <c r="H14">
        <f>(24.96*D14+'Multimodel scenarios I&amp;M costs'!$F$27)*E14</f>
        <v>90394.010722092033</v>
      </c>
      <c r="I14">
        <f>(5*D14+'Multimodel scenarios I&amp;M costs'!$F$32)*E14</f>
        <v>32699.760020256235</v>
      </c>
      <c r="J14">
        <f>(14.97*D14+'Multimodel scenarios I&amp;M costs'!$F$33)*E14</f>
        <v>84039.716500716109</v>
      </c>
      <c r="K14">
        <f>(24.96*D14+'Multimodel scenarios I&amp;M costs'!$F$34)*E14</f>
        <v>135143.63701597138</v>
      </c>
      <c r="L14">
        <f>(70*2.47105*D14+'Multimodel scenarios I&amp;M costs'!$E$45)</f>
        <v>160620.52676145054</v>
      </c>
      <c r="M14">
        <f>(450*2.47105*D14+'Multimodel scenarios I&amp;M costs'!$E$46)</f>
        <v>1017472.8463734491</v>
      </c>
      <c r="N14">
        <f>(1700*2.47105*D14+'Multimodel scenarios I&amp;M costs'!$E$47)</f>
        <v>3831588.5138422623</v>
      </c>
      <c r="O14">
        <f>(70*2.47105*D14+'Multimodel scenarios I&amp;M costs'!$E$53)</f>
        <v>247209.88947763661</v>
      </c>
      <c r="P14">
        <f>(450*2.47105*D14+'Multimodel scenarios I&amp;M costs'!$E$54)</f>
        <v>1574118.7495489309</v>
      </c>
      <c r="Q14">
        <f>(1700*2.47105*D14+'Multimodel scenarios I&amp;M costs'!$E$55)</f>
        <v>5934473.0369496383</v>
      </c>
    </row>
    <row r="15" spans="1:17" x14ac:dyDescent="0.25">
      <c r="A15">
        <v>14</v>
      </c>
      <c r="B15">
        <v>3781.8061560000001</v>
      </c>
      <c r="C15">
        <v>9345.0321019999992</v>
      </c>
      <c r="D15">
        <v>312.89851790312002</v>
      </c>
      <c r="E15">
        <v>19</v>
      </c>
      <c r="F15">
        <f>(5*D15+'Multimodel scenarios I&amp;M costs'!$F$25)*E15</f>
        <v>112906.57431782816</v>
      </c>
      <c r="G15">
        <f>(14.97*D15+'Multimodel scenarios I&amp;M costs'!$F$26)*E15</f>
        <v>271936.22688802972</v>
      </c>
      <c r="H15">
        <f>(24.96*D15+'Multimodel scenarios I&amp;M costs'!$F$27)*E15</f>
        <v>429845.08806031285</v>
      </c>
      <c r="I15">
        <f>(5*D15+'Multimodel scenarios I&amp;M costs'!$F$32)*E15</f>
        <v>155418.71929701354</v>
      </c>
      <c r="J15">
        <f>(14.97*D15+'Multimodel scenarios I&amp;M costs'!$F$33)*E15</f>
        <v>399472.66182558594</v>
      </c>
      <c r="K15">
        <f>(24.96*D15+'Multimodel scenarios I&amp;M costs'!$F$34)*E15</f>
        <v>642405.81295623956</v>
      </c>
      <c r="L15">
        <f>(70*2.47105*D15+'Multimodel scenarios I&amp;M costs'!$E$45)</f>
        <v>160793.24389796588</v>
      </c>
      <c r="M15">
        <f>(450*2.47105*D15+'Multimodel scenarios I&amp;M costs'!$E$46)</f>
        <v>1018583.1708224763</v>
      </c>
      <c r="N15">
        <f>(1700*2.47105*D15+'Multimodel scenarios I&amp;M costs'!$E$47)</f>
        <v>3835783.0728719202</v>
      </c>
      <c r="O15">
        <f>(70*2.47105*D15+'Multimodel scenarios I&amp;M costs'!$E$53)</f>
        <v>247382.60661415197</v>
      </c>
      <c r="P15">
        <f>(450*2.47105*D15+'Multimodel scenarios I&amp;M costs'!$E$54)</f>
        <v>1575229.0739979581</v>
      </c>
      <c r="Q15">
        <f>(1700*2.47105*D15+'Multimodel scenarios I&amp;M costs'!$E$55)</f>
        <v>5938667.5959792957</v>
      </c>
    </row>
    <row r="16" spans="1:17" x14ac:dyDescent="0.25">
      <c r="A16">
        <v>15</v>
      </c>
      <c r="B16">
        <v>1338.8213989999999</v>
      </c>
      <c r="C16">
        <v>3308.294617</v>
      </c>
      <c r="D16">
        <v>311.89999999999998</v>
      </c>
      <c r="E16">
        <v>7</v>
      </c>
      <c r="F16">
        <f>(5*D16+'Multimodel scenarios I&amp;M costs'!$F$25)*E16</f>
        <v>41562.210832590645</v>
      </c>
      <c r="G16">
        <f>(14.97*D16+'Multimodel scenarios I&amp;M costs'!$F$26)*E16</f>
        <v>100082.39626767985</v>
      </c>
      <c r="H16">
        <f>(24.96*D16+'Multimodel scenarios I&amp;M costs'!$F$27)*E16</f>
        <v>158189.51876366106</v>
      </c>
      <c r="I16">
        <f>(5*D16+'Multimodel scenarios I&amp;M costs'!$F$32)*E16</f>
        <v>57224.580035448409</v>
      </c>
      <c r="J16">
        <f>(14.97*D16+'Multimodel scenarios I&amp;M costs'!$F$33)*E16</f>
        <v>147069.50387625321</v>
      </c>
      <c r="K16">
        <f>(24.96*D16+'Multimodel scenarios I&amp;M costs'!$F$34)*E16</f>
        <v>236501.36477794993</v>
      </c>
      <c r="L16">
        <f>(70*2.47105*D16+'Multimodel scenarios I&amp;M costs'!$E$45)</f>
        <v>160620.52676145054</v>
      </c>
      <c r="M16">
        <f>(450*2.47105*D16+'Multimodel scenarios I&amp;M costs'!$E$46)</f>
        <v>1017472.8463734491</v>
      </c>
      <c r="N16">
        <f>(1700*2.47105*D16+'Multimodel scenarios I&amp;M costs'!$E$47)</f>
        <v>3831588.5138422623</v>
      </c>
      <c r="O16">
        <f>(70*2.47105*D16+'Multimodel scenarios I&amp;M costs'!$E$53)</f>
        <v>247209.88947763661</v>
      </c>
      <c r="P16">
        <f>(450*2.47105*D16+'Multimodel scenarios I&amp;M costs'!$E$54)</f>
        <v>1574118.7495489309</v>
      </c>
      <c r="Q16">
        <f>(1700*2.47105*D16+'Multimodel scenarios I&amp;M costs'!$E$55)</f>
        <v>5934473.0369496383</v>
      </c>
    </row>
    <row r="17" spans="1:17" x14ac:dyDescent="0.25">
      <c r="A17">
        <v>16</v>
      </c>
      <c r="B17">
        <v>7076.3505320000004</v>
      </c>
      <c r="C17">
        <v>17486.01598</v>
      </c>
      <c r="D17">
        <v>359.67378212096003</v>
      </c>
      <c r="E17">
        <v>35</v>
      </c>
      <c r="F17">
        <f>(5*D17+'Multimodel scenarios I&amp;M costs'!$F$25)*E17</f>
        <v>216171.4660341212</v>
      </c>
      <c r="G17">
        <f>(14.97*D17+'Multimodel scenarios I&amp;M costs'!$F$26)*E17</f>
        <v>525443.05448067631</v>
      </c>
      <c r="H17">
        <f>(24.96*D17+'Multimodel scenarios I&amp;M costs'!$F$27)*E17</f>
        <v>832682.76987917605</v>
      </c>
      <c r="I17">
        <f>(5*D17+'Multimodel scenarios I&amp;M costs'!$F$32)*E17</f>
        <v>294483.31204841007</v>
      </c>
      <c r="J17">
        <f>(14.97*D17+'Multimodel scenarios I&amp;M costs'!$F$33)*E17</f>
        <v>760378.59252354293</v>
      </c>
      <c r="K17">
        <f>(24.96*D17+'Multimodel scenarios I&amp;M costs'!$F$34)*E17</f>
        <v>1224241.9999506203</v>
      </c>
      <c r="L17">
        <f>(70*2.47105*D17+'Multimodel scenarios I&amp;M costs'!$E$45)</f>
        <v>168884.12506315042</v>
      </c>
      <c r="M17">
        <f>(450*2.47105*D17+'Multimodel scenarios I&amp;M costs'!$E$46)</f>
        <v>1070595.9783129483</v>
      </c>
      <c r="N17">
        <f>(1700*2.47105*D17+'Multimodel scenarios I&amp;M costs'!$E$47)</f>
        <v>4032275.9011692591</v>
      </c>
      <c r="O17">
        <f>(70*2.47105*D17+'Multimodel scenarios I&amp;M costs'!$E$53)</f>
        <v>255473.48777933652</v>
      </c>
      <c r="P17">
        <f>(450*2.47105*D17+'Multimodel scenarios I&amp;M costs'!$E$54)</f>
        <v>1627241.8814884303</v>
      </c>
      <c r="Q17">
        <f>(1700*2.47105*D17+'Multimodel scenarios I&amp;M costs'!$E$55)</f>
        <v>6135160.4242766351</v>
      </c>
    </row>
    <row r="18" spans="1:17" x14ac:dyDescent="0.25">
      <c r="A18">
        <v>17</v>
      </c>
      <c r="B18">
        <v>1075.7373580000001</v>
      </c>
      <c r="C18">
        <v>2658.2007979999998</v>
      </c>
      <c r="D18">
        <v>364.46</v>
      </c>
      <c r="E18">
        <v>5</v>
      </c>
      <c r="F18">
        <f>(5*D18+'Multimodel scenarios I&amp;M costs'!$F$25)*E18</f>
        <v>31001.293451850463</v>
      </c>
      <c r="G18">
        <f>(14.97*D18+'Multimodel scenarios I&amp;M costs'!$F$26)*E18</f>
        <v>75421.541905485617</v>
      </c>
      <c r="H18">
        <f>(24.96*D18+'Multimodel scenarios I&amp;M costs'!$F$27)*E18</f>
        <v>119552.00140261506</v>
      </c>
      <c r="I18">
        <f>(5*D18+'Multimodel scenarios I&amp;M costs'!$F$32)*E18</f>
        <v>42188.700025320293</v>
      </c>
      <c r="J18">
        <f>(14.97*D18+'Multimodel scenarios I&amp;M costs'!$F$33)*E18</f>
        <v>108983.76162589513</v>
      </c>
      <c r="K18">
        <f>(24.96*D18+'Multimodel scenarios I&amp;M costs'!$F$34)*E18</f>
        <v>175489.03426996421</v>
      </c>
      <c r="L18">
        <f>(70*2.47105*D18+'Multimodel scenarios I&amp;M costs'!$E$45)</f>
        <v>169712.01392145053</v>
      </c>
      <c r="M18">
        <f>(450*2.47105*D18+'Multimodel scenarios I&amp;M costs'!$E$46)</f>
        <v>1075918.1209734492</v>
      </c>
      <c r="N18">
        <f>(1700*2.47105*D18+'Multimodel scenarios I&amp;M costs'!$E$47)</f>
        <v>4052381.7734422619</v>
      </c>
      <c r="O18">
        <f>(70*2.47105*D18+'Multimodel scenarios I&amp;M costs'!$E$53)</f>
        <v>256301.37663763663</v>
      </c>
      <c r="P18">
        <f>(450*2.47105*D18+'Multimodel scenarios I&amp;M costs'!$E$54)</f>
        <v>1632564.024148931</v>
      </c>
      <c r="Q18">
        <f>(1700*2.47105*D18+'Multimodel scenarios I&amp;M costs'!$E$55)</f>
        <v>6155266.2965496378</v>
      </c>
    </row>
    <row r="19" spans="1:17" x14ac:dyDescent="0.25">
      <c r="A19">
        <v>18</v>
      </c>
      <c r="B19">
        <v>2032.4587919999999</v>
      </c>
      <c r="C19">
        <v>5022.3072979999997</v>
      </c>
      <c r="D19">
        <v>364.46</v>
      </c>
      <c r="E19">
        <v>10</v>
      </c>
      <c r="F19">
        <f>(5*D19+'Multimodel scenarios I&amp;M costs'!$F$25)*E19</f>
        <v>62002.586903700925</v>
      </c>
      <c r="G19">
        <f>(14.97*D19+'Multimodel scenarios I&amp;M costs'!$F$26)*E19</f>
        <v>150843.08381097123</v>
      </c>
      <c r="H19">
        <f>(24.96*D19+'Multimodel scenarios I&amp;M costs'!$F$27)*E19</f>
        <v>239104.00280523012</v>
      </c>
      <c r="I19">
        <f>(5*D19+'Multimodel scenarios I&amp;M costs'!$F$32)*E19</f>
        <v>84377.400050640586</v>
      </c>
      <c r="J19">
        <f>(14.97*D19+'Multimodel scenarios I&amp;M costs'!$F$33)*E19</f>
        <v>217967.52325179026</v>
      </c>
      <c r="K19">
        <f>(24.96*D19+'Multimodel scenarios I&amp;M costs'!$F$34)*E19</f>
        <v>350978.06853992841</v>
      </c>
      <c r="L19">
        <f>(70*2.47105*D19+'Multimodel scenarios I&amp;M costs'!$E$45)</f>
        <v>169712.01392145053</v>
      </c>
      <c r="M19">
        <f>(450*2.47105*D19+'Multimodel scenarios I&amp;M costs'!$E$46)</f>
        <v>1075918.1209734492</v>
      </c>
      <c r="N19">
        <f>(1700*2.47105*D19+'Multimodel scenarios I&amp;M costs'!$E$47)</f>
        <v>4052381.7734422619</v>
      </c>
      <c r="O19">
        <f>(70*2.47105*D19+'Multimodel scenarios I&amp;M costs'!$E$53)</f>
        <v>256301.37663763663</v>
      </c>
      <c r="P19">
        <f>(450*2.47105*D19+'Multimodel scenarios I&amp;M costs'!$E$54)</f>
        <v>1632564.024148931</v>
      </c>
      <c r="Q19">
        <f>(1700*2.47105*D19+'Multimodel scenarios I&amp;M costs'!$E$55)</f>
        <v>6155266.2965496378</v>
      </c>
    </row>
    <row r="20" spans="1:17" x14ac:dyDescent="0.25">
      <c r="A20">
        <v>19</v>
      </c>
      <c r="B20">
        <v>495.08611739999998</v>
      </c>
      <c r="C20">
        <v>1223.38255</v>
      </c>
      <c r="D20">
        <v>311.89999999999998</v>
      </c>
      <c r="E20">
        <v>2</v>
      </c>
      <c r="F20">
        <f>(5*D20+'Multimodel scenarios I&amp;M costs'!$F$25)*E20</f>
        <v>11874.917380740184</v>
      </c>
      <c r="G20">
        <f>(14.97*D20+'Multimodel scenarios I&amp;M costs'!$F$26)*E20</f>
        <v>28594.970362194243</v>
      </c>
      <c r="H20">
        <f>(24.96*D20+'Multimodel scenarios I&amp;M costs'!$F$27)*E20</f>
        <v>45197.005361046016</v>
      </c>
      <c r="I20">
        <f>(5*D20+'Multimodel scenarios I&amp;M costs'!$F$32)*E20</f>
        <v>16349.880010128118</v>
      </c>
      <c r="J20">
        <f>(14.97*D20+'Multimodel scenarios I&amp;M costs'!$F$33)*E20</f>
        <v>42019.858250358055</v>
      </c>
      <c r="K20">
        <f>(24.96*D20+'Multimodel scenarios I&amp;M costs'!$F$34)*E20</f>
        <v>67571.818507985692</v>
      </c>
      <c r="L20">
        <f>(70*2.47105*D20+'Multimodel scenarios I&amp;M costs'!$E$45)</f>
        <v>160620.52676145054</v>
      </c>
      <c r="M20">
        <f>(450*2.47105*D20+'Multimodel scenarios I&amp;M costs'!$E$46)</f>
        <v>1017472.8463734491</v>
      </c>
      <c r="N20">
        <f>(1700*2.47105*D20+'Multimodel scenarios I&amp;M costs'!$E$47)</f>
        <v>3831588.5138422623</v>
      </c>
      <c r="O20">
        <f>(70*2.47105*D20+'Multimodel scenarios I&amp;M costs'!$E$53)</f>
        <v>247209.88947763661</v>
      </c>
      <c r="P20">
        <f>(450*2.47105*D20+'Multimodel scenarios I&amp;M costs'!$E$54)</f>
        <v>1574118.7495489309</v>
      </c>
      <c r="Q20">
        <f>(1700*2.47105*D20+'Multimodel scenarios I&amp;M costs'!$E$55)</f>
        <v>5934473.0369496383</v>
      </c>
    </row>
    <row r="21" spans="1:17" x14ac:dyDescent="0.25">
      <c r="A21">
        <v>20</v>
      </c>
      <c r="B21">
        <v>6772.780984</v>
      </c>
      <c r="C21">
        <v>16735.880450000001</v>
      </c>
      <c r="D21">
        <v>311.89999999999998</v>
      </c>
      <c r="E21">
        <v>34</v>
      </c>
      <c r="F21">
        <f>(5*D21+'Multimodel scenarios I&amp;M costs'!$F$25)*E21</f>
        <v>201873.59547258314</v>
      </c>
      <c r="G21">
        <f>(14.97*D21+'Multimodel scenarios I&amp;M costs'!$F$26)*E21</f>
        <v>486114.49615730211</v>
      </c>
      <c r="H21">
        <f>(24.96*D21+'Multimodel scenarios I&amp;M costs'!$F$27)*E21</f>
        <v>768349.09113778232</v>
      </c>
      <c r="I21">
        <f>(5*D21+'Multimodel scenarios I&amp;M costs'!$F$32)*E21</f>
        <v>277947.96017217799</v>
      </c>
      <c r="J21">
        <f>(14.97*D21+'Multimodel scenarios I&amp;M costs'!$F$33)*E21</f>
        <v>714337.5902560869</v>
      </c>
      <c r="K21">
        <f>(24.96*D21+'Multimodel scenarios I&amp;M costs'!$F$34)*E21</f>
        <v>1148720.9146357568</v>
      </c>
      <c r="L21">
        <f>(70*2.47105*D21+'Multimodel scenarios I&amp;M costs'!$E$45)</f>
        <v>160620.52676145054</v>
      </c>
      <c r="M21">
        <f>(450*2.47105*D21+'Multimodel scenarios I&amp;M costs'!$E$46)</f>
        <v>1017472.8463734491</v>
      </c>
      <c r="N21">
        <f>(1700*2.47105*D21+'Multimodel scenarios I&amp;M costs'!$E$47)</f>
        <v>3831588.5138422623</v>
      </c>
      <c r="O21">
        <f>(70*2.47105*D21+'Multimodel scenarios I&amp;M costs'!$E$53)</f>
        <v>247209.88947763661</v>
      </c>
      <c r="P21">
        <f>(450*2.47105*D21+'Multimodel scenarios I&amp;M costs'!$E$54)</f>
        <v>1574118.7495489309</v>
      </c>
      <c r="Q21">
        <f>(1700*2.47105*D21+'Multimodel scenarios I&amp;M costs'!$E$55)</f>
        <v>5934473.0369496383</v>
      </c>
    </row>
    <row r="22" spans="1:17" x14ac:dyDescent="0.25">
      <c r="A22">
        <v>21</v>
      </c>
      <c r="B22">
        <v>3343.8591500000002</v>
      </c>
      <c r="C22">
        <v>8262.8431519999995</v>
      </c>
      <c r="D22">
        <v>354.12972761911999</v>
      </c>
      <c r="E22">
        <v>17</v>
      </c>
      <c r="F22">
        <f>(5*D22+'Multimodel scenarios I&amp;M costs'!$F$25)*E22</f>
        <v>104526.32458391676</v>
      </c>
      <c r="G22">
        <f>(14.97*D22+'Multimodel scenarios I&amp;M costs'!$F$26)*E22</f>
        <v>253804.29146044093</v>
      </c>
      <c r="H22">
        <f>(24.96*D22+'Multimodel scenarios I&amp;M costs'!$F$27)*E22</f>
        <v>402093.46359223622</v>
      </c>
      <c r="I22">
        <f>(5*D22+'Multimodel scenarios I&amp;M costs'!$F$32)*E22</f>
        <v>142563.5069337142</v>
      </c>
      <c r="J22">
        <f>(14.97*D22+'Multimodel scenarios I&amp;M costs'!$F$33)*E22</f>
        <v>367915.83850983332</v>
      </c>
      <c r="K22">
        <f>(24.96*D22+'Multimodel scenarios I&amp;M costs'!$F$34)*E22</f>
        <v>592279.37534122332</v>
      </c>
      <c r="L22">
        <f>(70*2.47105*D22+'Multimodel scenarios I&amp;M costs'!$E$45)</f>
        <v>167925.1505517764</v>
      </c>
      <c r="M22">
        <f>(450*2.47105*D22+'Multimodel scenarios I&amp;M costs'!$E$46)</f>
        <v>1064431.142168401</v>
      </c>
      <c r="N22">
        <f>(1700*2.47105*D22+'Multimodel scenarios I&amp;M costs'!$E$47)</f>
        <v>4008986.5201787474</v>
      </c>
      <c r="O22">
        <f>(70*2.47105*D22+'Multimodel scenarios I&amp;M costs'!$E$53)</f>
        <v>254514.51326796249</v>
      </c>
      <c r="P22">
        <f>(450*2.47105*D22+'Multimodel scenarios I&amp;M costs'!$E$54)</f>
        <v>1621077.0453438829</v>
      </c>
      <c r="Q22">
        <f>(1700*2.47105*D22+'Multimodel scenarios I&amp;M costs'!$E$55)</f>
        <v>6111871.0432861233</v>
      </c>
    </row>
    <row r="23" spans="1:17" x14ac:dyDescent="0.25">
      <c r="A23">
        <v>22</v>
      </c>
      <c r="B23">
        <v>1526.3181239999999</v>
      </c>
      <c r="C23">
        <v>3771.6084019999998</v>
      </c>
      <c r="D23">
        <v>364.46</v>
      </c>
      <c r="E23">
        <v>8</v>
      </c>
      <c r="F23">
        <f>(5*D23+'Multimodel scenarios I&amp;M costs'!$F$25)*E23</f>
        <v>49602.069522960737</v>
      </c>
      <c r="G23">
        <f>(14.97*D23+'Multimodel scenarios I&amp;M costs'!$F$26)*E23</f>
        <v>120674.46704877698</v>
      </c>
      <c r="H23">
        <f>(24.96*D23+'Multimodel scenarios I&amp;M costs'!$F$27)*E23</f>
        <v>191283.2022441841</v>
      </c>
      <c r="I23">
        <f>(5*D23+'Multimodel scenarios I&amp;M costs'!$F$32)*E23</f>
        <v>67501.920040512472</v>
      </c>
      <c r="J23">
        <f>(14.97*D23+'Multimodel scenarios I&amp;M costs'!$F$33)*E23</f>
        <v>174374.01860143221</v>
      </c>
      <c r="K23">
        <f>(24.96*D23+'Multimodel scenarios I&amp;M costs'!$F$34)*E23</f>
        <v>280782.45483194274</v>
      </c>
      <c r="L23">
        <f>(70*2.47105*D23+'Multimodel scenarios I&amp;M costs'!$E$45)</f>
        <v>169712.01392145053</v>
      </c>
      <c r="M23">
        <f>(450*2.47105*D23+'Multimodel scenarios I&amp;M costs'!$E$46)</f>
        <v>1075918.1209734492</v>
      </c>
      <c r="N23">
        <f>(1700*2.47105*D23+'Multimodel scenarios I&amp;M costs'!$E$47)</f>
        <v>4052381.7734422619</v>
      </c>
      <c r="O23">
        <f>(70*2.47105*D23+'Multimodel scenarios I&amp;M costs'!$E$53)</f>
        <v>256301.37663763663</v>
      </c>
      <c r="P23">
        <f>(450*2.47105*D23+'Multimodel scenarios I&amp;M costs'!$E$54)</f>
        <v>1632564.024148931</v>
      </c>
      <c r="Q23">
        <f>(1700*2.47105*D23+'Multimodel scenarios I&amp;M costs'!$E$55)</f>
        <v>6155266.2965496378</v>
      </c>
    </row>
    <row r="24" spans="1:17" x14ac:dyDescent="0.25">
      <c r="A24">
        <v>23</v>
      </c>
      <c r="B24">
        <v>289.78725109999999</v>
      </c>
      <c r="C24">
        <v>716.07878670000002</v>
      </c>
      <c r="D24">
        <v>311.89999999999998</v>
      </c>
      <c r="E24">
        <v>1</v>
      </c>
      <c r="F24">
        <f>(5*D24+'Multimodel scenarios I&amp;M costs'!$F$25)*E24</f>
        <v>5937.458690370092</v>
      </c>
      <c r="G24">
        <f>(14.97*D24+'Multimodel scenarios I&amp;M costs'!$F$26)*E24</f>
        <v>14297.485181097121</v>
      </c>
      <c r="H24">
        <f>(24.96*D24+'Multimodel scenarios I&amp;M costs'!$F$27)*E24</f>
        <v>22598.502680523008</v>
      </c>
      <c r="I24">
        <f>(5*D24+'Multimodel scenarios I&amp;M costs'!$F$32)*E24</f>
        <v>8174.9400050640588</v>
      </c>
      <c r="J24">
        <f>(14.97*D24+'Multimodel scenarios I&amp;M costs'!$F$33)*E24</f>
        <v>21009.929125179027</v>
      </c>
      <c r="K24">
        <f>(24.96*D24+'Multimodel scenarios I&amp;M costs'!$F$34)*E24</f>
        <v>33785.909253992846</v>
      </c>
      <c r="L24">
        <f>(70*2.47105*D24+'Multimodel scenarios I&amp;M costs'!$E$45)</f>
        <v>160620.52676145054</v>
      </c>
      <c r="M24">
        <f>(450*2.47105*D24+'Multimodel scenarios I&amp;M costs'!$E$46)</f>
        <v>1017472.8463734491</v>
      </c>
      <c r="N24">
        <f>(1700*2.47105*D24+'Multimodel scenarios I&amp;M costs'!$E$47)</f>
        <v>3831588.5138422623</v>
      </c>
      <c r="O24">
        <f>(70*2.47105*D24+'Multimodel scenarios I&amp;M costs'!$E$53)</f>
        <v>247209.88947763661</v>
      </c>
      <c r="P24">
        <f>(450*2.47105*D24+'Multimodel scenarios I&amp;M costs'!$E$54)</f>
        <v>1574118.7495489309</v>
      </c>
      <c r="Q24">
        <f>(1700*2.47105*D24+'Multimodel scenarios I&amp;M costs'!$E$55)</f>
        <v>5934473.0369496383</v>
      </c>
    </row>
    <row r="25" spans="1:17" x14ac:dyDescent="0.25">
      <c r="A25">
        <v>24</v>
      </c>
      <c r="B25">
        <v>1806.055785</v>
      </c>
      <c r="C25">
        <v>4462.8541480000004</v>
      </c>
      <c r="D25">
        <v>311.89999999999998</v>
      </c>
      <c r="E25">
        <v>9</v>
      </c>
      <c r="F25">
        <f>(5*D25+'Multimodel scenarios I&amp;M costs'!$F$25)*E25</f>
        <v>53437.128213330827</v>
      </c>
      <c r="G25">
        <f>(14.97*D25+'Multimodel scenarios I&amp;M costs'!$F$26)*E25</f>
        <v>128677.36662987409</v>
      </c>
      <c r="H25">
        <f>(24.96*D25+'Multimodel scenarios I&amp;M costs'!$F$27)*E25</f>
        <v>203386.52412470707</v>
      </c>
      <c r="I25">
        <f>(5*D25+'Multimodel scenarios I&amp;M costs'!$F$32)*E25</f>
        <v>73574.460045576532</v>
      </c>
      <c r="J25">
        <f>(14.97*D25+'Multimodel scenarios I&amp;M costs'!$F$33)*E25</f>
        <v>189089.36212661123</v>
      </c>
      <c r="K25">
        <f>(24.96*D25+'Multimodel scenarios I&amp;M costs'!$F$34)*E25</f>
        <v>304073.18328593561</v>
      </c>
      <c r="L25">
        <f>(70*2.47105*D25+'Multimodel scenarios I&amp;M costs'!$E$45)</f>
        <v>160620.52676145054</v>
      </c>
      <c r="M25">
        <f>(450*2.47105*D25+'Multimodel scenarios I&amp;M costs'!$E$46)</f>
        <v>1017472.8463734491</v>
      </c>
      <c r="N25">
        <f>(1700*2.47105*D25+'Multimodel scenarios I&amp;M costs'!$E$47)</f>
        <v>3831588.5138422623</v>
      </c>
      <c r="O25">
        <f>(70*2.47105*D25+'Multimodel scenarios I&amp;M costs'!$E$53)</f>
        <v>247209.88947763661</v>
      </c>
      <c r="P25">
        <f>(450*2.47105*D25+'Multimodel scenarios I&amp;M costs'!$E$54)</f>
        <v>1574118.7495489309</v>
      </c>
      <c r="Q25">
        <f>(1700*2.47105*D25+'Multimodel scenarios I&amp;M costs'!$E$55)</f>
        <v>5934473.0369496383</v>
      </c>
    </row>
    <row r="26" spans="1:17" x14ac:dyDescent="0.25">
      <c r="A26">
        <v>25</v>
      </c>
      <c r="B26">
        <v>3553.1778730000001</v>
      </c>
      <c r="C26">
        <v>8780.0801840000004</v>
      </c>
      <c r="D26">
        <v>364.46</v>
      </c>
      <c r="E26">
        <v>18</v>
      </c>
      <c r="F26">
        <f>(5*D26+'Multimodel scenarios I&amp;M costs'!$F$25)*E26</f>
        <v>111604.65642666166</v>
      </c>
      <c r="G26">
        <f>(14.97*D26+'Multimodel scenarios I&amp;M costs'!$F$26)*E26</f>
        <v>271517.55085974821</v>
      </c>
      <c r="H26">
        <f>(24.96*D26+'Multimodel scenarios I&amp;M costs'!$F$27)*E26</f>
        <v>430387.20504941419</v>
      </c>
      <c r="I26">
        <f>(5*D26+'Multimodel scenarios I&amp;M costs'!$F$32)*E26</f>
        <v>151879.32009115306</v>
      </c>
      <c r="J26">
        <f>(14.97*D26+'Multimodel scenarios I&amp;M costs'!$F$33)*E26</f>
        <v>392341.54185322247</v>
      </c>
      <c r="K26">
        <f>(24.96*D26+'Multimodel scenarios I&amp;M costs'!$F$34)*E26</f>
        <v>631760.52337187121</v>
      </c>
      <c r="L26">
        <f>(70*2.47105*D26+'Multimodel scenarios I&amp;M costs'!$E$45)</f>
        <v>169712.01392145053</v>
      </c>
      <c r="M26">
        <f>(450*2.47105*D26+'Multimodel scenarios I&amp;M costs'!$E$46)</f>
        <v>1075918.1209734492</v>
      </c>
      <c r="N26">
        <f>(1700*2.47105*D26+'Multimodel scenarios I&amp;M costs'!$E$47)</f>
        <v>4052381.7734422619</v>
      </c>
      <c r="O26">
        <f>(70*2.47105*D26+'Multimodel scenarios I&amp;M costs'!$E$53)</f>
        <v>256301.37663763663</v>
      </c>
      <c r="P26">
        <f>(450*2.47105*D26+'Multimodel scenarios I&amp;M costs'!$E$54)</f>
        <v>1632564.024148931</v>
      </c>
      <c r="Q26">
        <f>(1700*2.47105*D26+'Multimodel scenarios I&amp;M costs'!$E$55)</f>
        <v>6155266.2965496378</v>
      </c>
    </row>
    <row r="27" spans="1:17" x14ac:dyDescent="0.25">
      <c r="A27">
        <v>26</v>
      </c>
      <c r="B27">
        <v>6607.6087070000003</v>
      </c>
      <c r="C27">
        <v>16327.7315</v>
      </c>
      <c r="D27">
        <v>364.46</v>
      </c>
      <c r="E27">
        <v>33</v>
      </c>
      <c r="F27">
        <f>(5*D27+'Multimodel scenarios I&amp;M costs'!$F$25)*E27</f>
        <v>204608.53678221305</v>
      </c>
      <c r="G27">
        <f>(14.97*D27+'Multimodel scenarios I&amp;M costs'!$F$26)*E27</f>
        <v>497782.17657620501</v>
      </c>
      <c r="H27">
        <f>(24.96*D27+'Multimodel scenarios I&amp;M costs'!$F$27)*E27</f>
        <v>789043.20925725938</v>
      </c>
      <c r="I27">
        <f>(5*D27+'Multimodel scenarios I&amp;M costs'!$F$32)*E27</f>
        <v>278445.42016711395</v>
      </c>
      <c r="J27">
        <f>(14.97*D27+'Multimodel scenarios I&amp;M costs'!$F$33)*E27</f>
        <v>719292.82673090789</v>
      </c>
      <c r="K27">
        <f>(24.96*D27+'Multimodel scenarios I&amp;M costs'!$F$34)*E27</f>
        <v>1158227.6261817638</v>
      </c>
      <c r="L27">
        <f>(70*2.47105*D27+'Multimodel scenarios I&amp;M costs'!$E$45)</f>
        <v>169712.01392145053</v>
      </c>
      <c r="M27">
        <f>(450*2.47105*D27+'Multimodel scenarios I&amp;M costs'!$E$46)</f>
        <v>1075918.1209734492</v>
      </c>
      <c r="N27">
        <f>(1700*2.47105*D27+'Multimodel scenarios I&amp;M costs'!$E$47)</f>
        <v>4052381.7734422619</v>
      </c>
      <c r="O27">
        <f>(70*2.47105*D27+'Multimodel scenarios I&amp;M costs'!$E$53)</f>
        <v>256301.37663763663</v>
      </c>
      <c r="P27">
        <f>(450*2.47105*D27+'Multimodel scenarios I&amp;M costs'!$E$54)</f>
        <v>1632564.024148931</v>
      </c>
      <c r="Q27">
        <f>(1700*2.47105*D27+'Multimodel scenarios I&amp;M costs'!$E$55)</f>
        <v>6155266.2965496378</v>
      </c>
    </row>
    <row r="28" spans="1:17" x14ac:dyDescent="0.25">
      <c r="A28">
        <v>27</v>
      </c>
      <c r="B28">
        <v>3613.2601030000001</v>
      </c>
      <c r="C28">
        <v>8928.5463770000006</v>
      </c>
      <c r="D28">
        <v>364.46</v>
      </c>
      <c r="E28">
        <v>18</v>
      </c>
      <c r="F28">
        <f>(5*D28+'Multimodel scenarios I&amp;M costs'!$F$25)*E28</f>
        <v>111604.65642666166</v>
      </c>
      <c r="G28">
        <f>(14.97*D28+'Multimodel scenarios I&amp;M costs'!$F$26)*E28</f>
        <v>271517.55085974821</v>
      </c>
      <c r="H28">
        <f>(24.96*D28+'Multimodel scenarios I&amp;M costs'!$F$27)*E28</f>
        <v>430387.20504941419</v>
      </c>
      <c r="I28">
        <f>(5*D28+'Multimodel scenarios I&amp;M costs'!$F$32)*E28</f>
        <v>151879.32009115306</v>
      </c>
      <c r="J28">
        <f>(14.97*D28+'Multimodel scenarios I&amp;M costs'!$F$33)*E28</f>
        <v>392341.54185322247</v>
      </c>
      <c r="K28">
        <f>(24.96*D28+'Multimodel scenarios I&amp;M costs'!$F$34)*E28</f>
        <v>631760.52337187121</v>
      </c>
      <c r="L28">
        <f>(70*2.47105*D28+'Multimodel scenarios I&amp;M costs'!$E$45)</f>
        <v>169712.01392145053</v>
      </c>
      <c r="M28">
        <f>(450*2.47105*D28+'Multimodel scenarios I&amp;M costs'!$E$46)</f>
        <v>1075918.1209734492</v>
      </c>
      <c r="N28">
        <f>(1700*2.47105*D28+'Multimodel scenarios I&amp;M costs'!$E$47)</f>
        <v>4052381.7734422619</v>
      </c>
      <c r="O28">
        <f>(70*2.47105*D28+'Multimodel scenarios I&amp;M costs'!$E$53)</f>
        <v>256301.37663763663</v>
      </c>
      <c r="P28">
        <f>(450*2.47105*D28+'Multimodel scenarios I&amp;M costs'!$E$54)</f>
        <v>1632564.024148931</v>
      </c>
      <c r="Q28">
        <f>(1700*2.47105*D28+'Multimodel scenarios I&amp;M costs'!$E$55)</f>
        <v>6155266.2965496378</v>
      </c>
    </row>
    <row r="29" spans="1:17" x14ac:dyDescent="0.25">
      <c r="A29">
        <v>28</v>
      </c>
      <c r="B29">
        <v>5909.6643270000004</v>
      </c>
      <c r="C29">
        <v>14603.07603</v>
      </c>
      <c r="D29">
        <v>311.89999999999998</v>
      </c>
      <c r="E29">
        <v>29</v>
      </c>
      <c r="F29">
        <f>(5*D29+'Multimodel scenarios I&amp;M costs'!$F$25)*E29</f>
        <v>172186.30202073266</v>
      </c>
      <c r="G29">
        <f>(14.97*D29+'Multimodel scenarios I&amp;M costs'!$F$26)*E29</f>
        <v>414627.07025181653</v>
      </c>
      <c r="H29">
        <f>(24.96*D29+'Multimodel scenarios I&amp;M costs'!$F$27)*E29</f>
        <v>655356.57773516723</v>
      </c>
      <c r="I29">
        <f>(5*D29+'Multimodel scenarios I&amp;M costs'!$F$32)*E29</f>
        <v>237073.2601468577</v>
      </c>
      <c r="J29">
        <f>(14.97*D29+'Multimodel scenarios I&amp;M costs'!$F$33)*E29</f>
        <v>609287.94463019178</v>
      </c>
      <c r="K29">
        <f>(24.96*D29+'Multimodel scenarios I&amp;M costs'!$F$34)*E29</f>
        <v>979791.36836579256</v>
      </c>
      <c r="L29">
        <f>(70*2.47105*D29+'Multimodel scenarios I&amp;M costs'!$E$45)</f>
        <v>160620.52676145054</v>
      </c>
      <c r="M29">
        <f>(450*2.47105*D29+'Multimodel scenarios I&amp;M costs'!$E$46)</f>
        <v>1017472.8463734491</v>
      </c>
      <c r="N29">
        <f>(1700*2.47105*D29+'Multimodel scenarios I&amp;M costs'!$E$47)</f>
        <v>3831588.5138422623</v>
      </c>
      <c r="O29">
        <f>(70*2.47105*D29+'Multimodel scenarios I&amp;M costs'!$E$53)</f>
        <v>247209.88947763661</v>
      </c>
      <c r="P29">
        <f>(450*2.47105*D29+'Multimodel scenarios I&amp;M costs'!$E$54)</f>
        <v>1574118.7495489309</v>
      </c>
      <c r="Q29">
        <f>(1700*2.47105*D29+'Multimodel scenarios I&amp;M costs'!$E$55)</f>
        <v>5934473.0369496383</v>
      </c>
    </row>
    <row r="30" spans="1:17" x14ac:dyDescent="0.25">
      <c r="A30">
        <v>29</v>
      </c>
      <c r="B30">
        <v>1119.3095269999999</v>
      </c>
      <c r="C30">
        <v>2765.869807</v>
      </c>
      <c r="D30">
        <v>364.46</v>
      </c>
      <c r="E30">
        <v>6</v>
      </c>
      <c r="F30">
        <f>(5*D30+'Multimodel scenarios I&amp;M costs'!$F$25)*E30</f>
        <v>37201.552142220549</v>
      </c>
      <c r="G30">
        <f>(14.97*D30+'Multimodel scenarios I&amp;M costs'!$F$26)*E30</f>
        <v>90505.850286582732</v>
      </c>
      <c r="H30">
        <f>(24.96*D30+'Multimodel scenarios I&amp;M costs'!$F$27)*E30</f>
        <v>143462.40168313807</v>
      </c>
      <c r="I30">
        <f>(5*D30+'Multimodel scenarios I&amp;M costs'!$F$32)*E30</f>
        <v>50626.440030384358</v>
      </c>
      <c r="J30">
        <f>(14.97*D30+'Multimodel scenarios I&amp;M costs'!$F$33)*E30</f>
        <v>130780.51395107416</v>
      </c>
      <c r="K30">
        <f>(24.96*D30+'Multimodel scenarios I&amp;M costs'!$F$34)*E30</f>
        <v>210586.84112395707</v>
      </c>
      <c r="L30">
        <f>(70*2.47105*D30+'Multimodel scenarios I&amp;M costs'!$E$45)</f>
        <v>169712.01392145053</v>
      </c>
      <c r="M30">
        <f>(450*2.47105*D30+'Multimodel scenarios I&amp;M costs'!$E$46)</f>
        <v>1075918.1209734492</v>
      </c>
      <c r="N30">
        <f>(1700*2.47105*D30+'Multimodel scenarios I&amp;M costs'!$E$47)</f>
        <v>4052381.7734422619</v>
      </c>
      <c r="O30">
        <f>(70*2.47105*D30+'Multimodel scenarios I&amp;M costs'!$E$53)</f>
        <v>256301.37663763663</v>
      </c>
      <c r="P30">
        <f>(450*2.47105*D30+'Multimodel scenarios I&amp;M costs'!$E$54)</f>
        <v>1632564.024148931</v>
      </c>
      <c r="Q30">
        <f>(1700*2.47105*D30+'Multimodel scenarios I&amp;M costs'!$E$55)</f>
        <v>6155266.2965496378</v>
      </c>
    </row>
    <row r="31" spans="1:17" x14ac:dyDescent="0.25">
      <c r="A31">
        <v>30</v>
      </c>
      <c r="B31">
        <v>721.77626599999996</v>
      </c>
      <c r="C31">
        <v>1783.5452419999999</v>
      </c>
      <c r="D31">
        <v>411.37192895215998</v>
      </c>
      <c r="E31">
        <v>4</v>
      </c>
      <c r="F31">
        <f>(5*D31+'Multimodel scenarios I&amp;M costs'!$F$25)*E31</f>
        <v>25739.273340523567</v>
      </c>
      <c r="G31">
        <f>(14.97*D31+'Multimodel scenarios I&amp;M costs'!$F$26)*E31</f>
        <v>63146.319830043823</v>
      </c>
      <c r="H31">
        <f>(24.96*D31+'Multimodel scenarios I&amp;M costs'!$F$27)*E31</f>
        <v>100325.2881086757</v>
      </c>
      <c r="I31">
        <f>(5*D31+'Multimodel scenarios I&amp;M costs'!$F$32)*E31</f>
        <v>34689.19859929943</v>
      </c>
      <c r="J31">
        <f>(14.97*D31+'Multimodel scenarios I&amp;M costs'!$F$33)*E31</f>
        <v>89996.09560637144</v>
      </c>
      <c r="K31">
        <f>(24.96*D31+'Multimodel scenarios I&amp;M costs'!$F$34)*E31</f>
        <v>145074.91440255503</v>
      </c>
      <c r="L31">
        <f>(70*2.47105*D31+'Multimodel scenarios I&amp;M costs'!$E$45)</f>
        <v>177826.53446405701</v>
      </c>
      <c r="M31">
        <f>(450*2.47105*D31+'Multimodel scenarios I&amp;M costs'!$E$46)</f>
        <v>1128082.8958902049</v>
      </c>
      <c r="N31">
        <f>(1700*2.47105*D31+'Multimodel scenarios I&amp;M costs'!$E$47)</f>
        <v>4249448.7009055614</v>
      </c>
      <c r="O31">
        <f>(70*2.47105*D31+'Multimodel scenarios I&amp;M costs'!$E$53)</f>
        <v>264415.89718024305</v>
      </c>
      <c r="P31">
        <f>(450*2.47105*D31+'Multimodel scenarios I&amp;M costs'!$E$54)</f>
        <v>1684728.7990656868</v>
      </c>
      <c r="Q31">
        <f>(1700*2.47105*D31+'Multimodel scenarios I&amp;M costs'!$E$55)</f>
        <v>6352333.2240129374</v>
      </c>
    </row>
    <row r="32" spans="1:17" x14ac:dyDescent="0.25">
      <c r="A32">
        <v>31</v>
      </c>
      <c r="B32">
        <v>2141.5686970000002</v>
      </c>
      <c r="C32">
        <v>5291.9233299999996</v>
      </c>
      <c r="D32">
        <v>311.89999999999998</v>
      </c>
      <c r="E32">
        <v>11</v>
      </c>
      <c r="F32">
        <f>(5*D32+'Multimodel scenarios I&amp;M costs'!$F$25)*E32</f>
        <v>65312.045594071009</v>
      </c>
      <c r="G32">
        <f>(14.97*D32+'Multimodel scenarios I&amp;M costs'!$F$26)*E32</f>
        <v>157272.33699206833</v>
      </c>
      <c r="H32">
        <f>(24.96*D32+'Multimodel scenarios I&amp;M costs'!$F$27)*E32</f>
        <v>248583.5294857531</v>
      </c>
      <c r="I32">
        <f>(5*D32+'Multimodel scenarios I&amp;M costs'!$F$32)*E32</f>
        <v>89924.340055704641</v>
      </c>
      <c r="J32">
        <f>(14.97*D32+'Multimodel scenarios I&amp;M costs'!$F$33)*E32</f>
        <v>231109.22037696932</v>
      </c>
      <c r="K32">
        <f>(24.96*D32+'Multimodel scenarios I&amp;M costs'!$F$34)*E32</f>
        <v>371645.00179392128</v>
      </c>
      <c r="L32">
        <f>(70*2.47105*D32+'Multimodel scenarios I&amp;M costs'!$E$45)</f>
        <v>160620.52676145054</v>
      </c>
      <c r="M32">
        <f>(450*2.47105*D32+'Multimodel scenarios I&amp;M costs'!$E$46)</f>
        <v>1017472.8463734491</v>
      </c>
      <c r="N32">
        <f>(1700*2.47105*D32+'Multimodel scenarios I&amp;M costs'!$E$47)</f>
        <v>3831588.5138422623</v>
      </c>
      <c r="O32">
        <f>(70*2.47105*D32+'Multimodel scenarios I&amp;M costs'!$E$53)</f>
        <v>247209.88947763661</v>
      </c>
      <c r="P32">
        <f>(450*2.47105*D32+'Multimodel scenarios I&amp;M costs'!$E$54)</f>
        <v>1574118.7495489309</v>
      </c>
      <c r="Q32">
        <f>(1700*2.47105*D32+'Multimodel scenarios I&amp;M costs'!$E$55)</f>
        <v>5934473.0369496383</v>
      </c>
    </row>
    <row r="33" spans="1:17" x14ac:dyDescent="0.25">
      <c r="A33">
        <v>32</v>
      </c>
      <c r="B33">
        <v>2484.834147</v>
      </c>
      <c r="C33">
        <v>6140.1494190000003</v>
      </c>
      <c r="D33">
        <v>364.46</v>
      </c>
      <c r="E33">
        <v>12</v>
      </c>
      <c r="F33">
        <f>(5*D33+'Multimodel scenarios I&amp;M costs'!$F$25)*E33</f>
        <v>74403.104284441099</v>
      </c>
      <c r="G33">
        <f>(14.97*D33+'Multimodel scenarios I&amp;M costs'!$F$26)*E33</f>
        <v>181011.70057316546</v>
      </c>
      <c r="H33">
        <f>(24.96*D33+'Multimodel scenarios I&amp;M costs'!$F$27)*E33</f>
        <v>286924.80336627614</v>
      </c>
      <c r="I33">
        <f>(5*D33+'Multimodel scenarios I&amp;M costs'!$F$32)*E33</f>
        <v>101252.88006076872</v>
      </c>
      <c r="J33">
        <f>(14.97*D33+'Multimodel scenarios I&amp;M costs'!$F$33)*E33</f>
        <v>261561.02790214831</v>
      </c>
      <c r="K33">
        <f>(24.96*D33+'Multimodel scenarios I&amp;M costs'!$F$34)*E33</f>
        <v>421173.68224791414</v>
      </c>
      <c r="L33">
        <f>(70*2.47105*D33+'Multimodel scenarios I&amp;M costs'!$E$45)</f>
        <v>169712.01392145053</v>
      </c>
      <c r="M33">
        <f>(450*2.47105*D33+'Multimodel scenarios I&amp;M costs'!$E$46)</f>
        <v>1075918.1209734492</v>
      </c>
      <c r="N33">
        <f>(1700*2.47105*D33+'Multimodel scenarios I&amp;M costs'!$E$47)</f>
        <v>4052381.7734422619</v>
      </c>
      <c r="O33">
        <f>(70*2.47105*D33+'Multimodel scenarios I&amp;M costs'!$E$53)</f>
        <v>256301.37663763663</v>
      </c>
      <c r="P33">
        <f>(450*2.47105*D33+'Multimodel scenarios I&amp;M costs'!$E$54)</f>
        <v>1632564.024148931</v>
      </c>
      <c r="Q33">
        <f>(1700*2.47105*D33+'Multimodel scenarios I&amp;M costs'!$E$55)</f>
        <v>6155266.2965496378</v>
      </c>
    </row>
    <row r="34" spans="1:17" x14ac:dyDescent="0.25">
      <c r="A34">
        <v>33</v>
      </c>
      <c r="B34">
        <v>867.56718239999998</v>
      </c>
      <c r="C34">
        <v>2143.8018860000002</v>
      </c>
      <c r="D34">
        <v>437.77324772119999</v>
      </c>
      <c r="E34">
        <v>4</v>
      </c>
      <c r="F34">
        <f>(5*D34+'Multimodel scenarios I&amp;M costs'!$F$25)*E34</f>
        <v>26267.299715904366</v>
      </c>
      <c r="G34">
        <f>(14.97*D34+'Multimodel scenarios I&amp;M costs'!$F$26)*E34</f>
        <v>64727.230797933938</v>
      </c>
      <c r="H34">
        <f>(24.96*D34+'Multimodel scenarios I&amp;M costs'!$F$27)*E34</f>
        <v>102961.19577457666</v>
      </c>
      <c r="I34">
        <f>(5*D34+'Multimodel scenarios I&amp;M costs'!$F$32)*E34</f>
        <v>35217.224974680234</v>
      </c>
      <c r="J34">
        <f>(14.97*D34+'Multimodel scenarios I&amp;M costs'!$F$33)*E34</f>
        <v>91577.006574261555</v>
      </c>
      <c r="K34">
        <f>(24.96*D34+'Multimodel scenarios I&amp;M costs'!$F$34)*E34</f>
        <v>147710.82206845598</v>
      </c>
      <c r="L34">
        <f>(70*2.47105*D34+'Multimodel scenarios I&amp;M costs'!$E$45)</f>
        <v>182393.26297615352</v>
      </c>
      <c r="M34">
        <f>(450*2.47105*D34+'Multimodel scenarios I&amp;M costs'!$E$46)</f>
        <v>1157440.4363251112</v>
      </c>
      <c r="N34">
        <f>(1700*2.47105*D34+'Multimodel scenarios I&amp;M costs'!$E$47)</f>
        <v>4360354.9647707632</v>
      </c>
      <c r="O34">
        <f>(70*2.47105*D34+'Multimodel scenarios I&amp;M costs'!$E$53)</f>
        <v>268982.62569233961</v>
      </c>
      <c r="P34">
        <f>(450*2.47105*D34+'Multimodel scenarios I&amp;M costs'!$E$54)</f>
        <v>1714086.339500593</v>
      </c>
      <c r="Q34">
        <f>(1700*2.47105*D34+'Multimodel scenarios I&amp;M costs'!$E$55)</f>
        <v>6463239.4878781391</v>
      </c>
    </row>
    <row r="35" spans="1:17" x14ac:dyDescent="0.25">
      <c r="A35">
        <v>34</v>
      </c>
      <c r="B35">
        <v>1392.8738579999999</v>
      </c>
      <c r="C35">
        <v>3441.8609459999998</v>
      </c>
      <c r="D35">
        <v>369.77466613387998</v>
      </c>
      <c r="E35">
        <v>7</v>
      </c>
      <c r="F35">
        <f>(5*D35+'Multimodel scenarios I&amp;M costs'!$F$25)*E35</f>
        <v>43587.824147276449</v>
      </c>
      <c r="G35">
        <f>(14.97*D35+'Multimodel scenarios I&amp;M costs'!$F$26)*E35</f>
        <v>106147.08253184913</v>
      </c>
      <c r="H35">
        <f>(24.96*D35+'Multimodel scenarios I&amp;M costs'!$F$27)*E35</f>
        <v>168301.38043057261</v>
      </c>
      <c r="I35">
        <f>(5*D35+'Multimodel scenarios I&amp;M costs'!$F$32)*E35</f>
        <v>59250.193350134214</v>
      </c>
      <c r="J35">
        <f>(14.97*D35+'Multimodel scenarios I&amp;M costs'!$F$33)*E35</f>
        <v>153134.19014042243</v>
      </c>
      <c r="K35">
        <f>(24.96*D35+'Multimodel scenarios I&amp;M costs'!$F$34)*E35</f>
        <v>246613.22644486142</v>
      </c>
      <c r="L35">
        <f>(70*2.47105*D35+'Multimodel scenarios I&amp;M costs'!$E$45)</f>
        <v>170631.31032395925</v>
      </c>
      <c r="M35">
        <f>(450*2.47105*D35+'Multimodel scenarios I&amp;M costs'!$E$46)</f>
        <v>1081827.8835610049</v>
      </c>
      <c r="N35">
        <f>(1700*2.47105*D35+'Multimodel scenarios I&amp;M costs'!$E$47)</f>
        <v>4074707.5432174732</v>
      </c>
      <c r="O35">
        <f>(70*2.47105*D35+'Multimodel scenarios I&amp;M costs'!$E$53)</f>
        <v>257220.67304014531</v>
      </c>
      <c r="P35">
        <f>(450*2.47105*D35+'Multimodel scenarios I&amp;M costs'!$E$54)</f>
        <v>1638473.7867364869</v>
      </c>
      <c r="Q35">
        <f>(1700*2.47105*D35+'Multimodel scenarios I&amp;M costs'!$E$55)</f>
        <v>6177592.0663248487</v>
      </c>
    </row>
    <row r="36" spans="1:17" x14ac:dyDescent="0.25">
      <c r="A36">
        <v>35</v>
      </c>
      <c r="B36">
        <v>5405.0311009999996</v>
      </c>
      <c r="C36">
        <v>13356.1021</v>
      </c>
      <c r="D36">
        <v>318.17738360551999</v>
      </c>
      <c r="E36">
        <v>27</v>
      </c>
      <c r="F36">
        <f>(5*D36+'Multimodel scenarios I&amp;M costs'!$F$25)*E36</f>
        <v>161158.83142673768</v>
      </c>
      <c r="G36">
        <f>(14.97*D36+'Multimodel scenarios I&amp;M costs'!$F$26)*E36</f>
        <v>388569.35556913738</v>
      </c>
      <c r="H36">
        <f>(24.96*D36+'Multimodel scenarios I&amp;M costs'!$F$27)*E36</f>
        <v>614390.02673355339</v>
      </c>
      <c r="I36">
        <f>(5*D36+'Multimodel scenarios I&amp;M costs'!$F$32)*E36</f>
        <v>221570.82692347481</v>
      </c>
      <c r="J36">
        <f>(14.97*D36+'Multimodel scenarios I&amp;M costs'!$F$33)*E36</f>
        <v>569805.34205934883</v>
      </c>
      <c r="K36">
        <f>(24.96*D36+'Multimodel scenarios I&amp;M costs'!$F$34)*E36</f>
        <v>916450.00421723875</v>
      </c>
      <c r="L36">
        <f>(70*2.47105*D36+'Multimodel scenarios I&amp;M costs'!$E$45)</f>
        <v>161706.34777453996</v>
      </c>
      <c r="M36">
        <f>(450*2.47105*D36+'Multimodel scenarios I&amp;M costs'!$E$46)</f>
        <v>1024453.1243147382</v>
      </c>
      <c r="N36">
        <f>(1700*2.47105*D36+'Multimodel scenarios I&amp;M costs'!$E$47)</f>
        <v>3857958.4527315767</v>
      </c>
      <c r="O36">
        <f>(70*2.47105*D36+'Multimodel scenarios I&amp;M costs'!$E$53)</f>
        <v>248295.71049072605</v>
      </c>
      <c r="P36">
        <f>(450*2.47105*D36+'Multimodel scenarios I&amp;M costs'!$E$54)</f>
        <v>1581099.02749022</v>
      </c>
      <c r="Q36">
        <f>(1700*2.47105*D36+'Multimodel scenarios I&amp;M costs'!$E$55)</f>
        <v>5960842.9758389527</v>
      </c>
    </row>
    <row r="37" spans="1:17" x14ac:dyDescent="0.25">
      <c r="A37">
        <v>36</v>
      </c>
      <c r="B37">
        <v>2536.4459830000001</v>
      </c>
      <c r="C37">
        <v>6267.6848460000001</v>
      </c>
      <c r="D37">
        <v>354.58837931912001</v>
      </c>
      <c r="E37">
        <v>13</v>
      </c>
      <c r="F37">
        <f>(5*D37+'Multimodel scenarios I&amp;M costs'!$F$25)*E37</f>
        <v>79961.707630553996</v>
      </c>
      <c r="G37">
        <f>(14.97*D37+'Multimodel scenarios I&amp;M costs'!$F$26)*E37</f>
        <v>194174.89285355652</v>
      </c>
      <c r="H37">
        <f>(24.96*D37+'Multimodel scenarios I&amp;M costs'!$F$27)*E37</f>
        <v>307632.06016826723</v>
      </c>
      <c r="I37">
        <f>(5*D37+'Multimodel scenarios I&amp;M costs'!$F$32)*E37</f>
        <v>109048.96472157557</v>
      </c>
      <c r="J37">
        <f>(14.97*D37+'Multimodel scenarios I&amp;M costs'!$F$33)*E37</f>
        <v>281436.66412662127</v>
      </c>
      <c r="K37">
        <f>(24.96*D37+'Multimodel scenarios I&amp;M costs'!$F$34)*E37</f>
        <v>453068.34562337503</v>
      </c>
      <c r="L37">
        <f>(70*2.47105*D37+'Multimodel scenarios I&amp;M costs'!$E$45)</f>
        <v>168004.48514160636</v>
      </c>
      <c r="M37">
        <f>(450*2.47105*D37+'Multimodel scenarios I&amp;M costs'!$E$46)</f>
        <v>1064941.1502458793</v>
      </c>
      <c r="N37">
        <f>(1700*2.47105*D37+'Multimodel scenarios I&amp;M costs'!$E$47)</f>
        <v>4010913.2173603317</v>
      </c>
      <c r="O37">
        <f>(70*2.47105*D37+'Multimodel scenarios I&amp;M costs'!$E$53)</f>
        <v>254593.84785779243</v>
      </c>
      <c r="P37">
        <f>(450*2.47105*D37+'Multimodel scenarios I&amp;M costs'!$E$54)</f>
        <v>1621587.0534213611</v>
      </c>
      <c r="Q37">
        <f>(1700*2.47105*D37+'Multimodel scenarios I&amp;M costs'!$E$55)</f>
        <v>6113797.7404677076</v>
      </c>
    </row>
    <row r="38" spans="1:17" x14ac:dyDescent="0.25">
      <c r="A38">
        <v>37</v>
      </c>
      <c r="B38">
        <v>747.11560889999998</v>
      </c>
      <c r="C38">
        <v>1846.1600249999999</v>
      </c>
      <c r="D38">
        <v>311.89999999999998</v>
      </c>
      <c r="E38">
        <v>4</v>
      </c>
      <c r="F38">
        <f>(5*D38+'Multimodel scenarios I&amp;M costs'!$F$25)*E38</f>
        <v>23749.834761480368</v>
      </c>
      <c r="G38">
        <f>(14.97*D38+'Multimodel scenarios I&amp;M costs'!$F$26)*E38</f>
        <v>57189.940724388485</v>
      </c>
      <c r="H38">
        <f>(24.96*D38+'Multimodel scenarios I&amp;M costs'!$F$27)*E38</f>
        <v>90394.010722092033</v>
      </c>
      <c r="I38">
        <f>(5*D38+'Multimodel scenarios I&amp;M costs'!$F$32)*E38</f>
        <v>32699.760020256235</v>
      </c>
      <c r="J38">
        <f>(14.97*D38+'Multimodel scenarios I&amp;M costs'!$F$33)*E38</f>
        <v>84039.716500716109</v>
      </c>
      <c r="K38">
        <f>(24.96*D38+'Multimodel scenarios I&amp;M costs'!$F$34)*E38</f>
        <v>135143.63701597138</v>
      </c>
      <c r="L38">
        <f>(70*2.47105*D38+'Multimodel scenarios I&amp;M costs'!$E$45)</f>
        <v>160620.52676145054</v>
      </c>
      <c r="M38">
        <f>(450*2.47105*D38+'Multimodel scenarios I&amp;M costs'!$E$46)</f>
        <v>1017472.8463734491</v>
      </c>
      <c r="N38">
        <f>(1700*2.47105*D38+'Multimodel scenarios I&amp;M costs'!$E$47)</f>
        <v>3831588.5138422623</v>
      </c>
      <c r="O38">
        <f>(70*2.47105*D38+'Multimodel scenarios I&amp;M costs'!$E$53)</f>
        <v>247209.88947763661</v>
      </c>
      <c r="P38">
        <f>(450*2.47105*D38+'Multimodel scenarios I&amp;M costs'!$E$54)</f>
        <v>1574118.7495489309</v>
      </c>
      <c r="Q38">
        <f>(1700*2.47105*D38+'Multimodel scenarios I&amp;M costs'!$E$55)</f>
        <v>5934473.0369496383</v>
      </c>
    </row>
    <row r="39" spans="1:17" x14ac:dyDescent="0.25">
      <c r="A39">
        <v>38</v>
      </c>
      <c r="B39">
        <v>2426.1875869999999</v>
      </c>
      <c r="C39">
        <v>5995.2308370000001</v>
      </c>
      <c r="D39">
        <v>364.46</v>
      </c>
      <c r="E39">
        <v>12</v>
      </c>
      <c r="F39">
        <f>(5*D39+'Multimodel scenarios I&amp;M costs'!$F$25)*E39</f>
        <v>74403.104284441099</v>
      </c>
      <c r="G39">
        <f>(14.97*D39+'Multimodel scenarios I&amp;M costs'!$F$26)*E39</f>
        <v>181011.70057316546</v>
      </c>
      <c r="H39">
        <f>(24.96*D39+'Multimodel scenarios I&amp;M costs'!$F$27)*E39</f>
        <v>286924.80336627614</v>
      </c>
      <c r="I39">
        <f>(5*D39+'Multimodel scenarios I&amp;M costs'!$F$32)*E39</f>
        <v>101252.88006076872</v>
      </c>
      <c r="J39">
        <f>(14.97*D39+'Multimodel scenarios I&amp;M costs'!$F$33)*E39</f>
        <v>261561.02790214831</v>
      </c>
      <c r="K39">
        <f>(24.96*D39+'Multimodel scenarios I&amp;M costs'!$F$34)*E39</f>
        <v>421173.68224791414</v>
      </c>
      <c r="L39">
        <f>(70*2.47105*D39+'Multimodel scenarios I&amp;M costs'!$E$45)</f>
        <v>169712.01392145053</v>
      </c>
      <c r="M39">
        <f>(450*2.47105*D39+'Multimodel scenarios I&amp;M costs'!$E$46)</f>
        <v>1075918.1209734492</v>
      </c>
      <c r="N39">
        <f>(1700*2.47105*D39+'Multimodel scenarios I&amp;M costs'!$E$47)</f>
        <v>4052381.7734422619</v>
      </c>
      <c r="O39">
        <f>(70*2.47105*D39+'Multimodel scenarios I&amp;M costs'!$E$53)</f>
        <v>256301.37663763663</v>
      </c>
      <c r="P39">
        <f>(450*2.47105*D39+'Multimodel scenarios I&amp;M costs'!$E$54)</f>
        <v>1632564.024148931</v>
      </c>
      <c r="Q39">
        <f>(1700*2.47105*D39+'Multimodel scenarios I&amp;M costs'!$E$55)</f>
        <v>6155266.2965496378</v>
      </c>
    </row>
    <row r="40" spans="1:17" x14ac:dyDescent="0.25">
      <c r="A40">
        <v>39</v>
      </c>
      <c r="B40">
        <v>462.56850059999999</v>
      </c>
      <c r="C40">
        <v>1143.0298929999999</v>
      </c>
      <c r="D40">
        <v>364.46</v>
      </c>
      <c r="E40">
        <v>2</v>
      </c>
      <c r="F40">
        <f>(5*D40+'Multimodel scenarios I&amp;M costs'!$F$25)*E40</f>
        <v>12400.517380740184</v>
      </c>
      <c r="G40">
        <f>(14.97*D40+'Multimodel scenarios I&amp;M costs'!$F$26)*E40</f>
        <v>30168.616762194244</v>
      </c>
      <c r="H40">
        <f>(24.96*D40+'Multimodel scenarios I&amp;M costs'!$F$27)*E40</f>
        <v>47820.800561046024</v>
      </c>
      <c r="I40">
        <f>(5*D40+'Multimodel scenarios I&amp;M costs'!$F$32)*E40</f>
        <v>16875.480010128118</v>
      </c>
      <c r="J40">
        <f>(14.97*D40+'Multimodel scenarios I&amp;M costs'!$F$33)*E40</f>
        <v>43593.504650358052</v>
      </c>
      <c r="K40">
        <f>(24.96*D40+'Multimodel scenarios I&amp;M costs'!$F$34)*E40</f>
        <v>70195.613707985685</v>
      </c>
      <c r="L40">
        <f>(70*2.47105*D40+'Multimodel scenarios I&amp;M costs'!$E$45)</f>
        <v>169712.01392145053</v>
      </c>
      <c r="M40">
        <f>(450*2.47105*D40+'Multimodel scenarios I&amp;M costs'!$E$46)</f>
        <v>1075918.1209734492</v>
      </c>
      <c r="N40">
        <f>(1700*2.47105*D40+'Multimodel scenarios I&amp;M costs'!$E$47)</f>
        <v>4052381.7734422619</v>
      </c>
      <c r="O40">
        <f>(70*2.47105*D40+'Multimodel scenarios I&amp;M costs'!$E$53)</f>
        <v>256301.37663763663</v>
      </c>
      <c r="P40">
        <f>(450*2.47105*D40+'Multimodel scenarios I&amp;M costs'!$E$54)</f>
        <v>1632564.024148931</v>
      </c>
      <c r="Q40">
        <f>(1700*2.47105*D40+'Multimodel scenarios I&amp;M costs'!$E$55)</f>
        <v>6155266.2965496378</v>
      </c>
    </row>
    <row r="41" spans="1:17" x14ac:dyDescent="0.25">
      <c r="A41">
        <v>40</v>
      </c>
      <c r="B41">
        <v>8846.0124149999992</v>
      </c>
      <c r="C41">
        <v>21858.938979999999</v>
      </c>
      <c r="D41">
        <v>311.89999999999998</v>
      </c>
      <c r="E41">
        <v>44</v>
      </c>
      <c r="F41">
        <f>(5*D41+'Multimodel scenarios I&amp;M costs'!$F$25)*E41</f>
        <v>261248.18237628404</v>
      </c>
      <c r="G41">
        <f>(14.97*D41+'Multimodel scenarios I&amp;M costs'!$F$26)*E41</f>
        <v>629089.34796827333</v>
      </c>
      <c r="H41">
        <f>(24.96*D41+'Multimodel scenarios I&amp;M costs'!$F$27)*E41</f>
        <v>994334.11794301239</v>
      </c>
      <c r="I41">
        <f>(5*D41+'Multimodel scenarios I&amp;M costs'!$F$32)*E41</f>
        <v>359697.36022281856</v>
      </c>
      <c r="J41">
        <f>(14.97*D41+'Multimodel scenarios I&amp;M costs'!$F$33)*E41</f>
        <v>924436.88150787726</v>
      </c>
      <c r="K41">
        <f>(24.96*D41+'Multimodel scenarios I&amp;M costs'!$F$34)*E41</f>
        <v>1486580.0071756851</v>
      </c>
      <c r="L41">
        <f>(70*2.47105*D41+'Multimodel scenarios I&amp;M costs'!$E$45)</f>
        <v>160620.52676145054</v>
      </c>
      <c r="M41">
        <f>(450*2.47105*D41+'Multimodel scenarios I&amp;M costs'!$E$46)</f>
        <v>1017472.8463734491</v>
      </c>
      <c r="N41">
        <f>(1700*2.47105*D41+'Multimodel scenarios I&amp;M costs'!$E$47)</f>
        <v>3831588.5138422623</v>
      </c>
      <c r="O41">
        <f>(70*2.47105*D41+'Multimodel scenarios I&amp;M costs'!$E$53)</f>
        <v>247209.88947763661</v>
      </c>
      <c r="P41">
        <f>(450*2.47105*D41+'Multimodel scenarios I&amp;M costs'!$E$54)</f>
        <v>1574118.7495489309</v>
      </c>
      <c r="Q41">
        <f>(1700*2.47105*D41+'Multimodel scenarios I&amp;M costs'!$E$55)</f>
        <v>5934473.0369496383</v>
      </c>
    </row>
    <row r="42" spans="1:17" x14ac:dyDescent="0.25">
      <c r="A42">
        <v>41</v>
      </c>
      <c r="B42">
        <v>629.96604319999994</v>
      </c>
      <c r="C42">
        <v>1556.6775909999999</v>
      </c>
      <c r="D42">
        <v>364.46</v>
      </c>
      <c r="E42">
        <v>3</v>
      </c>
      <c r="F42">
        <f>(5*D42+'Multimodel scenarios I&amp;M costs'!$F$25)*E42</f>
        <v>18600.776071110275</v>
      </c>
      <c r="G42">
        <f>(14.97*D42+'Multimodel scenarios I&amp;M costs'!$F$26)*E42</f>
        <v>45252.925143291366</v>
      </c>
      <c r="H42">
        <f>(24.96*D42+'Multimodel scenarios I&amp;M costs'!$F$27)*E42</f>
        <v>71731.200841569036</v>
      </c>
      <c r="I42">
        <f>(5*D42+'Multimodel scenarios I&amp;M costs'!$F$32)*E42</f>
        <v>25313.220015192179</v>
      </c>
      <c r="J42">
        <f>(14.97*D42+'Multimodel scenarios I&amp;M costs'!$F$33)*E42</f>
        <v>65390.256975537079</v>
      </c>
      <c r="K42">
        <f>(24.96*D42+'Multimodel scenarios I&amp;M costs'!$F$34)*E42</f>
        <v>105293.42056197854</v>
      </c>
      <c r="L42">
        <f>(70*2.47105*D42+'Multimodel scenarios I&amp;M costs'!$E$45)</f>
        <v>169712.01392145053</v>
      </c>
      <c r="M42">
        <f>(450*2.47105*D42+'Multimodel scenarios I&amp;M costs'!$E$46)</f>
        <v>1075918.1209734492</v>
      </c>
      <c r="N42">
        <f>(1700*2.47105*D42+'Multimodel scenarios I&amp;M costs'!$E$47)</f>
        <v>4052381.7734422619</v>
      </c>
      <c r="O42">
        <f>(70*2.47105*D42+'Multimodel scenarios I&amp;M costs'!$E$53)</f>
        <v>256301.37663763663</v>
      </c>
      <c r="P42">
        <f>(450*2.47105*D42+'Multimodel scenarios I&amp;M costs'!$E$54)</f>
        <v>1632564.024148931</v>
      </c>
      <c r="Q42">
        <f>(1700*2.47105*D42+'Multimodel scenarios I&amp;M costs'!$E$55)</f>
        <v>6155266.2965496378</v>
      </c>
    </row>
    <row r="43" spans="1:17" x14ac:dyDescent="0.25">
      <c r="A43">
        <v>42</v>
      </c>
      <c r="B43">
        <v>1118.017441</v>
      </c>
      <c r="C43">
        <v>2762.6769979999999</v>
      </c>
      <c r="D43">
        <v>311.89999999999998</v>
      </c>
      <c r="E43">
        <v>6</v>
      </c>
      <c r="F43">
        <f>(5*D43+'Multimodel scenarios I&amp;M costs'!$F$25)*E43</f>
        <v>35624.752142220554</v>
      </c>
      <c r="G43">
        <f>(14.97*D43+'Multimodel scenarios I&amp;M costs'!$F$26)*E43</f>
        <v>85784.911086582724</v>
      </c>
      <c r="H43">
        <f>(24.96*D43+'Multimodel scenarios I&amp;M costs'!$F$27)*E43</f>
        <v>135591.01608313806</v>
      </c>
      <c r="I43">
        <f>(5*D43+'Multimodel scenarios I&amp;M costs'!$F$32)*E43</f>
        <v>49049.640030384355</v>
      </c>
      <c r="J43">
        <f>(14.97*D43+'Multimodel scenarios I&amp;M costs'!$F$33)*E43</f>
        <v>126059.57475107416</v>
      </c>
      <c r="K43">
        <f>(24.96*D43+'Multimodel scenarios I&amp;M costs'!$F$34)*E43</f>
        <v>202715.45552395709</v>
      </c>
      <c r="L43">
        <f>(70*2.47105*D43+'Multimodel scenarios I&amp;M costs'!$E$45)</f>
        <v>160620.52676145054</v>
      </c>
      <c r="M43">
        <f>(450*2.47105*D43+'Multimodel scenarios I&amp;M costs'!$E$46)</f>
        <v>1017472.8463734491</v>
      </c>
      <c r="N43">
        <f>(1700*2.47105*D43+'Multimodel scenarios I&amp;M costs'!$E$47)</f>
        <v>3831588.5138422623</v>
      </c>
      <c r="O43">
        <f>(70*2.47105*D43+'Multimodel scenarios I&amp;M costs'!$E$53)</f>
        <v>247209.88947763661</v>
      </c>
      <c r="P43">
        <f>(450*2.47105*D43+'Multimodel scenarios I&amp;M costs'!$E$54)</f>
        <v>1574118.7495489309</v>
      </c>
      <c r="Q43">
        <f>(1700*2.47105*D43+'Multimodel scenarios I&amp;M costs'!$E$55)</f>
        <v>5934473.0369496383</v>
      </c>
    </row>
    <row r="44" spans="1:17" x14ac:dyDescent="0.25">
      <c r="A44">
        <v>43</v>
      </c>
      <c r="B44">
        <v>2898.5185529999999</v>
      </c>
      <c r="C44">
        <v>7162.3842690000001</v>
      </c>
      <c r="D44">
        <v>364.46</v>
      </c>
      <c r="E44">
        <v>14</v>
      </c>
      <c r="F44">
        <f>(5*D44+'Multimodel scenarios I&amp;M costs'!$F$25)*E44</f>
        <v>86803.621665181287</v>
      </c>
      <c r="G44">
        <f>(14.97*D44+'Multimodel scenarios I&amp;M costs'!$F$26)*E44</f>
        <v>211180.31733535969</v>
      </c>
      <c r="H44">
        <f>(24.96*D44+'Multimodel scenarios I&amp;M costs'!$F$27)*E44</f>
        <v>334745.6039273222</v>
      </c>
      <c r="I44">
        <f>(5*D44+'Multimodel scenarios I&amp;M costs'!$F$32)*E44</f>
        <v>118128.36007089683</v>
      </c>
      <c r="J44">
        <f>(14.97*D44+'Multimodel scenarios I&amp;M costs'!$F$33)*E44</f>
        <v>305154.53255250637</v>
      </c>
      <c r="K44">
        <f>(24.96*D44+'Multimodel scenarios I&amp;M costs'!$F$34)*E44</f>
        <v>491369.29595589981</v>
      </c>
      <c r="L44">
        <f>(70*2.47105*D44+'Multimodel scenarios I&amp;M costs'!$E$45)</f>
        <v>169712.01392145053</v>
      </c>
      <c r="M44">
        <f>(450*2.47105*D44+'Multimodel scenarios I&amp;M costs'!$E$46)</f>
        <v>1075918.1209734492</v>
      </c>
      <c r="N44">
        <f>(1700*2.47105*D44+'Multimodel scenarios I&amp;M costs'!$E$47)</f>
        <v>4052381.7734422619</v>
      </c>
      <c r="O44">
        <f>(70*2.47105*D44+'Multimodel scenarios I&amp;M costs'!$E$53)</f>
        <v>256301.37663763663</v>
      </c>
      <c r="P44">
        <f>(450*2.47105*D44+'Multimodel scenarios I&amp;M costs'!$E$54)</f>
        <v>1632564.024148931</v>
      </c>
      <c r="Q44">
        <f>(1700*2.47105*D44+'Multimodel scenarios I&amp;M costs'!$E$55)</f>
        <v>6155266.2965496378</v>
      </c>
    </row>
    <row r="45" spans="1:17" x14ac:dyDescent="0.25">
      <c r="A45">
        <v>44</v>
      </c>
      <c r="B45">
        <v>1162.9534839999999</v>
      </c>
      <c r="C45">
        <v>2873.7162050000002</v>
      </c>
      <c r="D45">
        <v>364.46</v>
      </c>
      <c r="E45">
        <v>6</v>
      </c>
      <c r="F45">
        <f>(5*D45+'Multimodel scenarios I&amp;M costs'!$F$25)*E45</f>
        <v>37201.552142220549</v>
      </c>
      <c r="G45">
        <f>(14.97*D45+'Multimodel scenarios I&amp;M costs'!$F$26)*E45</f>
        <v>90505.850286582732</v>
      </c>
      <c r="H45">
        <f>(24.96*D45+'Multimodel scenarios I&amp;M costs'!$F$27)*E45</f>
        <v>143462.40168313807</v>
      </c>
      <c r="I45">
        <f>(5*D45+'Multimodel scenarios I&amp;M costs'!$F$32)*E45</f>
        <v>50626.440030384358</v>
      </c>
      <c r="J45">
        <f>(14.97*D45+'Multimodel scenarios I&amp;M costs'!$F$33)*E45</f>
        <v>130780.51395107416</v>
      </c>
      <c r="K45">
        <f>(24.96*D45+'Multimodel scenarios I&amp;M costs'!$F$34)*E45</f>
        <v>210586.84112395707</v>
      </c>
      <c r="L45">
        <f>(70*2.47105*D45+'Multimodel scenarios I&amp;M costs'!$E$45)</f>
        <v>169712.01392145053</v>
      </c>
      <c r="M45">
        <f>(450*2.47105*D45+'Multimodel scenarios I&amp;M costs'!$E$46)</f>
        <v>1075918.1209734492</v>
      </c>
      <c r="N45">
        <f>(1700*2.47105*D45+'Multimodel scenarios I&amp;M costs'!$E$47)</f>
        <v>4052381.7734422619</v>
      </c>
      <c r="O45">
        <f>(70*2.47105*D45+'Multimodel scenarios I&amp;M costs'!$E$53)</f>
        <v>256301.37663763663</v>
      </c>
      <c r="P45">
        <f>(450*2.47105*D45+'Multimodel scenarios I&amp;M costs'!$E$54)</f>
        <v>1632564.024148931</v>
      </c>
      <c r="Q45">
        <f>(1700*2.47105*D45+'Multimodel scenarios I&amp;M costs'!$E$55)</f>
        <v>6155266.2965496378</v>
      </c>
    </row>
    <row r="46" spans="1:17" x14ac:dyDescent="0.25">
      <c r="A46">
        <v>45</v>
      </c>
      <c r="B46">
        <v>7775.6587579999996</v>
      </c>
      <c r="C46">
        <v>19214.041570000001</v>
      </c>
      <c r="D46">
        <v>357.82312218295999</v>
      </c>
      <c r="E46">
        <v>38</v>
      </c>
      <c r="F46">
        <f>(5*D46+'Multimodel scenarios I&amp;M costs'!$F$25)*E46</f>
        <v>234348.82344882592</v>
      </c>
      <c r="G46">
        <f>(14.97*D46+'Multimodel scenarios I&amp;M costs'!$F$26)*E46</f>
        <v>569428.26416668925</v>
      </c>
      <c r="H46">
        <f>(24.96*D46+'Multimodel scenarios I&amp;M costs'!$F$27)*E46</f>
        <v>902300.26478796836</v>
      </c>
      <c r="I46">
        <f>(5*D46+'Multimodel scenarios I&amp;M costs'!$F$32)*E46</f>
        <v>319373.11340719665</v>
      </c>
      <c r="J46">
        <f>(14.97*D46+'Multimodel scenarios I&amp;M costs'!$F$33)*E46</f>
        <v>824501.13404180156</v>
      </c>
      <c r="K46">
        <f>(24.96*D46+'Multimodel scenarios I&amp;M costs'!$F$34)*E46</f>
        <v>1327421.7145798223</v>
      </c>
      <c r="L46">
        <f>(70*2.47105*D46+'Multimodel scenarios I&amp;M costs'!$E$45)</f>
        <v>168564.00993636478</v>
      </c>
      <c r="M46">
        <f>(450*2.47105*D46+'Multimodel scenarios I&amp;M costs'!$E$46)</f>
        <v>1068538.0953550406</v>
      </c>
      <c r="N46">
        <f>(1700*2.47105*D46+'Multimodel scenarios I&amp;M costs'!$E$47)</f>
        <v>4024501.6766616078</v>
      </c>
      <c r="O46">
        <f>(70*2.47105*D46+'Multimodel scenarios I&amp;M costs'!$E$53)</f>
        <v>255153.37265255087</v>
      </c>
      <c r="P46">
        <f>(450*2.47105*D46+'Multimodel scenarios I&amp;M costs'!$E$54)</f>
        <v>1625183.9985305225</v>
      </c>
      <c r="Q46">
        <f>(1700*2.47105*D46+'Multimodel scenarios I&amp;M costs'!$E$55)</f>
        <v>6127386.1997689838</v>
      </c>
    </row>
    <row r="47" spans="1:17" x14ac:dyDescent="0.25">
      <c r="A47">
        <v>46</v>
      </c>
      <c r="B47">
        <v>574.11900419999995</v>
      </c>
      <c r="C47">
        <v>1418.6767649999999</v>
      </c>
      <c r="D47">
        <v>364.46</v>
      </c>
      <c r="E47">
        <v>3</v>
      </c>
      <c r="F47">
        <f>(5*D47+'Multimodel scenarios I&amp;M costs'!$F$25)*E47</f>
        <v>18600.776071110275</v>
      </c>
      <c r="G47">
        <f>(14.97*D47+'Multimodel scenarios I&amp;M costs'!$F$26)*E47</f>
        <v>45252.925143291366</v>
      </c>
      <c r="H47">
        <f>(24.96*D47+'Multimodel scenarios I&amp;M costs'!$F$27)*E47</f>
        <v>71731.200841569036</v>
      </c>
      <c r="I47">
        <f>(5*D47+'Multimodel scenarios I&amp;M costs'!$F$32)*E47</f>
        <v>25313.220015192179</v>
      </c>
      <c r="J47">
        <f>(14.97*D47+'Multimodel scenarios I&amp;M costs'!$F$33)*E47</f>
        <v>65390.256975537079</v>
      </c>
      <c r="K47">
        <f>(24.96*D47+'Multimodel scenarios I&amp;M costs'!$F$34)*E47</f>
        <v>105293.42056197854</v>
      </c>
      <c r="L47">
        <f>(70*2.47105*D47+'Multimodel scenarios I&amp;M costs'!$E$45)</f>
        <v>169712.01392145053</v>
      </c>
      <c r="M47">
        <f>(450*2.47105*D47+'Multimodel scenarios I&amp;M costs'!$E$46)</f>
        <v>1075918.1209734492</v>
      </c>
      <c r="N47">
        <f>(1700*2.47105*D47+'Multimodel scenarios I&amp;M costs'!$E$47)</f>
        <v>4052381.7734422619</v>
      </c>
      <c r="O47">
        <f>(70*2.47105*D47+'Multimodel scenarios I&amp;M costs'!$E$53)</f>
        <v>256301.37663763663</v>
      </c>
      <c r="P47">
        <f>(450*2.47105*D47+'Multimodel scenarios I&amp;M costs'!$E$54)</f>
        <v>1632564.024148931</v>
      </c>
      <c r="Q47">
        <f>(1700*2.47105*D47+'Multimodel scenarios I&amp;M costs'!$E$55)</f>
        <v>6155266.2965496378</v>
      </c>
    </row>
    <row r="48" spans="1:17" x14ac:dyDescent="0.25">
      <c r="A48">
        <v>47</v>
      </c>
      <c r="B48">
        <v>13232.15814</v>
      </c>
      <c r="C48">
        <v>32697.324379999998</v>
      </c>
      <c r="D48">
        <v>389.74201377224</v>
      </c>
      <c r="E48">
        <v>66</v>
      </c>
      <c r="F48">
        <f>(5*D48+'Multimodel scenarios I&amp;M costs'!$F$25)*E48</f>
        <v>417560.13810926524</v>
      </c>
      <c r="G48">
        <f>(14.97*D48+'Multimodel scenarios I&amp;M costs'!$F$26)*E48</f>
        <v>1020543.4883996585</v>
      </c>
      <c r="H48">
        <f>(24.96*D48+'Multimodel scenarios I&amp;M costs'!$F$27)*E48</f>
        <v>1619734.996722356</v>
      </c>
      <c r="I48">
        <f>(5*D48+'Multimodel scenarios I&amp;M costs'!$F$32)*E48</f>
        <v>565233.90487906709</v>
      </c>
      <c r="J48">
        <f>(14.97*D48+'Multimodel scenarios I&amp;M costs'!$F$33)*E48</f>
        <v>1463564.7887090642</v>
      </c>
      <c r="K48">
        <f>(24.96*D48+'Multimodel scenarios I&amp;M costs'!$F$34)*E48</f>
        <v>2358103.8305713651</v>
      </c>
      <c r="L48">
        <f>(70*2.47105*D48+'Multimodel scenarios I&amp;M costs'!$E$45)</f>
        <v>174085.13233068312</v>
      </c>
      <c r="M48">
        <f>(450*2.47105*D48+'Multimodel scenarios I&amp;M costs'!$E$46)</f>
        <v>1104031.0250328013</v>
      </c>
      <c r="N48">
        <f>(1700*2.47105*D48+'Multimodel scenarios I&amp;M costs'!$E$47)</f>
        <v>4158586.0776664815</v>
      </c>
      <c r="O48">
        <f>(70*2.47105*D48+'Multimodel scenarios I&amp;M costs'!$E$53)</f>
        <v>260674.49504686918</v>
      </c>
      <c r="P48">
        <f>(450*2.47105*D48+'Multimodel scenarios I&amp;M costs'!$E$54)</f>
        <v>1660676.9282082831</v>
      </c>
      <c r="Q48">
        <f>(1700*2.47105*D48+'Multimodel scenarios I&amp;M costs'!$E$55)</f>
        <v>6261470.6007738579</v>
      </c>
    </row>
    <row r="49" spans="1:17" x14ac:dyDescent="0.25">
      <c r="A49">
        <v>48</v>
      </c>
      <c r="B49">
        <v>778.6282612</v>
      </c>
      <c r="C49">
        <v>1924.0293650000001</v>
      </c>
      <c r="D49">
        <v>311.89999999999998</v>
      </c>
      <c r="E49">
        <v>4</v>
      </c>
      <c r="F49">
        <f>(5*D49+'Multimodel scenarios I&amp;M costs'!$F$25)*E49</f>
        <v>23749.834761480368</v>
      </c>
      <c r="G49">
        <f>(14.97*D49+'Multimodel scenarios I&amp;M costs'!$F$26)*E49</f>
        <v>57189.940724388485</v>
      </c>
      <c r="H49">
        <f>(24.96*D49+'Multimodel scenarios I&amp;M costs'!$F$27)*E49</f>
        <v>90394.010722092033</v>
      </c>
      <c r="I49">
        <f>(5*D49+'Multimodel scenarios I&amp;M costs'!$F$32)*E49</f>
        <v>32699.760020256235</v>
      </c>
      <c r="J49">
        <f>(14.97*D49+'Multimodel scenarios I&amp;M costs'!$F$33)*E49</f>
        <v>84039.716500716109</v>
      </c>
      <c r="K49">
        <f>(24.96*D49+'Multimodel scenarios I&amp;M costs'!$F$34)*E49</f>
        <v>135143.63701597138</v>
      </c>
      <c r="L49">
        <f>(70*2.47105*D49+'Multimodel scenarios I&amp;M costs'!$E$45)</f>
        <v>160620.52676145054</v>
      </c>
      <c r="M49">
        <f>(450*2.47105*D49+'Multimodel scenarios I&amp;M costs'!$E$46)</f>
        <v>1017472.8463734491</v>
      </c>
      <c r="N49">
        <f>(1700*2.47105*D49+'Multimodel scenarios I&amp;M costs'!$E$47)</f>
        <v>3831588.5138422623</v>
      </c>
      <c r="O49">
        <f>(70*2.47105*D49+'Multimodel scenarios I&amp;M costs'!$E$53)</f>
        <v>247209.88947763661</v>
      </c>
      <c r="P49">
        <f>(450*2.47105*D49+'Multimodel scenarios I&amp;M costs'!$E$54)</f>
        <v>1574118.7495489309</v>
      </c>
      <c r="Q49">
        <f>(1700*2.47105*D49+'Multimodel scenarios I&amp;M costs'!$E$55)</f>
        <v>5934473.0369496383</v>
      </c>
    </row>
    <row r="50" spans="1:17" x14ac:dyDescent="0.25">
      <c r="A50">
        <v>49</v>
      </c>
      <c r="B50">
        <v>623.43380239999999</v>
      </c>
      <c r="C50">
        <v>1540.5360969999999</v>
      </c>
      <c r="D50">
        <v>311.89999999999998</v>
      </c>
      <c r="E50">
        <v>3</v>
      </c>
      <c r="F50">
        <f>(5*D50+'Multimodel scenarios I&amp;M costs'!$F$25)*E50</f>
        <v>17812.376071110277</v>
      </c>
      <c r="G50">
        <f>(14.97*D50+'Multimodel scenarios I&amp;M costs'!$F$26)*E50</f>
        <v>42892.455543291362</v>
      </c>
      <c r="H50">
        <f>(24.96*D50+'Multimodel scenarios I&amp;M costs'!$F$27)*E50</f>
        <v>67795.508041569032</v>
      </c>
      <c r="I50">
        <f>(5*D50+'Multimodel scenarios I&amp;M costs'!$F$32)*E50</f>
        <v>24524.820015192177</v>
      </c>
      <c r="J50">
        <f>(14.97*D50+'Multimodel scenarios I&amp;M costs'!$F$33)*E50</f>
        <v>63029.787375537082</v>
      </c>
      <c r="K50">
        <f>(24.96*D50+'Multimodel scenarios I&amp;M costs'!$F$34)*E50</f>
        <v>101357.72776197855</v>
      </c>
      <c r="L50">
        <f>(70*2.47105*D50+'Multimodel scenarios I&amp;M costs'!$E$45)</f>
        <v>160620.52676145054</v>
      </c>
      <c r="M50">
        <f>(450*2.47105*D50+'Multimodel scenarios I&amp;M costs'!$E$46)</f>
        <v>1017472.8463734491</v>
      </c>
      <c r="N50">
        <f>(1700*2.47105*D50+'Multimodel scenarios I&amp;M costs'!$E$47)</f>
        <v>3831588.5138422623</v>
      </c>
      <c r="O50">
        <f>(70*2.47105*D50+'Multimodel scenarios I&amp;M costs'!$E$53)</f>
        <v>247209.88947763661</v>
      </c>
      <c r="P50">
        <f>(450*2.47105*D50+'Multimodel scenarios I&amp;M costs'!$E$54)</f>
        <v>1574118.7495489309</v>
      </c>
      <c r="Q50">
        <f>(1700*2.47105*D50+'Multimodel scenarios I&amp;M costs'!$E$55)</f>
        <v>5934473.0369496383</v>
      </c>
    </row>
    <row r="51" spans="1:17" x14ac:dyDescent="0.25">
      <c r="A51">
        <v>50</v>
      </c>
      <c r="B51">
        <v>626.16155670000001</v>
      </c>
      <c r="C51">
        <v>1547.276515</v>
      </c>
      <c r="D51">
        <v>311.89999999999998</v>
      </c>
      <c r="E51">
        <v>3</v>
      </c>
      <c r="F51">
        <f>(5*D51+'Multimodel scenarios I&amp;M costs'!$F$25)*E51</f>
        <v>17812.376071110277</v>
      </c>
      <c r="G51">
        <f>(14.97*D51+'Multimodel scenarios I&amp;M costs'!$F$26)*E51</f>
        <v>42892.455543291362</v>
      </c>
      <c r="H51">
        <f>(24.96*D51+'Multimodel scenarios I&amp;M costs'!$F$27)*E51</f>
        <v>67795.508041569032</v>
      </c>
      <c r="I51">
        <f>(5*D51+'Multimodel scenarios I&amp;M costs'!$F$32)*E51</f>
        <v>24524.820015192177</v>
      </c>
      <c r="J51">
        <f>(14.97*D51+'Multimodel scenarios I&amp;M costs'!$F$33)*E51</f>
        <v>63029.787375537082</v>
      </c>
      <c r="K51">
        <f>(24.96*D51+'Multimodel scenarios I&amp;M costs'!$F$34)*E51</f>
        <v>101357.72776197855</v>
      </c>
      <c r="L51">
        <f>(70*2.47105*D51+'Multimodel scenarios I&amp;M costs'!$E$45)</f>
        <v>160620.52676145054</v>
      </c>
      <c r="M51">
        <f>(450*2.47105*D51+'Multimodel scenarios I&amp;M costs'!$E$46)</f>
        <v>1017472.8463734491</v>
      </c>
      <c r="N51">
        <f>(1700*2.47105*D51+'Multimodel scenarios I&amp;M costs'!$E$47)</f>
        <v>3831588.5138422623</v>
      </c>
      <c r="O51">
        <f>(70*2.47105*D51+'Multimodel scenarios I&amp;M costs'!$E$53)</f>
        <v>247209.88947763661</v>
      </c>
      <c r="P51">
        <f>(450*2.47105*D51+'Multimodel scenarios I&amp;M costs'!$E$54)</f>
        <v>1574118.7495489309</v>
      </c>
      <c r="Q51">
        <f>(1700*2.47105*D51+'Multimodel scenarios I&amp;M costs'!$E$55)</f>
        <v>5934473.0369496383</v>
      </c>
    </row>
    <row r="52" spans="1:17" x14ac:dyDescent="0.25">
      <c r="A52">
        <v>51</v>
      </c>
      <c r="B52">
        <v>284.61889070000001</v>
      </c>
      <c r="C52">
        <v>703.30750999999998</v>
      </c>
      <c r="D52">
        <v>364.46</v>
      </c>
      <c r="E52">
        <v>1</v>
      </c>
      <c r="F52">
        <f>(5*D52+'Multimodel scenarios I&amp;M costs'!$F$25)*E52</f>
        <v>6200.2586903700922</v>
      </c>
      <c r="G52">
        <f>(14.97*D52+'Multimodel scenarios I&amp;M costs'!$F$26)*E52</f>
        <v>15084.308381097122</v>
      </c>
      <c r="H52">
        <f>(24.96*D52+'Multimodel scenarios I&amp;M costs'!$F$27)*E52</f>
        <v>23910.400280523012</v>
      </c>
      <c r="I52">
        <f>(5*D52+'Multimodel scenarios I&amp;M costs'!$F$32)*E52</f>
        <v>8437.740005064059</v>
      </c>
      <c r="J52">
        <f>(14.97*D52+'Multimodel scenarios I&amp;M costs'!$F$33)*E52</f>
        <v>21796.752325179026</v>
      </c>
      <c r="K52">
        <f>(24.96*D52+'Multimodel scenarios I&amp;M costs'!$F$34)*E52</f>
        <v>35097.806853992843</v>
      </c>
      <c r="L52">
        <f>(70*2.47105*D52+'Multimodel scenarios I&amp;M costs'!$E$45)</f>
        <v>169712.01392145053</v>
      </c>
      <c r="M52">
        <f>(450*2.47105*D52+'Multimodel scenarios I&amp;M costs'!$E$46)</f>
        <v>1075918.1209734492</v>
      </c>
      <c r="N52">
        <f>(1700*2.47105*D52+'Multimodel scenarios I&amp;M costs'!$E$47)</f>
        <v>4052381.7734422619</v>
      </c>
      <c r="O52">
        <f>(70*2.47105*D52+'Multimodel scenarios I&amp;M costs'!$E$53)</f>
        <v>256301.37663763663</v>
      </c>
      <c r="P52">
        <f>(450*2.47105*D52+'Multimodel scenarios I&amp;M costs'!$E$54)</f>
        <v>1632564.024148931</v>
      </c>
      <c r="Q52">
        <f>(1700*2.47105*D52+'Multimodel scenarios I&amp;M costs'!$E$55)</f>
        <v>6155266.2965496378</v>
      </c>
    </row>
    <row r="53" spans="1:17" x14ac:dyDescent="0.25">
      <c r="A53">
        <v>52</v>
      </c>
      <c r="B53">
        <v>651.78801769999995</v>
      </c>
      <c r="C53">
        <v>1610.6007810000001</v>
      </c>
      <c r="D53">
        <v>311.89999999999998</v>
      </c>
      <c r="E53">
        <v>3</v>
      </c>
      <c r="F53">
        <f>(5*D53+'Multimodel scenarios I&amp;M costs'!$F$25)*E53</f>
        <v>17812.376071110277</v>
      </c>
      <c r="G53">
        <f>(14.97*D53+'Multimodel scenarios I&amp;M costs'!$F$26)*E53</f>
        <v>42892.455543291362</v>
      </c>
      <c r="H53">
        <f>(24.96*D53+'Multimodel scenarios I&amp;M costs'!$F$27)*E53</f>
        <v>67795.508041569032</v>
      </c>
      <c r="I53">
        <f>(5*D53+'Multimodel scenarios I&amp;M costs'!$F$32)*E53</f>
        <v>24524.820015192177</v>
      </c>
      <c r="J53">
        <f>(14.97*D53+'Multimodel scenarios I&amp;M costs'!$F$33)*E53</f>
        <v>63029.787375537082</v>
      </c>
      <c r="K53">
        <f>(24.96*D53+'Multimodel scenarios I&amp;M costs'!$F$34)*E53</f>
        <v>101357.72776197855</v>
      </c>
      <c r="L53">
        <f>(70*2.47105*D53+'Multimodel scenarios I&amp;M costs'!$E$45)</f>
        <v>160620.52676145054</v>
      </c>
      <c r="M53">
        <f>(450*2.47105*D53+'Multimodel scenarios I&amp;M costs'!$E$46)</f>
        <v>1017472.8463734491</v>
      </c>
      <c r="N53">
        <f>(1700*2.47105*D53+'Multimodel scenarios I&amp;M costs'!$E$47)</f>
        <v>3831588.5138422623</v>
      </c>
      <c r="O53">
        <f>(70*2.47105*D53+'Multimodel scenarios I&amp;M costs'!$E$53)</f>
        <v>247209.88947763661</v>
      </c>
      <c r="P53">
        <f>(450*2.47105*D53+'Multimodel scenarios I&amp;M costs'!$E$54)</f>
        <v>1574118.7495489309</v>
      </c>
      <c r="Q53">
        <f>(1700*2.47105*D53+'Multimodel scenarios I&amp;M costs'!$E$55)</f>
        <v>5934473.0369496383</v>
      </c>
    </row>
    <row r="54" spans="1:17" x14ac:dyDescent="0.25">
      <c r="A54">
        <v>53</v>
      </c>
      <c r="B54">
        <v>10273.34204</v>
      </c>
      <c r="C54">
        <v>25385.94184</v>
      </c>
      <c r="D54">
        <v>413.87526610027999</v>
      </c>
      <c r="E54">
        <v>51</v>
      </c>
      <c r="F54">
        <f>(5*D54+'Multimodel scenarios I&amp;M costs'!$F$25)*E54</f>
        <v>328814.08606444608</v>
      </c>
      <c r="G54">
        <f>(14.97*D54+'Multimodel scenarios I&amp;M costs'!$F$26)*E54</f>
        <v>807026.80064553395</v>
      </c>
      <c r="H54">
        <f>(24.96*D54+'Multimodel scenarios I&amp;M costs'!$F$27)*E54</f>
        <v>1282334.0714416858</v>
      </c>
      <c r="I54">
        <f>(5*D54+'Multimodel scenarios I&amp;M costs'!$F$32)*E54</f>
        <v>442925.63311383832</v>
      </c>
      <c r="J54">
        <f>(14.97*D54+'Multimodel scenarios I&amp;M costs'!$F$33)*E54</f>
        <v>1149361.4417937109</v>
      </c>
      <c r="K54">
        <f>(24.96*D54+'Multimodel scenarios I&amp;M costs'!$F$34)*E54</f>
        <v>1852891.8066886475</v>
      </c>
      <c r="L54">
        <f>(70*2.47105*D54+'Multimodel scenarios I&amp;M costs'!$E$45)</f>
        <v>178259.54545224732</v>
      </c>
      <c r="M54">
        <f>(450*2.47105*D54+'Multimodel scenarios I&amp;M costs'!$E$46)</f>
        <v>1130866.5379571428</v>
      </c>
      <c r="N54">
        <f>(1700*2.47105*D54+'Multimodel scenarios I&amp;M costs'!$E$47)</f>
        <v>4259964.682047327</v>
      </c>
      <c r="O54">
        <f>(70*2.47105*D54+'Multimodel scenarios I&amp;M costs'!$E$53)</f>
        <v>264848.90816843341</v>
      </c>
      <c r="P54">
        <f>(450*2.47105*D54+'Multimodel scenarios I&amp;M costs'!$E$54)</f>
        <v>1687512.4411326246</v>
      </c>
      <c r="Q54">
        <f>(1700*2.47105*D54+'Multimodel scenarios I&amp;M costs'!$E$55)</f>
        <v>6362849.205154703</v>
      </c>
    </row>
    <row r="55" spans="1:17" x14ac:dyDescent="0.25">
      <c r="A55">
        <v>54</v>
      </c>
      <c r="B55">
        <v>875.89398840000001</v>
      </c>
      <c r="C55">
        <v>2164.3778400000001</v>
      </c>
      <c r="D55">
        <v>311.89999999999998</v>
      </c>
      <c r="E55">
        <v>4</v>
      </c>
      <c r="F55">
        <f>(5*D55+'Multimodel scenarios I&amp;M costs'!$F$25)*E55</f>
        <v>23749.834761480368</v>
      </c>
      <c r="G55">
        <f>(14.97*D55+'Multimodel scenarios I&amp;M costs'!$F$26)*E55</f>
        <v>57189.940724388485</v>
      </c>
      <c r="H55">
        <f>(24.96*D55+'Multimodel scenarios I&amp;M costs'!$F$27)*E55</f>
        <v>90394.010722092033</v>
      </c>
      <c r="I55">
        <f>(5*D55+'Multimodel scenarios I&amp;M costs'!$F$32)*E55</f>
        <v>32699.760020256235</v>
      </c>
      <c r="J55">
        <f>(14.97*D55+'Multimodel scenarios I&amp;M costs'!$F$33)*E55</f>
        <v>84039.716500716109</v>
      </c>
      <c r="K55">
        <f>(24.96*D55+'Multimodel scenarios I&amp;M costs'!$F$34)*E55</f>
        <v>135143.63701597138</v>
      </c>
      <c r="L55">
        <f>(70*2.47105*D55+'Multimodel scenarios I&amp;M costs'!$E$45)</f>
        <v>160620.52676145054</v>
      </c>
      <c r="M55">
        <f>(450*2.47105*D55+'Multimodel scenarios I&amp;M costs'!$E$46)</f>
        <v>1017472.8463734491</v>
      </c>
      <c r="N55">
        <f>(1700*2.47105*D55+'Multimodel scenarios I&amp;M costs'!$E$47)</f>
        <v>3831588.5138422623</v>
      </c>
      <c r="O55">
        <f>(70*2.47105*D55+'Multimodel scenarios I&amp;M costs'!$E$53)</f>
        <v>247209.88947763661</v>
      </c>
      <c r="P55">
        <f>(450*2.47105*D55+'Multimodel scenarios I&amp;M costs'!$E$54)</f>
        <v>1574118.7495489309</v>
      </c>
      <c r="Q55">
        <f>(1700*2.47105*D55+'Multimodel scenarios I&amp;M costs'!$E$55)</f>
        <v>5934473.0369496383</v>
      </c>
    </row>
    <row r="56" spans="1:17" x14ac:dyDescent="0.25">
      <c r="A56">
        <v>55</v>
      </c>
      <c r="B56">
        <v>940.78565360000005</v>
      </c>
      <c r="C56">
        <v>2324.7283889999999</v>
      </c>
      <c r="D56">
        <v>311.89999999999998</v>
      </c>
      <c r="E56">
        <v>5</v>
      </c>
      <c r="F56">
        <f>(5*D56+'Multimodel scenarios I&amp;M costs'!$F$25)*E56</f>
        <v>29687.293451850459</v>
      </c>
      <c r="G56">
        <f>(14.97*D56+'Multimodel scenarios I&amp;M costs'!$F$26)*E56</f>
        <v>71487.425905485608</v>
      </c>
      <c r="H56">
        <f>(24.96*D56+'Multimodel scenarios I&amp;M costs'!$F$27)*E56</f>
        <v>112992.51340261503</v>
      </c>
      <c r="I56">
        <f>(5*D56+'Multimodel scenarios I&amp;M costs'!$F$32)*E56</f>
        <v>40874.700025320293</v>
      </c>
      <c r="J56">
        <f>(14.97*D56+'Multimodel scenarios I&amp;M costs'!$F$33)*E56</f>
        <v>105049.64562589514</v>
      </c>
      <c r="K56">
        <f>(24.96*D56+'Multimodel scenarios I&amp;M costs'!$F$34)*E56</f>
        <v>168929.54626996422</v>
      </c>
      <c r="L56">
        <f>(70*2.47105*D56+'Multimodel scenarios I&amp;M costs'!$E$45)</f>
        <v>160620.52676145054</v>
      </c>
      <c r="M56">
        <f>(450*2.47105*D56+'Multimodel scenarios I&amp;M costs'!$E$46)</f>
        <v>1017472.8463734491</v>
      </c>
      <c r="N56">
        <f>(1700*2.47105*D56+'Multimodel scenarios I&amp;M costs'!$E$47)</f>
        <v>3831588.5138422623</v>
      </c>
      <c r="O56">
        <f>(70*2.47105*D56+'Multimodel scenarios I&amp;M costs'!$E$53)</f>
        <v>247209.88947763661</v>
      </c>
      <c r="P56">
        <f>(450*2.47105*D56+'Multimodel scenarios I&amp;M costs'!$E$54)</f>
        <v>1574118.7495489309</v>
      </c>
      <c r="Q56">
        <f>(1700*2.47105*D56+'Multimodel scenarios I&amp;M costs'!$E$55)</f>
        <v>5934473.0369496383</v>
      </c>
    </row>
    <row r="57" spans="1:17" x14ac:dyDescent="0.25">
      <c r="A57">
        <v>56</v>
      </c>
      <c r="B57">
        <v>384.25344009999998</v>
      </c>
      <c r="C57">
        <v>949.50946320000003</v>
      </c>
      <c r="D57">
        <v>325.02487764704</v>
      </c>
      <c r="E57">
        <v>2</v>
      </c>
      <c r="F57">
        <f>(5*D57+'Multimodel scenarios I&amp;M costs'!$F$25)*E57</f>
        <v>12006.166157210584</v>
      </c>
      <c r="G57">
        <f>(14.97*D57+'Multimodel scenarios I&amp;M costs'!$F$26)*E57</f>
        <v>28987.929198946622</v>
      </c>
      <c r="H57">
        <f>(24.96*D57+'Multimodel scenarios I&amp;M costs'!$F$27)*E57</f>
        <v>45852.199253186256</v>
      </c>
      <c r="I57">
        <f>(5*D57+'Multimodel scenarios I&amp;M costs'!$F$32)*E57</f>
        <v>16481.128786598518</v>
      </c>
      <c r="J57">
        <f>(14.97*D57+'Multimodel scenarios I&amp;M costs'!$F$33)*E57</f>
        <v>42412.81708711043</v>
      </c>
      <c r="K57">
        <f>(24.96*D57+'Multimodel scenarios I&amp;M costs'!$F$34)*E57</f>
        <v>68227.012400125925</v>
      </c>
      <c r="L57">
        <f>(70*2.47105*D57+'Multimodel scenarios I&amp;M costs'!$E$45)</f>
        <v>162890.78278513084</v>
      </c>
      <c r="M57">
        <f>(450*2.47105*D57+'Multimodel scenarios I&amp;M costs'!$E$46)</f>
        <v>1032067.3493828224</v>
      </c>
      <c r="N57">
        <f>(1700*2.47105*D57+'Multimodel scenarios I&amp;M costs'!$E$47)</f>
        <v>3886723.3029887835</v>
      </c>
      <c r="O57">
        <f>(70*2.47105*D57+'Multimodel scenarios I&amp;M costs'!$E$53)</f>
        <v>249480.1455013169</v>
      </c>
      <c r="P57">
        <f>(450*2.47105*D57+'Multimodel scenarios I&amp;M costs'!$E$54)</f>
        <v>1588713.2525583042</v>
      </c>
      <c r="Q57">
        <f>(1700*2.47105*D57+'Multimodel scenarios I&amp;M costs'!$E$55)</f>
        <v>5989607.8260961594</v>
      </c>
    </row>
    <row r="58" spans="1:17" x14ac:dyDescent="0.25">
      <c r="A58">
        <v>57</v>
      </c>
      <c r="B58">
        <v>765.49200540000004</v>
      </c>
      <c r="C58">
        <v>1891.5690199999999</v>
      </c>
      <c r="D58">
        <v>311.89999999999998</v>
      </c>
      <c r="E58">
        <v>4</v>
      </c>
      <c r="F58">
        <f>(5*D58+'Multimodel scenarios I&amp;M costs'!$F$25)*E58</f>
        <v>23749.834761480368</v>
      </c>
      <c r="G58">
        <f>(14.97*D58+'Multimodel scenarios I&amp;M costs'!$F$26)*E58</f>
        <v>57189.940724388485</v>
      </c>
      <c r="H58">
        <f>(24.96*D58+'Multimodel scenarios I&amp;M costs'!$F$27)*E58</f>
        <v>90394.010722092033</v>
      </c>
      <c r="I58">
        <f>(5*D58+'Multimodel scenarios I&amp;M costs'!$F$32)*E58</f>
        <v>32699.760020256235</v>
      </c>
      <c r="J58">
        <f>(14.97*D58+'Multimodel scenarios I&amp;M costs'!$F$33)*E58</f>
        <v>84039.716500716109</v>
      </c>
      <c r="K58">
        <f>(24.96*D58+'Multimodel scenarios I&amp;M costs'!$F$34)*E58</f>
        <v>135143.63701597138</v>
      </c>
      <c r="L58">
        <f>(70*2.47105*D58+'Multimodel scenarios I&amp;M costs'!$E$45)</f>
        <v>160620.52676145054</v>
      </c>
      <c r="M58">
        <f>(450*2.47105*D58+'Multimodel scenarios I&amp;M costs'!$E$46)</f>
        <v>1017472.8463734491</v>
      </c>
      <c r="N58">
        <f>(1700*2.47105*D58+'Multimodel scenarios I&amp;M costs'!$E$47)</f>
        <v>3831588.5138422623</v>
      </c>
      <c r="O58">
        <f>(70*2.47105*D58+'Multimodel scenarios I&amp;M costs'!$E$53)</f>
        <v>247209.88947763661</v>
      </c>
      <c r="P58">
        <f>(450*2.47105*D58+'Multimodel scenarios I&amp;M costs'!$E$54)</f>
        <v>1574118.7495489309</v>
      </c>
      <c r="Q58">
        <f>(1700*2.47105*D58+'Multimodel scenarios I&amp;M costs'!$E$55)</f>
        <v>5934473.0369496383</v>
      </c>
    </row>
    <row r="59" spans="1:17" x14ac:dyDescent="0.25">
      <c r="A59">
        <v>58</v>
      </c>
      <c r="B59">
        <v>7132.4129169999997</v>
      </c>
      <c r="C59">
        <v>17624.548940000001</v>
      </c>
      <c r="D59">
        <v>385.39434320371998</v>
      </c>
      <c r="E59">
        <v>35</v>
      </c>
      <c r="F59">
        <f>(5*D59+'Multimodel scenarios I&amp;M costs'!$F$25)*E59</f>
        <v>220672.56422360422</v>
      </c>
      <c r="G59">
        <f>(14.97*D59+'Multimodel scenarios I&amp;M costs'!$F$26)*E59</f>
        <v>538919.34245998831</v>
      </c>
      <c r="H59">
        <f>(24.96*D59+'Multimodel scenarios I&amp;M costs'!$F$27)*E59</f>
        <v>855152.25204107515</v>
      </c>
      <c r="I59">
        <f>(5*D59+'Multimodel scenarios I&amp;M costs'!$F$32)*E59</f>
        <v>298984.41023789305</v>
      </c>
      <c r="J59">
        <f>(14.97*D59+'Multimodel scenarios I&amp;M costs'!$F$33)*E59</f>
        <v>773854.88050285506</v>
      </c>
      <c r="K59">
        <f>(24.96*D59+'Multimodel scenarios I&amp;M costs'!$F$34)*E59</f>
        <v>1246711.4821125194</v>
      </c>
      <c r="L59">
        <f>(70*2.47105*D59+'Multimodel scenarios I&amp;M costs'!$E$45)</f>
        <v>173333.10053559922</v>
      </c>
      <c r="M59">
        <f>(450*2.47105*D59+'Multimodel scenarios I&amp;M costs'!$E$46)</f>
        <v>1099196.5349215476</v>
      </c>
      <c r="N59">
        <f>(1700*2.47105*D59+'Multimodel scenarios I&amp;M costs'!$E$47)</f>
        <v>4140322.4483573008</v>
      </c>
      <c r="O59">
        <f>(70*2.47105*D59+'Multimodel scenarios I&amp;M costs'!$E$53)</f>
        <v>259922.46325178529</v>
      </c>
      <c r="P59">
        <f>(450*2.47105*D59+'Multimodel scenarios I&amp;M costs'!$E$54)</f>
        <v>1655842.4380970295</v>
      </c>
      <c r="Q59">
        <f>(1700*2.47105*D59+'Multimodel scenarios I&amp;M costs'!$E$55)</f>
        <v>6243206.9714646768</v>
      </c>
    </row>
    <row r="60" spans="1:17" x14ac:dyDescent="0.25">
      <c r="A60">
        <v>59</v>
      </c>
      <c r="B60">
        <v>2481.962833</v>
      </c>
      <c r="C60">
        <v>6133.0542580000001</v>
      </c>
      <c r="D60">
        <v>364.46</v>
      </c>
      <c r="E60">
        <v>12</v>
      </c>
      <c r="F60">
        <f>(5*D60+'Multimodel scenarios I&amp;M costs'!$F$25)*E60</f>
        <v>74403.104284441099</v>
      </c>
      <c r="G60">
        <f>(14.97*D60+'Multimodel scenarios I&amp;M costs'!$F$26)*E60</f>
        <v>181011.70057316546</v>
      </c>
      <c r="H60">
        <f>(24.96*D60+'Multimodel scenarios I&amp;M costs'!$F$27)*E60</f>
        <v>286924.80336627614</v>
      </c>
      <c r="I60">
        <f>(5*D60+'Multimodel scenarios I&amp;M costs'!$F$32)*E60</f>
        <v>101252.88006076872</v>
      </c>
      <c r="J60">
        <f>(14.97*D60+'Multimodel scenarios I&amp;M costs'!$F$33)*E60</f>
        <v>261561.02790214831</v>
      </c>
      <c r="K60">
        <f>(24.96*D60+'Multimodel scenarios I&amp;M costs'!$F$34)*E60</f>
        <v>421173.68224791414</v>
      </c>
      <c r="L60">
        <f>(70*2.47105*D60+'Multimodel scenarios I&amp;M costs'!$E$45)</f>
        <v>169712.01392145053</v>
      </c>
      <c r="M60">
        <f>(450*2.47105*D60+'Multimodel scenarios I&amp;M costs'!$E$46)</f>
        <v>1075918.1209734492</v>
      </c>
      <c r="N60">
        <f>(1700*2.47105*D60+'Multimodel scenarios I&amp;M costs'!$E$47)</f>
        <v>4052381.7734422619</v>
      </c>
      <c r="O60">
        <f>(70*2.47105*D60+'Multimodel scenarios I&amp;M costs'!$E$53)</f>
        <v>256301.37663763663</v>
      </c>
      <c r="P60">
        <f>(450*2.47105*D60+'Multimodel scenarios I&amp;M costs'!$E$54)</f>
        <v>1632564.024148931</v>
      </c>
      <c r="Q60">
        <f>(1700*2.47105*D60+'Multimodel scenarios I&amp;M costs'!$E$55)</f>
        <v>6155266.2965496378</v>
      </c>
    </row>
    <row r="61" spans="1:17" x14ac:dyDescent="0.25">
      <c r="A61">
        <v>60</v>
      </c>
      <c r="B61">
        <v>1526.389911</v>
      </c>
      <c r="C61">
        <v>3771.7857899999999</v>
      </c>
      <c r="D61">
        <v>364.46</v>
      </c>
      <c r="E61">
        <v>8</v>
      </c>
      <c r="F61">
        <f>(5*D61+'Multimodel scenarios I&amp;M costs'!$F$25)*E61</f>
        <v>49602.069522960737</v>
      </c>
      <c r="G61">
        <f>(14.97*D61+'Multimodel scenarios I&amp;M costs'!$F$26)*E61</f>
        <v>120674.46704877698</v>
      </c>
      <c r="H61">
        <f>(24.96*D61+'Multimodel scenarios I&amp;M costs'!$F$27)*E61</f>
        <v>191283.2022441841</v>
      </c>
      <c r="I61">
        <f>(5*D61+'Multimodel scenarios I&amp;M costs'!$F$32)*E61</f>
        <v>67501.920040512472</v>
      </c>
      <c r="J61">
        <f>(14.97*D61+'Multimodel scenarios I&amp;M costs'!$F$33)*E61</f>
        <v>174374.01860143221</v>
      </c>
      <c r="K61">
        <f>(24.96*D61+'Multimodel scenarios I&amp;M costs'!$F$34)*E61</f>
        <v>280782.45483194274</v>
      </c>
      <c r="L61">
        <f>(70*2.47105*D61+'Multimodel scenarios I&amp;M costs'!$E$45)</f>
        <v>169712.01392145053</v>
      </c>
      <c r="M61">
        <f>(450*2.47105*D61+'Multimodel scenarios I&amp;M costs'!$E$46)</f>
        <v>1075918.1209734492</v>
      </c>
      <c r="N61">
        <f>(1700*2.47105*D61+'Multimodel scenarios I&amp;M costs'!$E$47)</f>
        <v>4052381.7734422619</v>
      </c>
      <c r="O61">
        <f>(70*2.47105*D61+'Multimodel scenarios I&amp;M costs'!$E$53)</f>
        <v>256301.37663763663</v>
      </c>
      <c r="P61">
        <f>(450*2.47105*D61+'Multimodel scenarios I&amp;M costs'!$E$54)</f>
        <v>1632564.024148931</v>
      </c>
      <c r="Q61">
        <f>(1700*2.47105*D61+'Multimodel scenarios I&amp;M costs'!$E$55)</f>
        <v>6155266.2965496378</v>
      </c>
    </row>
    <row r="62" spans="1:17" x14ac:dyDescent="0.25">
      <c r="A62">
        <v>61</v>
      </c>
      <c r="B62">
        <v>4907.7914989999999</v>
      </c>
      <c r="C62">
        <v>12127.39818</v>
      </c>
      <c r="D62">
        <v>311.89999999999998</v>
      </c>
      <c r="E62">
        <v>24</v>
      </c>
      <c r="F62">
        <f>(5*D62+'Multimodel scenarios I&amp;M costs'!$F$25)*E62</f>
        <v>142499.00856888221</v>
      </c>
      <c r="G62">
        <f>(14.97*D62+'Multimodel scenarios I&amp;M costs'!$F$26)*E62</f>
        <v>343139.6443463309</v>
      </c>
      <c r="H62">
        <f>(24.96*D62+'Multimodel scenarios I&amp;M costs'!$F$27)*E62</f>
        <v>542364.06433255225</v>
      </c>
      <c r="I62">
        <f>(5*D62+'Multimodel scenarios I&amp;M costs'!$F$32)*E62</f>
        <v>196198.56012153742</v>
      </c>
      <c r="J62">
        <f>(14.97*D62+'Multimodel scenarios I&amp;M costs'!$F$33)*E62</f>
        <v>504238.29900429666</v>
      </c>
      <c r="K62">
        <f>(24.96*D62+'Multimodel scenarios I&amp;M costs'!$F$34)*E62</f>
        <v>810861.82209582836</v>
      </c>
      <c r="L62">
        <f>(70*2.47105*D62+'Multimodel scenarios I&amp;M costs'!$E$45)</f>
        <v>160620.52676145054</v>
      </c>
      <c r="M62">
        <f>(450*2.47105*D62+'Multimodel scenarios I&amp;M costs'!$E$46)</f>
        <v>1017472.8463734491</v>
      </c>
      <c r="N62">
        <f>(1700*2.47105*D62+'Multimodel scenarios I&amp;M costs'!$E$47)</f>
        <v>3831588.5138422623</v>
      </c>
      <c r="O62">
        <f>(70*2.47105*D62+'Multimodel scenarios I&amp;M costs'!$E$53)</f>
        <v>247209.88947763661</v>
      </c>
      <c r="P62">
        <f>(450*2.47105*D62+'Multimodel scenarios I&amp;M costs'!$E$54)</f>
        <v>1574118.7495489309</v>
      </c>
      <c r="Q62">
        <f>(1700*2.47105*D62+'Multimodel scenarios I&amp;M costs'!$E$55)</f>
        <v>5934473.0369496383</v>
      </c>
    </row>
    <row r="63" spans="1:17" x14ac:dyDescent="0.25">
      <c r="A63">
        <v>62</v>
      </c>
      <c r="B63">
        <v>2259.7949950000002</v>
      </c>
      <c r="C63">
        <v>5584.0664219999999</v>
      </c>
      <c r="D63">
        <v>436.98237832004003</v>
      </c>
      <c r="E63">
        <v>11</v>
      </c>
      <c r="F63">
        <f>(5*D63+'Multimodel scenarios I&amp;M costs'!$F$25)*E63</f>
        <v>72191.576401673214</v>
      </c>
      <c r="G63">
        <f>(14.97*D63+'Multimodel scenarios I&amp;M costs'!$F$26)*E63</f>
        <v>177869.65223002931</v>
      </c>
      <c r="H63">
        <f>(24.96*D63+'Multimodel scenarios I&amp;M costs'!$F$27)*E63</f>
        <v>282926.14727730333</v>
      </c>
      <c r="I63">
        <f>(5*D63+'Multimodel scenarios I&amp;M costs'!$F$32)*E63</f>
        <v>96803.870863306845</v>
      </c>
      <c r="J63">
        <f>(14.97*D63+'Multimodel scenarios I&amp;M costs'!$F$33)*E63</f>
        <v>251706.53561493027</v>
      </c>
      <c r="K63">
        <f>(24.96*D63+'Multimodel scenarios I&amp;M costs'!$F$34)*E63</f>
        <v>405987.61958547146</v>
      </c>
      <c r="L63">
        <f>(70*2.47105*D63+'Multimodel scenarios I&amp;M costs'!$E$45)</f>
        <v>182256.46352779199</v>
      </c>
      <c r="M63">
        <f>(450*2.47105*D63+'Multimodel scenarios I&amp;M costs'!$E$46)</f>
        <v>1156561.0112999298</v>
      </c>
      <c r="N63">
        <f>(1700*2.47105*D63+'Multimodel scenarios I&amp;M costs'!$E$47)</f>
        <v>4357032.6924534114</v>
      </c>
      <c r="O63">
        <f>(70*2.47105*D63+'Multimodel scenarios I&amp;M costs'!$E$53)</f>
        <v>268845.82624397805</v>
      </c>
      <c r="P63">
        <f>(450*2.47105*D63+'Multimodel scenarios I&amp;M costs'!$E$54)</f>
        <v>1713206.9144754116</v>
      </c>
      <c r="Q63">
        <f>(1700*2.47105*D63+'Multimodel scenarios I&amp;M costs'!$E$55)</f>
        <v>6459917.2155607874</v>
      </c>
    </row>
    <row r="64" spans="1:17" x14ac:dyDescent="0.25">
      <c r="A64">
        <v>63</v>
      </c>
      <c r="B64">
        <v>1284.840727</v>
      </c>
      <c r="C64">
        <v>3174.9056770000002</v>
      </c>
      <c r="D64">
        <v>343.51119795992003</v>
      </c>
      <c r="E64">
        <v>6</v>
      </c>
      <c r="F64">
        <f>(5*D64+'Multimodel scenarios I&amp;M costs'!$F$25)*E64</f>
        <v>36573.088081018155</v>
      </c>
      <c r="G64">
        <f>(14.97*D64+'Multimodel scenarios I&amp;M costs'!$F$26)*E64</f>
        <v>88624.228887342746</v>
      </c>
      <c r="H64">
        <f>(24.96*D64+'Multimodel scenarios I&amp;M costs'!$F$27)*E64</f>
        <v>140325.1090896157</v>
      </c>
      <c r="I64">
        <f>(5*D64+'Multimodel scenarios I&amp;M costs'!$F$32)*E64</f>
        <v>49997.975969181949</v>
      </c>
      <c r="J64">
        <f>(14.97*D64+'Multimodel scenarios I&amp;M costs'!$F$33)*E64</f>
        <v>128898.89255183417</v>
      </c>
      <c r="K64">
        <f>(24.96*D64+'Multimodel scenarios I&amp;M costs'!$F$34)*E64</f>
        <v>207449.54853043467</v>
      </c>
      <c r="L64">
        <f>(70*2.47105*D64+'Multimodel scenarios I&amp;M costs'!$E$45)</f>
        <v>166088.42631177077</v>
      </c>
      <c r="M64">
        <f>(450*2.47105*D64+'Multimodel scenarios I&amp;M costs'!$E$46)</f>
        <v>1052623.6291969363</v>
      </c>
      <c r="N64">
        <f>(1700*2.47105*D64+'Multimodel scenarios I&amp;M costs'!$E$47)</f>
        <v>3964380.3600643249</v>
      </c>
      <c r="O64">
        <f>(70*2.47105*D64+'Multimodel scenarios I&amp;M costs'!$E$53)</f>
        <v>252677.78902795684</v>
      </c>
      <c r="P64">
        <f>(450*2.47105*D64+'Multimodel scenarios I&amp;M costs'!$E$54)</f>
        <v>1609269.5323724181</v>
      </c>
      <c r="Q64">
        <f>(1700*2.47105*D64+'Multimodel scenarios I&amp;M costs'!$E$55)</f>
        <v>6067264.8831717009</v>
      </c>
    </row>
    <row r="65" spans="1:17" x14ac:dyDescent="0.25">
      <c r="A65">
        <v>64</v>
      </c>
      <c r="B65">
        <v>6812.1897410000001</v>
      </c>
      <c r="C65">
        <v>16833.261460000002</v>
      </c>
      <c r="D65">
        <v>334.30216095344002</v>
      </c>
      <c r="E65">
        <v>34</v>
      </c>
      <c r="F65">
        <f>(5*D65+'Multimodel scenarios I&amp;M costs'!$F$25)*E65</f>
        <v>205681.96283466794</v>
      </c>
      <c r="G65">
        <f>(14.97*D65+'Multimodel scenarios I&amp;M costs'!$F$26)*E65</f>
        <v>497516.74803938402</v>
      </c>
      <c r="H65">
        <f>(24.96*D65+'Multimodel scenarios I&amp;M costs'!$F$27)*E65</f>
        <v>787360.46100930974</v>
      </c>
      <c r="I65">
        <f>(5*D65+'Multimodel scenarios I&amp;M costs'!$F$32)*E65</f>
        <v>281756.32753426279</v>
      </c>
      <c r="J65">
        <f>(14.97*D65+'Multimodel scenarios I&amp;M costs'!$F$33)*E65</f>
        <v>725739.84213816887</v>
      </c>
      <c r="K65">
        <f>(24.96*D65+'Multimodel scenarios I&amp;M costs'!$F$34)*E65</f>
        <v>1167732.2845072839</v>
      </c>
      <c r="L65">
        <f>(70*2.47105*D65+'Multimodel scenarios I&amp;M costs'!$E$45)</f>
        <v>164495.50694913039</v>
      </c>
      <c r="M65">
        <f>(450*2.47105*D65+'Multimodel scenarios I&amp;M costs'!$E$46)</f>
        <v>1042383.4332942483</v>
      </c>
      <c r="N65">
        <f>(1700*2.47105*D65+'Multimodel scenarios I&amp;M costs'!$E$47)</f>
        <v>3925695.1755430587</v>
      </c>
      <c r="O65">
        <f>(70*2.47105*D65+'Multimodel scenarios I&amp;M costs'!$E$53)</f>
        <v>251084.86966531648</v>
      </c>
      <c r="P65">
        <f>(450*2.47105*D65+'Multimodel scenarios I&amp;M costs'!$E$54)</f>
        <v>1599029.3364697301</v>
      </c>
      <c r="Q65">
        <f>(1700*2.47105*D65+'Multimodel scenarios I&amp;M costs'!$E$55)</f>
        <v>6028579.6986504346</v>
      </c>
    </row>
    <row r="66" spans="1:17" x14ac:dyDescent="0.25">
      <c r="A66">
        <v>65</v>
      </c>
      <c r="B66">
        <v>2350.8156180000001</v>
      </c>
      <c r="C66">
        <v>5808.9829330000002</v>
      </c>
      <c r="D66">
        <v>315.07667603215998</v>
      </c>
      <c r="E66">
        <v>12</v>
      </c>
      <c r="F66">
        <f>(5*D66+'Multimodel scenarios I&amp;M costs'!$F$25)*E66</f>
        <v>71440.104846370697</v>
      </c>
      <c r="G66">
        <f>(14.97*D66+'Multimodel scenarios I&amp;M costs'!$F$26)*E66</f>
        <v>172140.48025558266</v>
      </c>
      <c r="H66">
        <f>(24.96*D66+'Multimodel scenarios I&amp;M costs'!$F$27)*E66</f>
        <v>272133.51017142867</v>
      </c>
      <c r="I66">
        <f>(5*D66+'Multimodel scenarios I&amp;M costs'!$F$32)*E66</f>
        <v>98289.8806226983</v>
      </c>
      <c r="J66">
        <f>(14.97*D66+'Multimodel scenarios I&amp;M costs'!$F$33)*E66</f>
        <v>252689.80758456551</v>
      </c>
      <c r="K66">
        <f>(24.96*D66+'Multimodel scenarios I&amp;M costs'!$F$34)*E66</f>
        <v>406382.38905306673</v>
      </c>
      <c r="L66">
        <f>(70*2.47105*D66+'Multimodel scenarios I&amp;M costs'!$E$45)</f>
        <v>161170.00753309939</v>
      </c>
      <c r="M66">
        <f>(450*2.47105*D66+'Multimodel scenarios I&amp;M costs'!$E$46)</f>
        <v>1021005.2227626201</v>
      </c>
      <c r="N66">
        <f>(1700*2.47105*D66+'Multimodel scenarios I&amp;M costs'!$E$47)</f>
        <v>3844933.0468680193</v>
      </c>
      <c r="O66">
        <f>(70*2.47105*D66+'Multimodel scenarios I&amp;M costs'!$E$53)</f>
        <v>247759.37024928545</v>
      </c>
      <c r="P66">
        <f>(450*2.47105*D66+'Multimodel scenarios I&amp;M costs'!$E$54)</f>
        <v>1577651.1259381019</v>
      </c>
      <c r="Q66">
        <f>(1700*2.47105*D66+'Multimodel scenarios I&amp;M costs'!$E$55)</f>
        <v>5947817.5699753948</v>
      </c>
    </row>
    <row r="67" spans="1:17" x14ac:dyDescent="0.25">
      <c r="A67">
        <v>66</v>
      </c>
      <c r="B67">
        <v>3106.2580250000001</v>
      </c>
      <c r="C67">
        <v>7675.7188939999996</v>
      </c>
      <c r="D67">
        <v>329.64886136816</v>
      </c>
      <c r="E67">
        <v>15</v>
      </c>
      <c r="F67">
        <f>(5*D67+'Multimodel scenarios I&amp;M costs'!$F$25)*E67</f>
        <v>90393.044958163387</v>
      </c>
      <c r="G67">
        <f>(14.97*D67+'Multimodel scenarios I&amp;M costs'!$F$26)*E67</f>
        <v>218447.78453667715</v>
      </c>
      <c r="H67">
        <f>(24.96*D67+'Multimodel scenarios I&amp;M costs'!$F$27)*E67</f>
        <v>345622.71390408429</v>
      </c>
      <c r="I67">
        <f>(5*D67+'Multimodel scenarios I&amp;M costs'!$F$32)*E67</f>
        <v>123955.26467857289</v>
      </c>
      <c r="J67">
        <f>(14.97*D67+'Multimodel scenarios I&amp;M costs'!$F$33)*E67</f>
        <v>319134.44369790575</v>
      </c>
      <c r="K67">
        <f>(24.96*D67+'Multimodel scenarios I&amp;M costs'!$F$34)*E67</f>
        <v>513433.81250613171</v>
      </c>
      <c r="L67">
        <f>(70*2.47105*D67+'Multimodel scenarios I&amp;M costs'!$E$45)</f>
        <v>163690.60943331599</v>
      </c>
      <c r="M67">
        <f>(450*2.47105*D67+'Multimodel scenarios I&amp;M costs'!$E$46)</f>
        <v>1037209.0921211555</v>
      </c>
      <c r="N67">
        <f>(1700*2.47105*D67+'Multimodel scenarios I&amp;M costs'!$E$47)</f>
        <v>3906147.6644447083</v>
      </c>
      <c r="O67">
        <f>(70*2.47105*D67+'Multimodel scenarios I&amp;M costs'!$E$53)</f>
        <v>250279.97214950205</v>
      </c>
      <c r="P67">
        <f>(450*2.47105*D67+'Multimodel scenarios I&amp;M costs'!$E$54)</f>
        <v>1593854.9952966373</v>
      </c>
      <c r="Q67">
        <f>(1700*2.47105*D67+'Multimodel scenarios I&amp;M costs'!$E$55)</f>
        <v>6009032.1875520842</v>
      </c>
    </row>
    <row r="68" spans="1:17" x14ac:dyDescent="0.25">
      <c r="A68">
        <v>67</v>
      </c>
      <c r="B68">
        <v>1209.0380600000001</v>
      </c>
      <c r="C68">
        <v>2987.5934969999998</v>
      </c>
      <c r="D68">
        <v>348.76843317248</v>
      </c>
      <c r="E68">
        <v>6</v>
      </c>
      <c r="F68">
        <f>(5*D68+'Multimodel scenarios I&amp;M costs'!$F$25)*E68</f>
        <v>36730.805137394957</v>
      </c>
      <c r="G68">
        <f>(14.97*D68+'Multimodel scenarios I&amp;M costs'!$F$26)*E68</f>
        <v>89096.43375413488</v>
      </c>
      <c r="H68">
        <f>(24.96*D68+'Multimodel scenarios I&amp;M costs'!$F$27)*E68</f>
        <v>141112.4326350487</v>
      </c>
      <c r="I68">
        <f>(5*D68+'Multimodel scenarios I&amp;M costs'!$F$32)*E68</f>
        <v>50155.69302555875</v>
      </c>
      <c r="J68">
        <f>(14.97*D68+'Multimodel scenarios I&amp;M costs'!$F$33)*E68</f>
        <v>129371.09741862632</v>
      </c>
      <c r="K68">
        <f>(24.96*D68+'Multimodel scenarios I&amp;M costs'!$F$34)*E68</f>
        <v>208236.87207586766</v>
      </c>
      <c r="L68">
        <f>(70*2.47105*D68+'Multimodel scenarios I&amp;M costs'!$E$45)</f>
        <v>166997.78868681053</v>
      </c>
      <c r="M68">
        <f>(450*2.47105*D68+'Multimodel scenarios I&amp;M costs'!$E$46)</f>
        <v>1058469.5301793348</v>
      </c>
      <c r="N68">
        <f>(1700*2.47105*D68+'Multimodel scenarios I&amp;M costs'!$E$47)</f>
        <v>3986464.8748867186</v>
      </c>
      <c r="O68">
        <f>(70*2.47105*D68+'Multimodel scenarios I&amp;M costs'!$E$53)</f>
        <v>253587.15140299659</v>
      </c>
      <c r="P68">
        <f>(450*2.47105*D68+'Multimodel scenarios I&amp;M costs'!$E$54)</f>
        <v>1615115.4333548164</v>
      </c>
      <c r="Q68">
        <f>(1700*2.47105*D68+'Multimodel scenarios I&amp;M costs'!$E$55)</f>
        <v>6089349.3979940945</v>
      </c>
    </row>
    <row r="69" spans="1:17" x14ac:dyDescent="0.25">
      <c r="A69">
        <v>68</v>
      </c>
      <c r="B69">
        <v>5866.9535390000001</v>
      </c>
      <c r="C69">
        <v>14497.535540000001</v>
      </c>
      <c r="D69">
        <v>312.12790717664001</v>
      </c>
      <c r="E69">
        <v>29</v>
      </c>
      <c r="F69">
        <f>(5*D69+'Multimodel scenarios I&amp;M costs'!$F$25)*E69</f>
        <v>172219.34856134548</v>
      </c>
      <c r="G69">
        <f>(14.97*D69+'Multimodel scenarios I&amp;M costs'!$F$26)*E69</f>
        <v>414726.01159441122</v>
      </c>
      <c r="H69">
        <f>(24.96*D69+'Multimodel scenarios I&amp;M costs'!$F$27)*E69</f>
        <v>655521.54606590641</v>
      </c>
      <c r="I69">
        <f>(5*D69+'Multimodel scenarios I&amp;M costs'!$F$32)*E69</f>
        <v>237106.30668747053</v>
      </c>
      <c r="J69">
        <f>(14.97*D69+'Multimodel scenarios I&amp;M costs'!$F$33)*E69</f>
        <v>609386.88597278646</v>
      </c>
      <c r="K69">
        <f>(24.96*D69+'Multimodel scenarios I&amp;M costs'!$F$34)*E69</f>
        <v>979956.33669653162</v>
      </c>
      <c r="L69">
        <f>(70*2.47105*D69+'Multimodel scenarios I&amp;M costs'!$E$45)</f>
        <v>160659.94866346908</v>
      </c>
      <c r="M69">
        <f>(450*2.47105*D69+'Multimodel scenarios I&amp;M costs'!$E$46)</f>
        <v>1017726.2728864255</v>
      </c>
      <c r="N69">
        <f>(1700*2.47105*D69+'Multimodel scenarios I&amp;M costs'!$E$47)</f>
        <v>3832545.9028912839</v>
      </c>
      <c r="O69">
        <f>(70*2.47105*D69+'Multimodel scenarios I&amp;M costs'!$E$53)</f>
        <v>247249.31137965518</v>
      </c>
      <c r="P69">
        <f>(450*2.47105*D69+'Multimodel scenarios I&amp;M costs'!$E$54)</f>
        <v>1574372.1760619073</v>
      </c>
      <c r="Q69">
        <f>(1700*2.47105*D69+'Multimodel scenarios I&amp;M costs'!$E$55)</f>
        <v>5935430.4259986598</v>
      </c>
    </row>
    <row r="70" spans="1:17" x14ac:dyDescent="0.25">
      <c r="A70">
        <v>69</v>
      </c>
      <c r="B70">
        <v>822.55935250000005</v>
      </c>
      <c r="C70">
        <v>2032.585288</v>
      </c>
      <c r="D70">
        <v>438.57209798721999</v>
      </c>
      <c r="E70">
        <v>4</v>
      </c>
      <c r="F70">
        <f>(5*D70+'Multimodel scenarios I&amp;M costs'!$F$25)*E70</f>
        <v>26283.276721224767</v>
      </c>
      <c r="G70">
        <f>(14.97*D70+'Multimodel scenarios I&amp;M costs'!$F$26)*E70</f>
        <v>64775.065951863216</v>
      </c>
      <c r="H70">
        <f>(24.96*D70+'Multimodel scenarios I&amp;M costs'!$F$27)*E70</f>
        <v>103040.95298513609</v>
      </c>
      <c r="I70">
        <f>(5*D70+'Multimodel scenarios I&amp;M costs'!$F$32)*E70</f>
        <v>35233.201980000638</v>
      </c>
      <c r="J70">
        <f>(14.97*D70+'Multimodel scenarios I&amp;M costs'!$F$33)*E70</f>
        <v>91624.841728190833</v>
      </c>
      <c r="K70">
        <f>(24.96*D70+'Multimodel scenarios I&amp;M costs'!$F$34)*E70</f>
        <v>147790.57927901542</v>
      </c>
      <c r="L70">
        <f>(70*2.47105*D70+'Multimodel scenarios I&amp;M costs'!$E$45)</f>
        <v>182531.44290264294</v>
      </c>
      <c r="M70">
        <f>(450*2.47105*D70+'Multimodel scenarios I&amp;M costs'!$E$46)</f>
        <v>1158328.7358525433</v>
      </c>
      <c r="N70">
        <f>(1700*2.47105*D70+'Multimodel scenarios I&amp;M costs'!$E$47)</f>
        <v>4363710.7629855061</v>
      </c>
      <c r="O70">
        <f>(70*2.47105*D70+'Multimodel scenarios I&amp;M costs'!$E$53)</f>
        <v>269120.80561882904</v>
      </c>
      <c r="P70">
        <f>(450*2.47105*D70+'Multimodel scenarios I&amp;M costs'!$E$54)</f>
        <v>1714974.6390280249</v>
      </c>
      <c r="Q70">
        <f>(1700*2.47105*D70+'Multimodel scenarios I&amp;M costs'!$E$55)</f>
        <v>6466595.286092882</v>
      </c>
    </row>
    <row r="71" spans="1:17" x14ac:dyDescent="0.25">
      <c r="A71">
        <v>70</v>
      </c>
      <c r="B71">
        <v>8291.6336940000001</v>
      </c>
      <c r="C71">
        <v>20489.041440000001</v>
      </c>
      <c r="D71">
        <v>375.59095337806002</v>
      </c>
      <c r="E71">
        <v>41</v>
      </c>
      <c r="F71">
        <f>(5*D71+'Multimodel scenarios I&amp;M costs'!$F$25)*E71</f>
        <v>256492.4517476761</v>
      </c>
      <c r="G71">
        <f>(14.97*D71+'Multimodel scenarios I&amp;M costs'!$F$26)*E71</f>
        <v>625288.48887983384</v>
      </c>
      <c r="H71">
        <f>(24.96*D71+'Multimodel scenarios I&amp;M costs'!$F$27)*E71</f>
        <v>991717.38395041495</v>
      </c>
      <c r="I71">
        <f>(5*D71+'Multimodel scenarios I&amp;M costs'!$F$32)*E71</f>
        <v>348229.18565012875</v>
      </c>
      <c r="J71">
        <f>(14.97*D71+'Multimodel scenarios I&amp;M costs'!$F$33)*E71</f>
        <v>900498.69058719196</v>
      </c>
      <c r="K71">
        <f>(24.96*D71+'Multimodel scenarios I&amp;M costs'!$F$34)*E71</f>
        <v>1450401.0534626781</v>
      </c>
      <c r="L71">
        <f>(70*2.47105*D71+'Multimodel scenarios I&amp;M costs'!$E$45)</f>
        <v>171637.37388559041</v>
      </c>
      <c r="M71">
        <f>(450*2.47105*D71+'Multimodel scenarios I&amp;M costs'!$E$46)</f>
        <v>1088295.435028634</v>
      </c>
      <c r="N71">
        <f>(1700*2.47105*D71+'Multimodel scenarios I&amp;M costs'!$E$47)</f>
        <v>4099140.5154285161</v>
      </c>
      <c r="O71">
        <f>(70*2.47105*D71+'Multimodel scenarios I&amp;M costs'!$E$53)</f>
        <v>258226.7366017765</v>
      </c>
      <c r="P71">
        <f>(450*2.47105*D71+'Multimodel scenarios I&amp;M costs'!$E$54)</f>
        <v>1644941.3382041159</v>
      </c>
      <c r="Q71">
        <f>(1700*2.47105*D71+'Multimodel scenarios I&amp;M costs'!$E$55)</f>
        <v>6202025.038535892</v>
      </c>
    </row>
    <row r="72" spans="1:17" x14ac:dyDescent="0.25">
      <c r="A72">
        <v>71</v>
      </c>
      <c r="B72">
        <v>1338.534265</v>
      </c>
      <c r="C72">
        <v>3307.5850949999999</v>
      </c>
      <c r="D72">
        <v>384.56281868948003</v>
      </c>
      <c r="E72">
        <v>7</v>
      </c>
      <c r="F72">
        <f>(5*D72+'Multimodel scenarios I&amp;M costs'!$F$25)*E72</f>
        <v>44105.409486722448</v>
      </c>
      <c r="G72">
        <f>(14.97*D72+'Multimodel scenarios I&amp;M costs'!$F$26)*E72</f>
        <v>107696.73303815046</v>
      </c>
      <c r="H72">
        <f>(24.96*D72+'Multimodel scenarios I&amp;M costs'!$F$27)*E72</f>
        <v>170885.16644508703</v>
      </c>
      <c r="I72">
        <f>(5*D72+'Multimodel scenarios I&amp;M costs'!$F$32)*E72</f>
        <v>59767.778689580213</v>
      </c>
      <c r="J72">
        <f>(14.97*D72+'Multimodel scenarios I&amp;M costs'!$F$33)*E72</f>
        <v>154683.84064672381</v>
      </c>
      <c r="K72">
        <f>(24.96*D72+'Multimodel scenarios I&amp;M costs'!$F$34)*E72</f>
        <v>249197.01245937587</v>
      </c>
      <c r="L72">
        <f>(70*2.47105*D72+'Multimodel scenarios I&amp;M costs'!$E$45)</f>
        <v>173189.26883003532</v>
      </c>
      <c r="M72">
        <f>(450*2.47105*D72+'Multimodel scenarios I&amp;M costs'!$E$46)</f>
        <v>1098271.9025286371</v>
      </c>
      <c r="N72">
        <f>(1700*2.47105*D72+'Multimodel scenarios I&amp;M costs'!$E$47)</f>
        <v>4136829.3926507495</v>
      </c>
      <c r="O72">
        <f>(70*2.47105*D72+'Multimodel scenarios I&amp;M costs'!$E$53)</f>
        <v>259778.63154622138</v>
      </c>
      <c r="P72">
        <f>(450*2.47105*D72+'Multimodel scenarios I&amp;M costs'!$E$54)</f>
        <v>1654917.8057041187</v>
      </c>
      <c r="Q72">
        <f>(1700*2.47105*D72+'Multimodel scenarios I&amp;M costs'!$E$55)</f>
        <v>6239713.9157581255</v>
      </c>
    </row>
    <row r="73" spans="1:17" x14ac:dyDescent="0.25">
      <c r="A73">
        <v>72</v>
      </c>
      <c r="B73">
        <v>262.00729740000003</v>
      </c>
      <c r="C73">
        <v>647.43313220000005</v>
      </c>
      <c r="D73">
        <v>413.12812950919999</v>
      </c>
      <c r="E73">
        <v>1</v>
      </c>
      <c r="F73">
        <f>(5*D73+'Multimodel scenarios I&amp;M costs'!$F$25)*E73</f>
        <v>6443.5993379160918</v>
      </c>
      <c r="G73">
        <f>(14.97*D73+'Multimodel scenarios I&amp;M costs'!$F$26)*E73</f>
        <v>15812.870279849845</v>
      </c>
      <c r="H73">
        <f>(24.96*D73+'Multimodel scenarios I&amp;M costs'!$F$27)*E73</f>
        <v>25125.156793072645</v>
      </c>
      <c r="I73">
        <f>(5*D73+'Multimodel scenarios I&amp;M costs'!$F$32)*E73</f>
        <v>8681.0806526100587</v>
      </c>
      <c r="J73">
        <f>(14.97*D73+'Multimodel scenarios I&amp;M costs'!$F$33)*E73</f>
        <v>22525.314223931749</v>
      </c>
      <c r="K73">
        <f>(24.96*D73+'Multimodel scenarios I&amp;M costs'!$F$34)*E73</f>
        <v>36312.563366542476</v>
      </c>
      <c r="L73">
        <f>(70*2.47105*D73+'Multimodel scenarios I&amp;M costs'!$E$45)</f>
        <v>178130.31062111014</v>
      </c>
      <c r="M73">
        <f>(450*2.47105*D73+'Multimodel scenarios I&amp;M costs'!$E$46)</f>
        <v>1130035.7426141179</v>
      </c>
      <c r="N73">
        <f>(1700*2.47105*D73+'Multimodel scenarios I&amp;M costs'!$E$47)</f>
        <v>4256826.121862567</v>
      </c>
      <c r="O73">
        <f>(70*2.47105*D73+'Multimodel scenarios I&amp;M costs'!$E$53)</f>
        <v>264719.67333729623</v>
      </c>
      <c r="P73">
        <f>(450*2.47105*D73+'Multimodel scenarios I&amp;M costs'!$E$54)</f>
        <v>1686681.6457896</v>
      </c>
      <c r="Q73">
        <f>(1700*2.47105*D73+'Multimodel scenarios I&amp;M costs'!$E$55)</f>
        <v>6359710.644969943</v>
      </c>
    </row>
    <row r="74" spans="1:17" x14ac:dyDescent="0.25">
      <c r="A74">
        <v>73</v>
      </c>
      <c r="B74">
        <v>1339.7545720000001</v>
      </c>
      <c r="C74">
        <v>3310.600535</v>
      </c>
      <c r="D74">
        <v>328.518921476</v>
      </c>
      <c r="E74">
        <v>7</v>
      </c>
      <c r="F74">
        <f>(5*D74+'Multimodel scenarios I&amp;M costs'!$F$25)*E74</f>
        <v>42143.873084250641</v>
      </c>
      <c r="G74">
        <f>(14.97*D74+'Multimodel scenarios I&amp;M costs'!$F$26)*E74</f>
        <v>101823.89304914989</v>
      </c>
      <c r="H74">
        <f>(24.96*D74+'Multimodel scenarios I&amp;M costs'!$F$27)*E74</f>
        <v>161093.17672394778</v>
      </c>
      <c r="I74">
        <f>(5*D74+'Multimodel scenarios I&amp;M costs'!$F$32)*E74</f>
        <v>57806.242287108413</v>
      </c>
      <c r="J74">
        <f>(14.97*D74+'Multimodel scenarios I&amp;M costs'!$F$33)*E74</f>
        <v>148811.00065772323</v>
      </c>
      <c r="K74">
        <f>(24.96*D74+'Multimodel scenarios I&amp;M costs'!$F$34)*E74</f>
        <v>239405.02273823664</v>
      </c>
      <c r="L74">
        <f>(70*2.47105*D74+'Multimodel scenarios I&amp;M costs'!$E$45)</f>
        <v>163495.15977537943</v>
      </c>
      <c r="M74">
        <f>(450*2.47105*D74+'Multimodel scenarios I&amp;M costs'!$E$46)</f>
        <v>1035952.6300344206</v>
      </c>
      <c r="N74">
        <f>(1700*2.47105*D74+'Multimodel scenarios I&amp;M costs'!$E$47)</f>
        <v>3901401.0298948209</v>
      </c>
      <c r="O74">
        <f>(70*2.47105*D74+'Multimodel scenarios I&amp;M costs'!$E$53)</f>
        <v>250084.5224915655</v>
      </c>
      <c r="P74">
        <f>(450*2.47105*D74+'Multimodel scenarios I&amp;M costs'!$E$54)</f>
        <v>1592598.5332099025</v>
      </c>
      <c r="Q74">
        <f>(1700*2.47105*D74+'Multimodel scenarios I&amp;M costs'!$E$55)</f>
        <v>6004285.5530021973</v>
      </c>
    </row>
    <row r="75" spans="1:17" x14ac:dyDescent="0.25">
      <c r="A75">
        <v>74</v>
      </c>
      <c r="B75">
        <v>414.97648479999998</v>
      </c>
      <c r="C75">
        <v>1025.427643</v>
      </c>
      <c r="D75">
        <v>394.17666915332001</v>
      </c>
      <c r="E75">
        <v>2</v>
      </c>
      <c r="F75">
        <f>(5*D75+'Multimodel scenarios I&amp;M costs'!$F$25)*E75</f>
        <v>12697.684072273383</v>
      </c>
      <c r="G75">
        <f>(14.97*D75+'Multimodel scenarios I&amp;M costs'!$F$26)*E75</f>
        <v>31058.333836644644</v>
      </c>
      <c r="H75">
        <f>(24.96*D75+'Multimodel scenarios I&amp;M costs'!$F$27)*E75</f>
        <v>49304.25668517976</v>
      </c>
      <c r="I75">
        <f>(5*D75+'Multimodel scenarios I&amp;M costs'!$F$32)*E75</f>
        <v>17172.646701661317</v>
      </c>
      <c r="J75">
        <f>(14.97*D75+'Multimodel scenarios I&amp;M costs'!$F$33)*E75</f>
        <v>44483.221724808449</v>
      </c>
      <c r="K75">
        <f>(24.96*D75+'Multimodel scenarios I&amp;M costs'!$F$34)*E75</f>
        <v>71679.069832119421</v>
      </c>
      <c r="L75">
        <f>(70*2.47105*D75+'Multimodel scenarios I&amp;M costs'!$E$45)</f>
        <v>174852.21019324235</v>
      </c>
      <c r="M75">
        <f>(450*2.47105*D75+'Multimodel scenarios I&amp;M costs'!$E$46)</f>
        <v>1108962.2398635393</v>
      </c>
      <c r="N75">
        <f>(1700*2.47105*D75+'Multimodel scenarios I&amp;M costs'!$E$47)</f>
        <v>4177215.1114714919</v>
      </c>
      <c r="O75">
        <f>(70*2.47105*D75+'Multimodel scenarios I&amp;M costs'!$E$53)</f>
        <v>261441.57290942842</v>
      </c>
      <c r="P75">
        <f>(450*2.47105*D75+'Multimodel scenarios I&amp;M costs'!$E$54)</f>
        <v>1665608.1430390212</v>
      </c>
      <c r="Q75">
        <f>(1700*2.47105*D75+'Multimodel scenarios I&amp;M costs'!$E$55)</f>
        <v>6280099.6345788678</v>
      </c>
    </row>
    <row r="76" spans="1:17" x14ac:dyDescent="0.25">
      <c r="A76">
        <v>75</v>
      </c>
      <c r="B76">
        <v>2939.7936669999999</v>
      </c>
      <c r="C76">
        <v>7264.3771409999999</v>
      </c>
      <c r="D76">
        <v>437.51783827076002</v>
      </c>
      <c r="E76">
        <v>15</v>
      </c>
      <c r="F76">
        <f>(5*D76+'Multimodel scenarios I&amp;M costs'!$F$25)*E76</f>
        <v>98483.218225858393</v>
      </c>
      <c r="G76">
        <f>(14.97*D76+'Multimodel scenarios I&amp;M costs'!$F$26)*E76</f>
        <v>242669.76330015599</v>
      </c>
      <c r="H76">
        <f>(24.96*D76+'Multimodel scenarios I&amp;M costs'!$F$27)*E76</f>
        <v>386008.85885641776</v>
      </c>
      <c r="I76">
        <f>(5*D76+'Multimodel scenarios I&amp;M costs'!$F$32)*E76</f>
        <v>132045.43794626789</v>
      </c>
      <c r="J76">
        <f>(14.97*D76+'Multimodel scenarios I&amp;M costs'!$F$33)*E76</f>
        <v>343356.42246138456</v>
      </c>
      <c r="K76">
        <f>(24.96*D76+'Multimodel scenarios I&amp;M costs'!$F$34)*E76</f>
        <v>553819.95745846524</v>
      </c>
      <c r="L76">
        <f>(70*2.47105*D76+'Multimodel scenarios I&amp;M costs'!$E$45)</f>
        <v>182349.08390957786</v>
      </c>
      <c r="M76">
        <f>(450*2.47105*D76+'Multimodel scenarios I&amp;M costs'!$E$46)</f>
        <v>1157156.428039982</v>
      </c>
      <c r="N76">
        <f>(1700*2.47105*D76+'Multimodel scenarios I&amp;M costs'!$E$47)</f>
        <v>4359282.0445824973</v>
      </c>
      <c r="O76">
        <f>(70*2.47105*D76+'Multimodel scenarios I&amp;M costs'!$E$53)</f>
        <v>268938.4466257639</v>
      </c>
      <c r="P76">
        <f>(450*2.47105*D76+'Multimodel scenarios I&amp;M costs'!$E$54)</f>
        <v>1713802.3312154636</v>
      </c>
      <c r="Q76">
        <f>(1700*2.47105*D76+'Multimodel scenarios I&amp;M costs'!$E$55)</f>
        <v>6462166.5676898733</v>
      </c>
    </row>
    <row r="77" spans="1:17" x14ac:dyDescent="0.25">
      <c r="A77">
        <v>76</v>
      </c>
      <c r="B77">
        <v>4779.4438069999997</v>
      </c>
      <c r="C77">
        <v>11810.244619999999</v>
      </c>
      <c r="D77">
        <v>368.47177540256001</v>
      </c>
      <c r="E77">
        <v>24</v>
      </c>
      <c r="F77">
        <f>(5*D77+'Multimodel scenarios I&amp;M costs'!$F$25)*E77</f>
        <v>149287.6216171894</v>
      </c>
      <c r="G77">
        <f>(14.97*D77+'Multimodel scenarios I&amp;M costs'!$F$26)*E77</f>
        <v>363464.7518129627</v>
      </c>
      <c r="H77">
        <f>(24.96*D77+'Multimodel scenarios I&amp;M costs'!$F$27)*E77</f>
        <v>576252.82066970179</v>
      </c>
      <c r="I77">
        <f>(5*D77+'Multimodel scenarios I&amp;M costs'!$F$32)*E77</f>
        <v>202987.17316984461</v>
      </c>
      <c r="J77">
        <f>(14.97*D77+'Multimodel scenarios I&amp;M costs'!$F$33)*E77</f>
        <v>524563.40647092834</v>
      </c>
      <c r="K77">
        <f>(24.96*D77+'Multimodel scenarios I&amp;M costs'!$F$34)*E77</f>
        <v>844750.5784329779</v>
      </c>
      <c r="L77">
        <f>(70*2.47105*D77+'Multimodel scenarios I&amp;M costs'!$E$45)</f>
        <v>170405.94475404525</v>
      </c>
      <c r="M77">
        <f>(450*2.47105*D77+'Multimodel scenarios I&amp;M costs'!$E$46)</f>
        <v>1080379.1048972723</v>
      </c>
      <c r="N77">
        <f>(1700*2.47105*D77+'Multimodel scenarios I&amp;M costs'!$E$47)</f>
        <v>4069234.3793767053</v>
      </c>
      <c r="O77">
        <f>(70*2.47105*D77+'Multimodel scenarios I&amp;M costs'!$E$53)</f>
        <v>256995.30747023135</v>
      </c>
      <c r="P77">
        <f>(450*2.47105*D77+'Multimodel scenarios I&amp;M costs'!$E$54)</f>
        <v>1637025.0080727541</v>
      </c>
      <c r="Q77">
        <f>(1700*2.47105*D77+'Multimodel scenarios I&amp;M costs'!$E$55)</f>
        <v>6172118.9024840817</v>
      </c>
    </row>
    <row r="78" spans="1:17" x14ac:dyDescent="0.25">
      <c r="A78">
        <v>77</v>
      </c>
      <c r="B78">
        <v>2053.4193930000001</v>
      </c>
      <c r="C78">
        <v>5074.1019900000001</v>
      </c>
      <c r="D78">
        <v>361.98665037536</v>
      </c>
      <c r="E78">
        <v>10</v>
      </c>
      <c r="F78">
        <f>(5*D78+'Multimodel scenarios I&amp;M costs'!$F$25)*E78</f>
        <v>61878.919422468913</v>
      </c>
      <c r="G78">
        <f>(14.97*D78+'Multimodel scenarios I&amp;M costs'!$F$26)*E78</f>
        <v>150472.82337216259</v>
      </c>
      <c r="H78">
        <f>(24.96*D78+'Multimodel scenarios I&amp;M costs'!$F$27)*E78</f>
        <v>238486.65473891998</v>
      </c>
      <c r="I78">
        <f>(5*D78+'Multimodel scenarios I&amp;M costs'!$F$32)*E78</f>
        <v>84253.732569408588</v>
      </c>
      <c r="J78">
        <f>(14.97*D78+'Multimodel scenarios I&amp;M costs'!$F$33)*E78</f>
        <v>217597.26281298164</v>
      </c>
      <c r="K78">
        <f>(24.96*D78+'Multimodel scenarios I&amp;M costs'!$F$34)*E78</f>
        <v>350360.72047361825</v>
      </c>
      <c r="L78">
        <f>(70*2.47105*D78+'Multimodel scenarios I&amp;M costs'!$E$45)</f>
        <v>169284.18998015288</v>
      </c>
      <c r="M78">
        <f>(450*2.47105*D78+'Multimodel scenarios I&amp;M costs'!$E$46)</f>
        <v>1073167.8242079641</v>
      </c>
      <c r="N78">
        <f>(1700*2.47105*D78+'Multimodel scenarios I&amp;M costs'!$E$47)</f>
        <v>4041991.7634393191</v>
      </c>
      <c r="O78">
        <f>(70*2.47105*D78+'Multimodel scenarios I&amp;M costs'!$E$53)</f>
        <v>255873.55269633897</v>
      </c>
      <c r="P78">
        <f>(450*2.47105*D78+'Multimodel scenarios I&amp;M costs'!$E$54)</f>
        <v>1629813.7273834459</v>
      </c>
      <c r="Q78">
        <f>(1700*2.47105*D78+'Multimodel scenarios I&amp;M costs'!$E$55)</f>
        <v>6144876.286546695</v>
      </c>
    </row>
    <row r="79" spans="1:17" x14ac:dyDescent="0.25">
      <c r="A79">
        <v>78</v>
      </c>
      <c r="B79">
        <v>1145.151345</v>
      </c>
      <c r="C79">
        <v>2829.726232</v>
      </c>
      <c r="D79">
        <v>439.94</v>
      </c>
      <c r="E79">
        <v>6</v>
      </c>
      <c r="F79">
        <f>(5*D79+'Multimodel scenarios I&amp;M costs'!$F$25)*E79</f>
        <v>39465.952142220551</v>
      </c>
      <c r="G79">
        <f>(14.97*D79+'Multimodel scenarios I&amp;M costs'!$F$26)*E79</f>
        <v>97285.463886582729</v>
      </c>
      <c r="H79">
        <f>(24.96*D79+'Multimodel scenarios I&amp;M costs'!$F$27)*E79</f>
        <v>154766.28648313804</v>
      </c>
      <c r="I79">
        <f>(5*D79+'Multimodel scenarios I&amp;M costs'!$F$32)*E79</f>
        <v>52890.840030384352</v>
      </c>
      <c r="J79">
        <f>(14.97*D79+'Multimodel scenarios I&amp;M costs'!$F$33)*E79</f>
        <v>137560.12755107417</v>
      </c>
      <c r="K79">
        <f>(24.96*D79+'Multimodel scenarios I&amp;M costs'!$F$34)*E79</f>
        <v>221890.72592395707</v>
      </c>
      <c r="L79">
        <f>(70*2.47105*D79+'Multimodel scenarios I&amp;M costs'!$E$45)</f>
        <v>182768.05370145055</v>
      </c>
      <c r="M79">
        <f>(450*2.47105*D79+'Multimodel scenarios I&amp;M costs'!$E$46)</f>
        <v>1159849.805273449</v>
      </c>
      <c r="N79">
        <f>(1700*2.47105*D79+'Multimodel scenarios I&amp;M costs'!$E$47)</f>
        <v>4369457.0252422616</v>
      </c>
      <c r="O79">
        <f>(70*2.47105*D79+'Multimodel scenarios I&amp;M costs'!$E$53)</f>
        <v>269357.41641763662</v>
      </c>
      <c r="P79">
        <f>(450*2.47105*D79+'Multimodel scenarios I&amp;M costs'!$E$54)</f>
        <v>1716495.7084489311</v>
      </c>
      <c r="Q79">
        <f>(1700*2.47105*D79+'Multimodel scenarios I&amp;M costs'!$E$55)</f>
        <v>6472341.5483496375</v>
      </c>
    </row>
    <row r="80" spans="1:17" x14ac:dyDescent="0.25">
      <c r="A80">
        <v>79</v>
      </c>
      <c r="B80">
        <v>1759.4687369999999</v>
      </c>
      <c r="C80">
        <v>4347.7352220000002</v>
      </c>
      <c r="D80">
        <v>374.78</v>
      </c>
      <c r="E80">
        <v>9</v>
      </c>
      <c r="F80">
        <f>(5*D80+'Multimodel scenarios I&amp;M costs'!$F$25)*E80</f>
        <v>56266.728213330825</v>
      </c>
      <c r="G80">
        <f>(14.97*D80+'Multimodel scenarios I&amp;M costs'!$F$26)*E80</f>
        <v>137149.18902987408</v>
      </c>
      <c r="H80">
        <f>(24.96*D80+'Multimodel scenarios I&amp;M costs'!$F$27)*E80</f>
        <v>217511.88732470709</v>
      </c>
      <c r="I80">
        <f>(5*D80+'Multimodel scenarios I&amp;M costs'!$F$32)*E80</f>
        <v>76404.060045576538</v>
      </c>
      <c r="J80">
        <f>(14.97*D80+'Multimodel scenarios I&amp;M costs'!$F$33)*E80</f>
        <v>197561.18452661124</v>
      </c>
      <c r="K80">
        <f>(24.96*D80+'Multimodel scenarios I&amp;M costs'!$F$34)*E80</f>
        <v>318198.54648593557</v>
      </c>
      <c r="L80">
        <f>(70*2.47105*D80+'Multimodel scenarios I&amp;M costs'!$E$45)</f>
        <v>171497.10044145054</v>
      </c>
      <c r="M80">
        <f>(450*2.47105*D80+'Multimodel scenarios I&amp;M costs'!$E$46)</f>
        <v>1087393.6771734492</v>
      </c>
      <c r="N80">
        <f>(1700*2.47105*D80+'Multimodel scenarios I&amp;M costs'!$E$47)</f>
        <v>4095733.8746422622</v>
      </c>
      <c r="O80">
        <f>(70*2.47105*D80+'Multimodel scenarios I&amp;M costs'!$E$53)</f>
        <v>258086.46315763664</v>
      </c>
      <c r="P80">
        <f>(450*2.47105*D80+'Multimodel scenarios I&amp;M costs'!$E$54)</f>
        <v>1644039.580348931</v>
      </c>
      <c r="Q80">
        <f>(1700*2.47105*D80+'Multimodel scenarios I&amp;M costs'!$E$55)</f>
        <v>6198618.3977496382</v>
      </c>
    </row>
    <row r="81" spans="1:17" x14ac:dyDescent="0.25">
      <c r="A81">
        <v>80</v>
      </c>
      <c r="B81">
        <v>280.02478159999998</v>
      </c>
      <c r="C81">
        <v>691.95523649999996</v>
      </c>
      <c r="D81">
        <v>374.78</v>
      </c>
      <c r="E81">
        <v>1</v>
      </c>
      <c r="F81">
        <f>(5*D81+'Multimodel scenarios I&amp;M costs'!$F$25)*E81</f>
        <v>6251.8586903700916</v>
      </c>
      <c r="G81">
        <f>(14.97*D81+'Multimodel scenarios I&amp;M costs'!$F$26)*E81</f>
        <v>15238.798781097121</v>
      </c>
      <c r="H81">
        <f>(24.96*D81+'Multimodel scenarios I&amp;M costs'!$F$27)*E81</f>
        <v>24167.98748052301</v>
      </c>
      <c r="I81">
        <f>(5*D81+'Multimodel scenarios I&amp;M costs'!$F$32)*E81</f>
        <v>8489.3400050640594</v>
      </c>
      <c r="J81">
        <f>(14.97*D81+'Multimodel scenarios I&amp;M costs'!$F$33)*E81</f>
        <v>21951.242725179025</v>
      </c>
      <c r="K81">
        <f>(24.96*D81+'Multimodel scenarios I&amp;M costs'!$F$34)*E81</f>
        <v>35355.394053992844</v>
      </c>
      <c r="L81">
        <f>(70*2.47105*D81+'Multimodel scenarios I&amp;M costs'!$E$45)</f>
        <v>171497.10044145054</v>
      </c>
      <c r="M81">
        <f>(450*2.47105*D81+'Multimodel scenarios I&amp;M costs'!$E$46)</f>
        <v>1087393.6771734492</v>
      </c>
      <c r="N81">
        <f>(1700*2.47105*D81+'Multimodel scenarios I&amp;M costs'!$E$47)</f>
        <v>4095733.8746422622</v>
      </c>
      <c r="O81">
        <f>(70*2.47105*D81+'Multimodel scenarios I&amp;M costs'!$E$53)</f>
        <v>258086.46315763664</v>
      </c>
      <c r="P81">
        <f>(450*2.47105*D81+'Multimodel scenarios I&amp;M costs'!$E$54)</f>
        <v>1644039.580348931</v>
      </c>
      <c r="Q81">
        <f>(1700*2.47105*D81+'Multimodel scenarios I&amp;M costs'!$E$55)</f>
        <v>6198618.3977496382</v>
      </c>
    </row>
    <row r="82" spans="1:17" x14ac:dyDescent="0.25">
      <c r="A82">
        <v>81</v>
      </c>
      <c r="B82">
        <v>1554.9594790000001</v>
      </c>
      <c r="C82">
        <v>3842.3826199999999</v>
      </c>
      <c r="D82">
        <v>372.43955194592002</v>
      </c>
      <c r="E82">
        <v>8</v>
      </c>
      <c r="F82">
        <f>(5*D82+'Multimodel scenarios I&amp;M costs'!$F$25)*E82</f>
        <v>49921.251600797536</v>
      </c>
      <c r="G82">
        <f>(14.97*D82+'Multimodel scenarios I&amp;M costs'!$F$26)*E82</f>
        <v>121630.09818982036</v>
      </c>
      <c r="H82">
        <f>(24.96*D82+'Multimodel scenarios I&amp;M costs'!$F$27)*E82</f>
        <v>192876.55917674542</v>
      </c>
      <c r="I82">
        <f>(5*D82+'Multimodel scenarios I&amp;M costs'!$F$32)*E82</f>
        <v>67821.10211834927</v>
      </c>
      <c r="J82">
        <f>(14.97*D82+'Multimodel scenarios I&amp;M costs'!$F$33)*E82</f>
        <v>175329.64974247559</v>
      </c>
      <c r="K82">
        <f>(24.96*D82+'Multimodel scenarios I&amp;M costs'!$F$34)*E82</f>
        <v>282375.81176450406</v>
      </c>
      <c r="L82">
        <f>(70*2.47105*D82+'Multimodel scenarios I&amp;M costs'!$E$45)</f>
        <v>171092.26494996814</v>
      </c>
      <c r="M82">
        <f>(450*2.47105*D82+'Multimodel scenarios I&amp;M costs'!$E$46)</f>
        <v>1084791.1632996337</v>
      </c>
      <c r="N82">
        <f>(1700*2.47105*D82+'Multimodel scenarios I&amp;M costs'!$E$47)</f>
        <v>4085902.1555634039</v>
      </c>
      <c r="O82">
        <f>(70*2.47105*D82+'Multimodel scenarios I&amp;M costs'!$E$53)</f>
        <v>257681.62766615424</v>
      </c>
      <c r="P82">
        <f>(450*2.47105*D82+'Multimodel scenarios I&amp;M costs'!$E$54)</f>
        <v>1641437.0664751155</v>
      </c>
      <c r="Q82">
        <f>(1700*2.47105*D82+'Multimodel scenarios I&amp;M costs'!$E$55)</f>
        <v>6188786.6786707798</v>
      </c>
    </row>
    <row r="83" spans="1:17" x14ac:dyDescent="0.25">
      <c r="A83">
        <v>82</v>
      </c>
      <c r="B83">
        <v>6616.437989</v>
      </c>
      <c r="C83">
        <v>16349.54909</v>
      </c>
      <c r="D83">
        <v>374.78</v>
      </c>
      <c r="E83">
        <v>33</v>
      </c>
      <c r="F83">
        <f>(5*D83+'Multimodel scenarios I&amp;M costs'!$F$25)*E83</f>
        <v>206311.33678221301</v>
      </c>
      <c r="G83">
        <f>(14.97*D83+'Multimodel scenarios I&amp;M costs'!$F$26)*E83</f>
        <v>502880.35977620498</v>
      </c>
      <c r="H83">
        <f>(24.96*D83+'Multimodel scenarios I&amp;M costs'!$F$27)*E83</f>
        <v>797543.58685725939</v>
      </c>
      <c r="I83">
        <f>(5*D83+'Multimodel scenarios I&amp;M costs'!$F$32)*E83</f>
        <v>280148.22016711393</v>
      </c>
      <c r="J83">
        <f>(14.97*D83+'Multimodel scenarios I&amp;M costs'!$F$33)*E83</f>
        <v>724391.00993090787</v>
      </c>
      <c r="K83">
        <f>(24.96*D83+'Multimodel scenarios I&amp;M costs'!$F$34)*E83</f>
        <v>1166728.0037817638</v>
      </c>
      <c r="L83">
        <f>(70*2.47105*D83+'Multimodel scenarios I&amp;M costs'!$E$45)</f>
        <v>171497.10044145054</v>
      </c>
      <c r="M83">
        <f>(450*2.47105*D83+'Multimodel scenarios I&amp;M costs'!$E$46)</f>
        <v>1087393.6771734492</v>
      </c>
      <c r="N83">
        <f>(1700*2.47105*D83+'Multimodel scenarios I&amp;M costs'!$E$47)</f>
        <v>4095733.8746422622</v>
      </c>
      <c r="O83">
        <f>(70*2.47105*D83+'Multimodel scenarios I&amp;M costs'!$E$53)</f>
        <v>258086.46315763664</v>
      </c>
      <c r="P83">
        <f>(450*2.47105*D83+'Multimodel scenarios I&amp;M costs'!$E$54)</f>
        <v>1644039.580348931</v>
      </c>
      <c r="Q83">
        <f>(1700*2.47105*D83+'Multimodel scenarios I&amp;M costs'!$E$55)</f>
        <v>6198618.3977496382</v>
      </c>
    </row>
    <row r="84" spans="1:17" x14ac:dyDescent="0.25">
      <c r="A84">
        <v>83</v>
      </c>
      <c r="B84">
        <v>2967.0711249999999</v>
      </c>
      <c r="C84">
        <v>7331.7811030000003</v>
      </c>
      <c r="D84">
        <v>439.94</v>
      </c>
      <c r="E84">
        <v>15</v>
      </c>
      <c r="F84">
        <f>(5*D84+'Multimodel scenarios I&amp;M costs'!$F$25)*E84</f>
        <v>98664.880355551373</v>
      </c>
      <c r="G84">
        <f>(14.97*D84+'Multimodel scenarios I&amp;M costs'!$F$26)*E84</f>
        <v>243213.65971645684</v>
      </c>
      <c r="H84">
        <f>(24.96*D84+'Multimodel scenarios I&amp;M costs'!$F$27)*E84</f>
        <v>386915.71620784514</v>
      </c>
      <c r="I84">
        <f>(5*D84+'Multimodel scenarios I&amp;M costs'!$F$32)*E84</f>
        <v>132227.10007596089</v>
      </c>
      <c r="J84">
        <f>(14.97*D84+'Multimodel scenarios I&amp;M costs'!$F$33)*E84</f>
        <v>343900.31887768541</v>
      </c>
      <c r="K84">
        <f>(24.96*D84+'Multimodel scenarios I&amp;M costs'!$F$34)*E84</f>
        <v>554726.81480989268</v>
      </c>
      <c r="L84">
        <f>(70*2.47105*D84+'Multimodel scenarios I&amp;M costs'!$E$45)</f>
        <v>182768.05370145055</v>
      </c>
      <c r="M84">
        <f>(450*2.47105*D84+'Multimodel scenarios I&amp;M costs'!$E$46)</f>
        <v>1159849.805273449</v>
      </c>
      <c r="N84">
        <f>(1700*2.47105*D84+'Multimodel scenarios I&amp;M costs'!$E$47)</f>
        <v>4369457.0252422616</v>
      </c>
      <c r="O84">
        <f>(70*2.47105*D84+'Multimodel scenarios I&amp;M costs'!$E$53)</f>
        <v>269357.41641763662</v>
      </c>
      <c r="P84">
        <f>(450*2.47105*D84+'Multimodel scenarios I&amp;M costs'!$E$54)</f>
        <v>1716495.7084489311</v>
      </c>
      <c r="Q84">
        <f>(1700*2.47105*D84+'Multimodel scenarios I&amp;M costs'!$E$55)</f>
        <v>6472341.5483496375</v>
      </c>
    </row>
    <row r="85" spans="1:17" x14ac:dyDescent="0.25">
      <c r="A85">
        <v>84</v>
      </c>
      <c r="B85">
        <v>911.13934940000001</v>
      </c>
      <c r="C85">
        <v>2251.4708890000002</v>
      </c>
      <c r="D85">
        <v>391.47832689932</v>
      </c>
      <c r="E85">
        <v>5</v>
      </c>
      <c r="F85">
        <f>(5*D85+'Multimodel scenarios I&amp;M costs'!$F$25)*E85</f>
        <v>31676.751624333461</v>
      </c>
      <c r="G85">
        <f>(14.97*D85+'Multimodel scenarios I&amp;M costs'!$F$26)*E85</f>
        <v>77443.863673899701</v>
      </c>
      <c r="H85">
        <f>(24.96*D85+'Multimodel scenarios I&amp;M costs'!$F$27)*E85</f>
        <v>122923.88859965021</v>
      </c>
      <c r="I85">
        <f>(5*D85+'Multimodel scenarios I&amp;M costs'!$F$32)*E85</f>
        <v>42864.158197803299</v>
      </c>
      <c r="J85">
        <f>(14.97*D85+'Multimodel scenarios I&amp;M costs'!$F$33)*E85</f>
        <v>111006.08339430923</v>
      </c>
      <c r="K85">
        <f>(24.96*D85+'Multimodel scenarios I&amp;M costs'!$F$34)*E85</f>
        <v>178860.92146699934</v>
      </c>
      <c r="L85">
        <f>(70*2.47105*D85+'Multimodel scenarios I&amp;M costs'!$E$45)</f>
        <v>174385.46848937008</v>
      </c>
      <c r="M85">
        <f>(450*2.47105*D85+'Multimodel scenarios I&amp;M costs'!$E$46)</f>
        <v>1105961.7574815033</v>
      </c>
      <c r="N85">
        <f>(1700*2.47105*D85+'Multimodel scenarios I&amp;M costs'!$E$47)</f>
        <v>4165879.955806022</v>
      </c>
      <c r="O85">
        <f>(70*2.47105*D85+'Multimodel scenarios I&amp;M costs'!$E$53)</f>
        <v>260974.83120555617</v>
      </c>
      <c r="P85">
        <f>(450*2.47105*D85+'Multimodel scenarios I&amp;M costs'!$E$54)</f>
        <v>1662607.6606569851</v>
      </c>
      <c r="Q85">
        <f>(1700*2.47105*D85+'Multimodel scenarios I&amp;M costs'!$E$55)</f>
        <v>6268764.4789133985</v>
      </c>
    </row>
    <row r="86" spans="1:17" x14ac:dyDescent="0.25">
      <c r="A86">
        <v>85</v>
      </c>
      <c r="B86">
        <v>416.91463010000001</v>
      </c>
      <c r="C86">
        <v>1030.216897</v>
      </c>
      <c r="D86">
        <v>374.78</v>
      </c>
      <c r="E86">
        <v>2</v>
      </c>
      <c r="F86">
        <f>(5*D86+'Multimodel scenarios I&amp;M costs'!$F$25)*E86</f>
        <v>12503.717380740183</v>
      </c>
      <c r="G86">
        <f>(14.97*D86+'Multimodel scenarios I&amp;M costs'!$F$26)*E86</f>
        <v>30477.597562194242</v>
      </c>
      <c r="H86">
        <f>(24.96*D86+'Multimodel scenarios I&amp;M costs'!$F$27)*E86</f>
        <v>48335.97496104602</v>
      </c>
      <c r="I86">
        <f>(5*D86+'Multimodel scenarios I&amp;M costs'!$F$32)*E86</f>
        <v>16978.680010128119</v>
      </c>
      <c r="J86">
        <f>(14.97*D86+'Multimodel scenarios I&amp;M costs'!$F$33)*E86</f>
        <v>43902.48545035805</v>
      </c>
      <c r="K86">
        <f>(24.96*D86+'Multimodel scenarios I&amp;M costs'!$F$34)*E86</f>
        <v>70710.788107985689</v>
      </c>
      <c r="L86">
        <f>(70*2.47105*D86+'Multimodel scenarios I&amp;M costs'!$E$45)</f>
        <v>171497.10044145054</v>
      </c>
      <c r="M86">
        <f>(450*2.47105*D86+'Multimodel scenarios I&amp;M costs'!$E$46)</f>
        <v>1087393.6771734492</v>
      </c>
      <c r="N86">
        <f>(1700*2.47105*D86+'Multimodel scenarios I&amp;M costs'!$E$47)</f>
        <v>4095733.8746422622</v>
      </c>
      <c r="O86">
        <f>(70*2.47105*D86+'Multimodel scenarios I&amp;M costs'!$E$53)</f>
        <v>258086.46315763664</v>
      </c>
      <c r="P86">
        <f>(450*2.47105*D86+'Multimodel scenarios I&amp;M costs'!$E$54)</f>
        <v>1644039.580348931</v>
      </c>
      <c r="Q86">
        <f>(1700*2.47105*D86+'Multimodel scenarios I&amp;M costs'!$E$55)</f>
        <v>6198618.3977496382</v>
      </c>
    </row>
    <row r="87" spans="1:17" x14ac:dyDescent="0.25">
      <c r="A87">
        <v>86</v>
      </c>
      <c r="B87">
        <v>1162.3074449999999</v>
      </c>
      <c r="C87">
        <v>2872.1198119999999</v>
      </c>
      <c r="D87">
        <v>374.78</v>
      </c>
      <c r="E87">
        <v>6</v>
      </c>
      <c r="F87">
        <f>(5*D87+'Multimodel scenarios I&amp;M costs'!$F$25)*E87</f>
        <v>37511.152142220548</v>
      </c>
      <c r="G87">
        <f>(14.97*D87+'Multimodel scenarios I&amp;M costs'!$F$26)*E87</f>
        <v>91432.792686582718</v>
      </c>
      <c r="H87">
        <f>(24.96*D87+'Multimodel scenarios I&amp;M costs'!$F$27)*E87</f>
        <v>145007.92488313807</v>
      </c>
      <c r="I87">
        <f>(5*D87+'Multimodel scenarios I&amp;M costs'!$F$32)*E87</f>
        <v>50936.040030384356</v>
      </c>
      <c r="J87">
        <f>(14.97*D87+'Multimodel scenarios I&amp;M costs'!$F$33)*E87</f>
        <v>131707.45635107416</v>
      </c>
      <c r="K87">
        <f>(24.96*D87+'Multimodel scenarios I&amp;M costs'!$F$34)*E87</f>
        <v>212132.36432395707</v>
      </c>
      <c r="L87">
        <f>(70*2.47105*D87+'Multimodel scenarios I&amp;M costs'!$E$45)</f>
        <v>171497.10044145054</v>
      </c>
      <c r="M87">
        <f>(450*2.47105*D87+'Multimodel scenarios I&amp;M costs'!$E$46)</f>
        <v>1087393.6771734492</v>
      </c>
      <c r="N87">
        <f>(1700*2.47105*D87+'Multimodel scenarios I&amp;M costs'!$E$47)</f>
        <v>4095733.8746422622</v>
      </c>
      <c r="O87">
        <f>(70*2.47105*D87+'Multimodel scenarios I&amp;M costs'!$E$53)</f>
        <v>258086.46315763664</v>
      </c>
      <c r="P87">
        <f>(450*2.47105*D87+'Multimodel scenarios I&amp;M costs'!$E$54)</f>
        <v>1644039.580348931</v>
      </c>
      <c r="Q87">
        <f>(1700*2.47105*D87+'Multimodel scenarios I&amp;M costs'!$E$55)</f>
        <v>6198618.3977496382</v>
      </c>
    </row>
    <row r="88" spans="1:17" x14ac:dyDescent="0.25">
      <c r="A88">
        <v>87</v>
      </c>
      <c r="B88">
        <v>4989.3367770000004</v>
      </c>
      <c r="C88">
        <v>12328.90064</v>
      </c>
      <c r="D88">
        <v>374.78</v>
      </c>
      <c r="E88">
        <v>25</v>
      </c>
      <c r="F88">
        <f>(5*D88+'Multimodel scenarios I&amp;M costs'!$F$25)*E88</f>
        <v>156296.4672592523</v>
      </c>
      <c r="G88">
        <f>(14.97*D88+'Multimodel scenarios I&amp;M costs'!$F$26)*E88</f>
        <v>380969.96952742804</v>
      </c>
      <c r="H88">
        <f>(24.96*D88+'Multimodel scenarios I&amp;M costs'!$F$27)*E88</f>
        <v>604199.68701307522</v>
      </c>
      <c r="I88">
        <f>(5*D88+'Multimodel scenarios I&amp;M costs'!$F$32)*E88</f>
        <v>212233.50012660149</v>
      </c>
      <c r="J88">
        <f>(14.97*D88+'Multimodel scenarios I&amp;M costs'!$F$33)*E88</f>
        <v>548781.06812947558</v>
      </c>
      <c r="K88">
        <f>(24.96*D88+'Multimodel scenarios I&amp;M costs'!$F$34)*E88</f>
        <v>883884.85134982108</v>
      </c>
      <c r="L88">
        <f>(70*2.47105*D88+'Multimodel scenarios I&amp;M costs'!$E$45)</f>
        <v>171497.10044145054</v>
      </c>
      <c r="M88">
        <f>(450*2.47105*D88+'Multimodel scenarios I&amp;M costs'!$E$46)</f>
        <v>1087393.6771734492</v>
      </c>
      <c r="N88">
        <f>(1700*2.47105*D88+'Multimodel scenarios I&amp;M costs'!$E$47)</f>
        <v>4095733.8746422622</v>
      </c>
      <c r="O88">
        <f>(70*2.47105*D88+'Multimodel scenarios I&amp;M costs'!$E$53)</f>
        <v>258086.46315763664</v>
      </c>
      <c r="P88">
        <f>(450*2.47105*D88+'Multimodel scenarios I&amp;M costs'!$E$54)</f>
        <v>1644039.580348931</v>
      </c>
      <c r="Q88">
        <f>(1700*2.47105*D88+'Multimodel scenarios I&amp;M costs'!$E$55)</f>
        <v>6198618.3977496382</v>
      </c>
    </row>
    <row r="89" spans="1:17" x14ac:dyDescent="0.25">
      <c r="A89">
        <v>88</v>
      </c>
      <c r="B89">
        <v>2898.5185409999999</v>
      </c>
      <c r="C89">
        <v>7162.3842400000003</v>
      </c>
      <c r="D89">
        <v>439.94</v>
      </c>
      <c r="E89">
        <v>14</v>
      </c>
      <c r="F89">
        <f>(5*D89+'Multimodel scenarios I&amp;M costs'!$F$25)*E89</f>
        <v>92087.221665181278</v>
      </c>
      <c r="G89">
        <f>(14.97*D89+'Multimodel scenarios I&amp;M costs'!$F$26)*E89</f>
        <v>226999.41573535971</v>
      </c>
      <c r="H89">
        <f>(24.96*D89+'Multimodel scenarios I&amp;M costs'!$F$27)*E89</f>
        <v>361121.33512732212</v>
      </c>
      <c r="I89">
        <f>(5*D89+'Multimodel scenarios I&amp;M costs'!$F$32)*E89</f>
        <v>123411.96007089682</v>
      </c>
      <c r="J89">
        <f>(14.97*D89+'Multimodel scenarios I&amp;M costs'!$F$33)*E89</f>
        <v>320973.63095250638</v>
      </c>
      <c r="K89">
        <f>(24.96*D89+'Multimodel scenarios I&amp;M costs'!$F$34)*E89</f>
        <v>517745.02715589985</v>
      </c>
      <c r="L89">
        <f>(70*2.47105*D89+'Multimodel scenarios I&amp;M costs'!$E$45)</f>
        <v>182768.05370145055</v>
      </c>
      <c r="M89">
        <f>(450*2.47105*D89+'Multimodel scenarios I&amp;M costs'!$E$46)</f>
        <v>1159849.805273449</v>
      </c>
      <c r="N89">
        <f>(1700*2.47105*D89+'Multimodel scenarios I&amp;M costs'!$E$47)</f>
        <v>4369457.0252422616</v>
      </c>
      <c r="O89">
        <f>(70*2.47105*D89+'Multimodel scenarios I&amp;M costs'!$E$53)</f>
        <v>269357.41641763662</v>
      </c>
      <c r="P89">
        <f>(450*2.47105*D89+'Multimodel scenarios I&amp;M costs'!$E$54)</f>
        <v>1716495.7084489311</v>
      </c>
      <c r="Q89">
        <f>(1700*2.47105*D89+'Multimodel scenarios I&amp;M costs'!$E$55)</f>
        <v>6472341.5483496375</v>
      </c>
    </row>
    <row r="90" spans="1:17" x14ac:dyDescent="0.25">
      <c r="A90">
        <v>89</v>
      </c>
      <c r="B90">
        <v>3985.8847089999999</v>
      </c>
      <c r="C90">
        <v>9849.3204089999999</v>
      </c>
      <c r="D90">
        <v>375.08939935832001</v>
      </c>
      <c r="E90">
        <v>20</v>
      </c>
      <c r="F90">
        <f>(5*D90+'Multimodel scenarios I&amp;M costs'!$F$25)*E90</f>
        <v>125068.11374323384</v>
      </c>
      <c r="G90">
        <f>(14.97*D90+'Multimodel scenarios I&amp;M costs'!$F$26)*E90</f>
        <v>304868.60978982347</v>
      </c>
      <c r="H90">
        <f>(24.96*D90+'Multimodel scenarios I&amp;M costs'!$F$27)*E90</f>
        <v>483514.20177013351</v>
      </c>
      <c r="I90">
        <f>(5*D90+'Multimodel scenarios I&amp;M costs'!$F$32)*E90</f>
        <v>169817.7400371132</v>
      </c>
      <c r="J90">
        <f>(14.97*D90+'Multimodel scenarios I&amp;M costs'!$F$33)*E90</f>
        <v>439117.48867146153</v>
      </c>
      <c r="K90">
        <f>(24.96*D90+'Multimodel scenarios I&amp;M costs'!$F$34)*E90</f>
        <v>707262.33323953021</v>
      </c>
      <c r="L90">
        <f>(70*2.47105*D90+'Multimodel scenarios I&amp;M costs'!$E$45)</f>
        <v>171550.61833135691</v>
      </c>
      <c r="M90">
        <f>(450*2.47105*D90+'Multimodel scenarios I&amp;M costs'!$E$46)</f>
        <v>1087737.7207514187</v>
      </c>
      <c r="N90">
        <f>(1700*2.47105*D90+'Multimodel scenarios I&amp;M costs'!$E$47)</f>
        <v>4097033.5948257027</v>
      </c>
      <c r="O90">
        <f>(70*2.47105*D90+'Multimodel scenarios I&amp;M costs'!$E$53)</f>
        <v>258139.981047543</v>
      </c>
      <c r="P90">
        <f>(450*2.47105*D90+'Multimodel scenarios I&amp;M costs'!$E$54)</f>
        <v>1644383.6239269006</v>
      </c>
      <c r="Q90">
        <f>(1700*2.47105*D90+'Multimodel scenarios I&amp;M costs'!$E$55)</f>
        <v>6199918.1179330787</v>
      </c>
    </row>
    <row r="91" spans="1:17" x14ac:dyDescent="0.25">
      <c r="A91">
        <v>90</v>
      </c>
      <c r="B91">
        <v>4367.1950550000001</v>
      </c>
      <c r="C91">
        <v>10791.557339999999</v>
      </c>
      <c r="D91">
        <v>374.78</v>
      </c>
      <c r="E91">
        <v>22</v>
      </c>
      <c r="F91">
        <f>(5*D91+'Multimodel scenarios I&amp;M costs'!$F$25)*E91</f>
        <v>137540.89118814201</v>
      </c>
      <c r="G91">
        <f>(14.97*D91+'Multimodel scenarios I&amp;M costs'!$F$26)*E91</f>
        <v>335253.57318413665</v>
      </c>
      <c r="H91">
        <f>(24.96*D91+'Multimodel scenarios I&amp;M costs'!$F$27)*E91</f>
        <v>531695.72457150626</v>
      </c>
      <c r="I91">
        <f>(5*D91+'Multimodel scenarios I&amp;M costs'!$F$32)*E91</f>
        <v>186765.4801114093</v>
      </c>
      <c r="J91">
        <f>(14.97*D91+'Multimodel scenarios I&amp;M costs'!$F$33)*E91</f>
        <v>482927.33995393856</v>
      </c>
      <c r="K91">
        <f>(24.96*D91+'Multimodel scenarios I&amp;M costs'!$F$34)*E91</f>
        <v>777818.66918784264</v>
      </c>
      <c r="L91">
        <f>(70*2.47105*D91+'Multimodel scenarios I&amp;M costs'!$E$45)</f>
        <v>171497.10044145054</v>
      </c>
      <c r="M91">
        <f>(450*2.47105*D91+'Multimodel scenarios I&amp;M costs'!$E$46)</f>
        <v>1087393.6771734492</v>
      </c>
      <c r="N91">
        <f>(1700*2.47105*D91+'Multimodel scenarios I&amp;M costs'!$E$47)</f>
        <v>4095733.8746422622</v>
      </c>
      <c r="O91">
        <f>(70*2.47105*D91+'Multimodel scenarios I&amp;M costs'!$E$53)</f>
        <v>258086.46315763664</v>
      </c>
      <c r="P91">
        <f>(450*2.47105*D91+'Multimodel scenarios I&amp;M costs'!$E$54)</f>
        <v>1644039.580348931</v>
      </c>
      <c r="Q91">
        <f>(1700*2.47105*D91+'Multimodel scenarios I&amp;M costs'!$E$55)</f>
        <v>6198618.3977496382</v>
      </c>
    </row>
    <row r="92" spans="1:17" x14ac:dyDescent="0.25">
      <c r="A92">
        <v>91</v>
      </c>
      <c r="B92">
        <v>5819.3615520000003</v>
      </c>
      <c r="C92">
        <v>14379.933360000001</v>
      </c>
      <c r="D92">
        <v>378.55593748747998</v>
      </c>
      <c r="E92">
        <v>29</v>
      </c>
      <c r="F92">
        <f>(5*D92+'Multimodel scenarios I&amp;M costs'!$F$25)*E92</f>
        <v>181851.41295641728</v>
      </c>
      <c r="G92">
        <f>(14.97*D92+'Multimodel scenarios I&amp;M costs'!$F$26)*E92</f>
        <v>443564.41239325621</v>
      </c>
      <c r="H92">
        <f>(24.96*D92+'Multimodel scenarios I&amp;M costs'!$F$27)*E92</f>
        <v>703604.81152610481</v>
      </c>
      <c r="I92">
        <f>(5*D92+'Multimodel scenarios I&amp;M costs'!$F$32)*E92</f>
        <v>246738.37108254229</v>
      </c>
      <c r="J92">
        <f>(14.97*D92+'Multimodel scenarios I&amp;M costs'!$F$33)*E92</f>
        <v>638225.28677163145</v>
      </c>
      <c r="K92">
        <f>(24.96*D92+'Multimodel scenarios I&amp;M costs'!$F$34)*E92</f>
        <v>1028039.6021567301</v>
      </c>
      <c r="L92">
        <f>(70*2.47105*D92+'Multimodel scenarios I&amp;M costs'!$E$45)</f>
        <v>172150.23756444117</v>
      </c>
      <c r="M92">
        <f>(450*2.47105*D92+'Multimodel scenarios I&amp;M costs'!$E$46)</f>
        <v>1091592.4158212459</v>
      </c>
      <c r="N92">
        <f>(1700*2.47105*D92+'Multimodel scenarios I&amp;M costs'!$E$47)</f>
        <v>4111595.7762006056</v>
      </c>
      <c r="O92">
        <f>(70*2.47105*D92+'Multimodel scenarios I&amp;M costs'!$E$53)</f>
        <v>258739.60028062726</v>
      </c>
      <c r="P92">
        <f>(450*2.47105*D92+'Multimodel scenarios I&amp;M costs'!$E$54)</f>
        <v>1648238.3189967279</v>
      </c>
      <c r="Q92">
        <f>(1700*2.47105*D92+'Multimodel scenarios I&amp;M costs'!$E$55)</f>
        <v>6214480.2993079815</v>
      </c>
    </row>
    <row r="93" spans="1:17" x14ac:dyDescent="0.25">
      <c r="A93">
        <v>92</v>
      </c>
      <c r="B93">
        <v>627.23829350000005</v>
      </c>
      <c r="C93">
        <v>1549.937185</v>
      </c>
      <c r="D93">
        <v>439.94</v>
      </c>
      <c r="E93">
        <v>3</v>
      </c>
      <c r="F93">
        <f>(5*D93+'Multimodel scenarios I&amp;M costs'!$F$25)*E93</f>
        <v>19732.976071110275</v>
      </c>
      <c r="G93">
        <f>(14.97*D93+'Multimodel scenarios I&amp;M costs'!$F$26)*E93</f>
        <v>48642.731943291365</v>
      </c>
      <c r="H93">
        <f>(24.96*D93+'Multimodel scenarios I&amp;M costs'!$F$27)*E93</f>
        <v>77383.143241569021</v>
      </c>
      <c r="I93">
        <f>(5*D93+'Multimodel scenarios I&amp;M costs'!$F$32)*E93</f>
        <v>26445.420015192176</v>
      </c>
      <c r="J93">
        <f>(14.97*D93+'Multimodel scenarios I&amp;M costs'!$F$33)*E93</f>
        <v>68780.063775537084</v>
      </c>
      <c r="K93">
        <f>(24.96*D93+'Multimodel scenarios I&amp;M costs'!$F$34)*E93</f>
        <v>110945.36296197854</v>
      </c>
      <c r="L93">
        <f>(70*2.47105*D93+'Multimodel scenarios I&amp;M costs'!$E$45)</f>
        <v>182768.05370145055</v>
      </c>
      <c r="M93">
        <f>(450*2.47105*D93+'Multimodel scenarios I&amp;M costs'!$E$46)</f>
        <v>1159849.805273449</v>
      </c>
      <c r="N93">
        <f>(1700*2.47105*D93+'Multimodel scenarios I&amp;M costs'!$E$47)</f>
        <v>4369457.0252422616</v>
      </c>
      <c r="O93">
        <f>(70*2.47105*D93+'Multimodel scenarios I&amp;M costs'!$E$53)</f>
        <v>269357.41641763662</v>
      </c>
      <c r="P93">
        <f>(450*2.47105*D93+'Multimodel scenarios I&amp;M costs'!$E$54)</f>
        <v>1716495.7084489311</v>
      </c>
      <c r="Q93">
        <f>(1700*2.47105*D93+'Multimodel scenarios I&amp;M costs'!$E$55)</f>
        <v>6472341.5483496375</v>
      </c>
    </row>
    <row r="94" spans="1:17" x14ac:dyDescent="0.25">
      <c r="A94">
        <v>93</v>
      </c>
      <c r="B94">
        <v>5007.2824799999999</v>
      </c>
      <c r="C94">
        <v>12373.245370000001</v>
      </c>
      <c r="D94">
        <v>374.78</v>
      </c>
      <c r="E94">
        <v>25</v>
      </c>
      <c r="F94">
        <f>(5*D94+'Multimodel scenarios I&amp;M costs'!$F$25)*E94</f>
        <v>156296.4672592523</v>
      </c>
      <c r="G94">
        <f>(14.97*D94+'Multimodel scenarios I&amp;M costs'!$F$26)*E94</f>
        <v>380969.96952742804</v>
      </c>
      <c r="H94">
        <f>(24.96*D94+'Multimodel scenarios I&amp;M costs'!$F$27)*E94</f>
        <v>604199.68701307522</v>
      </c>
      <c r="I94">
        <f>(5*D94+'Multimodel scenarios I&amp;M costs'!$F$32)*E94</f>
        <v>212233.50012660149</v>
      </c>
      <c r="J94">
        <f>(14.97*D94+'Multimodel scenarios I&amp;M costs'!$F$33)*E94</f>
        <v>548781.06812947558</v>
      </c>
      <c r="K94">
        <f>(24.96*D94+'Multimodel scenarios I&amp;M costs'!$F$34)*E94</f>
        <v>883884.85134982108</v>
      </c>
      <c r="L94">
        <f>(70*2.47105*D94+'Multimodel scenarios I&amp;M costs'!$E$45)</f>
        <v>171497.10044145054</v>
      </c>
      <c r="M94">
        <f>(450*2.47105*D94+'Multimodel scenarios I&amp;M costs'!$E$46)</f>
        <v>1087393.6771734492</v>
      </c>
      <c r="N94">
        <f>(1700*2.47105*D94+'Multimodel scenarios I&amp;M costs'!$E$47)</f>
        <v>4095733.8746422622</v>
      </c>
      <c r="O94">
        <f>(70*2.47105*D94+'Multimodel scenarios I&amp;M costs'!$E$53)</f>
        <v>258086.46315763664</v>
      </c>
      <c r="P94">
        <f>(450*2.47105*D94+'Multimodel scenarios I&amp;M costs'!$E$54)</f>
        <v>1644039.580348931</v>
      </c>
      <c r="Q94">
        <f>(1700*2.47105*D94+'Multimodel scenarios I&amp;M costs'!$E$55)</f>
        <v>6198618.3977496382</v>
      </c>
    </row>
    <row r="95" spans="1:17" x14ac:dyDescent="0.25">
      <c r="A95">
        <v>94</v>
      </c>
      <c r="B95">
        <v>310.24535539999999</v>
      </c>
      <c r="C95">
        <v>766.63178549999998</v>
      </c>
      <c r="D95">
        <v>374.78</v>
      </c>
      <c r="E95">
        <v>2</v>
      </c>
      <c r="F95">
        <f>(5*D95+'Multimodel scenarios I&amp;M costs'!$F$25)*E95</f>
        <v>12503.717380740183</v>
      </c>
      <c r="G95">
        <f>(14.97*D95+'Multimodel scenarios I&amp;M costs'!$F$26)*E95</f>
        <v>30477.597562194242</v>
      </c>
      <c r="H95">
        <f>(24.96*D95+'Multimodel scenarios I&amp;M costs'!$F$27)*E95</f>
        <v>48335.97496104602</v>
      </c>
      <c r="I95">
        <f>(5*D95+'Multimodel scenarios I&amp;M costs'!$F$32)*E95</f>
        <v>16978.680010128119</v>
      </c>
      <c r="J95">
        <f>(14.97*D95+'Multimodel scenarios I&amp;M costs'!$F$33)*E95</f>
        <v>43902.48545035805</v>
      </c>
      <c r="K95">
        <f>(24.96*D95+'Multimodel scenarios I&amp;M costs'!$F$34)*E95</f>
        <v>70710.788107985689</v>
      </c>
      <c r="L95">
        <f>(70*2.47105*D95+'Multimodel scenarios I&amp;M costs'!$E$45)</f>
        <v>171497.10044145054</v>
      </c>
      <c r="M95">
        <f>(450*2.47105*D95+'Multimodel scenarios I&amp;M costs'!$E$46)</f>
        <v>1087393.6771734492</v>
      </c>
      <c r="N95">
        <f>(1700*2.47105*D95+'Multimodel scenarios I&amp;M costs'!$E$47)</f>
        <v>4095733.8746422622</v>
      </c>
      <c r="O95">
        <f>(70*2.47105*D95+'Multimodel scenarios I&amp;M costs'!$E$53)</f>
        <v>258086.46315763664</v>
      </c>
      <c r="P95">
        <f>(450*2.47105*D95+'Multimodel scenarios I&amp;M costs'!$E$54)</f>
        <v>1644039.580348931</v>
      </c>
      <c r="Q95">
        <f>(1700*2.47105*D95+'Multimodel scenarios I&amp;M costs'!$E$55)</f>
        <v>6198618.3977496382</v>
      </c>
    </row>
    <row r="96" spans="1:17" x14ac:dyDescent="0.25">
      <c r="A96">
        <v>95</v>
      </c>
      <c r="B96">
        <v>919.03545889999998</v>
      </c>
      <c r="C96">
        <v>2270.982571</v>
      </c>
      <c r="D96">
        <v>439.94</v>
      </c>
      <c r="E96">
        <v>5</v>
      </c>
      <c r="F96">
        <f>(5*D96+'Multimodel scenarios I&amp;M costs'!$F$25)*E96</f>
        <v>32888.293451850463</v>
      </c>
      <c r="G96">
        <f>(14.97*D96+'Multimodel scenarios I&amp;M costs'!$F$26)*E96</f>
        <v>81071.219905485617</v>
      </c>
      <c r="H96">
        <f>(24.96*D96+'Multimodel scenarios I&amp;M costs'!$F$27)*E96</f>
        <v>128971.90540261506</v>
      </c>
      <c r="I96">
        <f>(5*D96+'Multimodel scenarios I&amp;M costs'!$F$32)*E96</f>
        <v>44075.700025320293</v>
      </c>
      <c r="J96">
        <f>(14.97*D96+'Multimodel scenarios I&amp;M costs'!$F$33)*E96</f>
        <v>114633.43962589513</v>
      </c>
      <c r="K96">
        <f>(24.96*D96+'Multimodel scenarios I&amp;M costs'!$F$34)*E96</f>
        <v>184908.93826996424</v>
      </c>
      <c r="L96">
        <f>(70*2.47105*D96+'Multimodel scenarios I&amp;M costs'!$E$45)</f>
        <v>182768.05370145055</v>
      </c>
      <c r="M96">
        <f>(450*2.47105*D96+'Multimodel scenarios I&amp;M costs'!$E$46)</f>
        <v>1159849.805273449</v>
      </c>
      <c r="N96">
        <f>(1700*2.47105*D96+'Multimodel scenarios I&amp;M costs'!$E$47)</f>
        <v>4369457.0252422616</v>
      </c>
      <c r="O96">
        <f>(70*2.47105*D96+'Multimodel scenarios I&amp;M costs'!$E$53)</f>
        <v>269357.41641763662</v>
      </c>
      <c r="P96">
        <f>(450*2.47105*D96+'Multimodel scenarios I&amp;M costs'!$E$54)</f>
        <v>1716495.7084489311</v>
      </c>
      <c r="Q96">
        <f>(1700*2.47105*D96+'Multimodel scenarios I&amp;M costs'!$E$55)</f>
        <v>6472341.5483496375</v>
      </c>
    </row>
    <row r="97" spans="1:17" x14ac:dyDescent="0.25">
      <c r="A97">
        <v>96</v>
      </c>
      <c r="B97">
        <v>2499.3342680000001</v>
      </c>
      <c r="C97">
        <v>6175.9799419999999</v>
      </c>
      <c r="D97">
        <v>439.94</v>
      </c>
      <c r="E97">
        <v>12</v>
      </c>
      <c r="F97">
        <f>(5*D97+'Multimodel scenarios I&amp;M costs'!$F$25)*E97</f>
        <v>78931.904284441101</v>
      </c>
      <c r="G97">
        <f>(14.97*D97+'Multimodel scenarios I&amp;M costs'!$F$26)*E97</f>
        <v>194570.92777316546</v>
      </c>
      <c r="H97">
        <f>(24.96*D97+'Multimodel scenarios I&amp;M costs'!$F$27)*E97</f>
        <v>309532.57296627609</v>
      </c>
      <c r="I97">
        <f>(5*D97+'Multimodel scenarios I&amp;M costs'!$F$32)*E97</f>
        <v>105781.6800607687</v>
      </c>
      <c r="J97">
        <f>(14.97*D97+'Multimodel scenarios I&amp;M costs'!$F$33)*E97</f>
        <v>275120.25510214834</v>
      </c>
      <c r="K97">
        <f>(24.96*D97+'Multimodel scenarios I&amp;M costs'!$F$34)*E97</f>
        <v>443781.45184791414</v>
      </c>
      <c r="L97">
        <f>(70*2.47105*D97+'Multimodel scenarios I&amp;M costs'!$E$45)</f>
        <v>182768.05370145055</v>
      </c>
      <c r="M97">
        <f>(450*2.47105*D97+'Multimodel scenarios I&amp;M costs'!$E$46)</f>
        <v>1159849.805273449</v>
      </c>
      <c r="N97">
        <f>(1700*2.47105*D97+'Multimodel scenarios I&amp;M costs'!$E$47)</f>
        <v>4369457.0252422616</v>
      </c>
      <c r="O97">
        <f>(70*2.47105*D97+'Multimodel scenarios I&amp;M costs'!$E$53)</f>
        <v>269357.41641763662</v>
      </c>
      <c r="P97">
        <f>(450*2.47105*D97+'Multimodel scenarios I&amp;M costs'!$E$54)</f>
        <v>1716495.7084489311</v>
      </c>
      <c r="Q97">
        <f>(1700*2.47105*D97+'Multimodel scenarios I&amp;M costs'!$E$55)</f>
        <v>6472341.5483496375</v>
      </c>
    </row>
    <row r="98" spans="1:17" x14ac:dyDescent="0.25">
      <c r="A98">
        <v>97</v>
      </c>
      <c r="B98">
        <v>756.51915480000002</v>
      </c>
      <c r="C98">
        <v>1869.396657</v>
      </c>
      <c r="D98">
        <v>374.78</v>
      </c>
      <c r="E98">
        <v>4</v>
      </c>
      <c r="F98">
        <f>(5*D98+'Multimodel scenarios I&amp;M costs'!$F$25)*E98</f>
        <v>25007.434761480366</v>
      </c>
      <c r="G98">
        <f>(14.97*D98+'Multimodel scenarios I&amp;M costs'!$F$26)*E98</f>
        <v>60955.195124388483</v>
      </c>
      <c r="H98">
        <f>(24.96*D98+'Multimodel scenarios I&amp;M costs'!$F$27)*E98</f>
        <v>96671.949922092041</v>
      </c>
      <c r="I98">
        <f>(5*D98+'Multimodel scenarios I&amp;M costs'!$F$32)*E98</f>
        <v>33957.360020256237</v>
      </c>
      <c r="J98">
        <f>(14.97*D98+'Multimodel scenarios I&amp;M costs'!$F$33)*E98</f>
        <v>87804.9709007161</v>
      </c>
      <c r="K98">
        <f>(24.96*D98+'Multimodel scenarios I&amp;M costs'!$F$34)*E98</f>
        <v>141421.57621597138</v>
      </c>
      <c r="L98">
        <f>(70*2.47105*D98+'Multimodel scenarios I&amp;M costs'!$E$45)</f>
        <v>171497.10044145054</v>
      </c>
      <c r="M98">
        <f>(450*2.47105*D98+'Multimodel scenarios I&amp;M costs'!$E$46)</f>
        <v>1087393.6771734492</v>
      </c>
      <c r="N98">
        <f>(1700*2.47105*D98+'Multimodel scenarios I&amp;M costs'!$E$47)</f>
        <v>4095733.8746422622</v>
      </c>
      <c r="O98">
        <f>(70*2.47105*D98+'Multimodel scenarios I&amp;M costs'!$E$53)</f>
        <v>258086.46315763664</v>
      </c>
      <c r="P98">
        <f>(450*2.47105*D98+'Multimodel scenarios I&amp;M costs'!$E$54)</f>
        <v>1644039.580348931</v>
      </c>
      <c r="Q98">
        <f>(1700*2.47105*D98+'Multimodel scenarios I&amp;M costs'!$E$55)</f>
        <v>6198618.3977496382</v>
      </c>
    </row>
    <row r="99" spans="1:17" x14ac:dyDescent="0.25">
      <c r="A99">
        <v>98</v>
      </c>
      <c r="B99">
        <v>911.78539720000003</v>
      </c>
      <c r="C99">
        <v>2253.0673059999999</v>
      </c>
      <c r="D99">
        <v>374.78</v>
      </c>
      <c r="E99">
        <v>5</v>
      </c>
      <c r="F99">
        <f>(5*D99+'Multimodel scenarios I&amp;M costs'!$F$25)*E99</f>
        <v>31259.293451850459</v>
      </c>
      <c r="G99">
        <f>(14.97*D99+'Multimodel scenarios I&amp;M costs'!$F$26)*E99</f>
        <v>76193.993905485608</v>
      </c>
      <c r="H99">
        <f>(24.96*D99+'Multimodel scenarios I&amp;M costs'!$F$27)*E99</f>
        <v>120839.93740261505</v>
      </c>
      <c r="I99">
        <f>(5*D99+'Multimodel scenarios I&amp;M costs'!$F$32)*E99</f>
        <v>42446.7000253203</v>
      </c>
      <c r="J99">
        <f>(14.97*D99+'Multimodel scenarios I&amp;M costs'!$F$33)*E99</f>
        <v>109756.21362589512</v>
      </c>
      <c r="K99">
        <f>(24.96*D99+'Multimodel scenarios I&amp;M costs'!$F$34)*E99</f>
        <v>176776.97026996422</v>
      </c>
      <c r="L99">
        <f>(70*2.47105*D99+'Multimodel scenarios I&amp;M costs'!$E$45)</f>
        <v>171497.10044145054</v>
      </c>
      <c r="M99">
        <f>(450*2.47105*D99+'Multimodel scenarios I&amp;M costs'!$E$46)</f>
        <v>1087393.6771734492</v>
      </c>
      <c r="N99">
        <f>(1700*2.47105*D99+'Multimodel scenarios I&amp;M costs'!$E$47)</f>
        <v>4095733.8746422622</v>
      </c>
      <c r="O99">
        <f>(70*2.47105*D99+'Multimodel scenarios I&amp;M costs'!$E$53)</f>
        <v>258086.46315763664</v>
      </c>
      <c r="P99">
        <f>(450*2.47105*D99+'Multimodel scenarios I&amp;M costs'!$E$54)</f>
        <v>1644039.580348931</v>
      </c>
      <c r="Q99">
        <f>(1700*2.47105*D99+'Multimodel scenarios I&amp;M costs'!$E$55)</f>
        <v>6198618.3977496382</v>
      </c>
    </row>
    <row r="100" spans="1:17" x14ac:dyDescent="0.25">
      <c r="A100">
        <v>99</v>
      </c>
      <c r="B100">
        <v>7908.8159079999996</v>
      </c>
      <c r="C100">
        <v>19543.079549999999</v>
      </c>
      <c r="D100">
        <v>374.78</v>
      </c>
      <c r="E100">
        <v>39</v>
      </c>
      <c r="F100">
        <f>(5*D100+'Multimodel scenarios I&amp;M costs'!$F$25)*E100</f>
        <v>243822.48892443356</v>
      </c>
      <c r="G100">
        <f>(14.97*D100+'Multimodel scenarios I&amp;M costs'!$F$26)*E100</f>
        <v>594313.15246278769</v>
      </c>
      <c r="H100">
        <f>(24.96*D100+'Multimodel scenarios I&amp;M costs'!$F$27)*E100</f>
        <v>942551.51174039743</v>
      </c>
      <c r="I100">
        <f>(5*D100+'Multimodel scenarios I&amp;M costs'!$F$32)*E100</f>
        <v>331084.26019749831</v>
      </c>
      <c r="J100">
        <f>(14.97*D100+'Multimodel scenarios I&amp;M costs'!$F$33)*E100</f>
        <v>856098.46628198202</v>
      </c>
      <c r="K100">
        <f>(24.96*D100+'Multimodel scenarios I&amp;M costs'!$F$34)*E100</f>
        <v>1378860.368105721</v>
      </c>
      <c r="L100">
        <f>(70*2.47105*D100+'Multimodel scenarios I&amp;M costs'!$E$45)</f>
        <v>171497.10044145054</v>
      </c>
      <c r="M100">
        <f>(450*2.47105*D100+'Multimodel scenarios I&amp;M costs'!$E$46)</f>
        <v>1087393.6771734492</v>
      </c>
      <c r="N100">
        <f>(1700*2.47105*D100+'Multimodel scenarios I&amp;M costs'!$E$47)</f>
        <v>4095733.8746422622</v>
      </c>
      <c r="O100">
        <f>(70*2.47105*D100+'Multimodel scenarios I&amp;M costs'!$E$53)</f>
        <v>258086.46315763664</v>
      </c>
      <c r="P100">
        <f>(450*2.47105*D100+'Multimodel scenarios I&amp;M costs'!$E$54)</f>
        <v>1644039.580348931</v>
      </c>
      <c r="Q100">
        <f>(1700*2.47105*D100+'Multimodel scenarios I&amp;M costs'!$E$55)</f>
        <v>6198618.3977496382</v>
      </c>
    </row>
    <row r="101" spans="1:17" x14ac:dyDescent="0.25">
      <c r="A101">
        <v>100</v>
      </c>
      <c r="B101">
        <v>1756.1667210000001</v>
      </c>
      <c r="C101">
        <v>4339.5757750000002</v>
      </c>
      <c r="D101">
        <v>439.94</v>
      </c>
      <c r="E101">
        <v>9</v>
      </c>
      <c r="F101">
        <f>(5*D101+'Multimodel scenarios I&amp;M costs'!$F$25)*E101</f>
        <v>59198.92821333083</v>
      </c>
      <c r="G101">
        <f>(14.97*D101+'Multimodel scenarios I&amp;M costs'!$F$26)*E101</f>
        <v>145928.19582987411</v>
      </c>
      <c r="H101">
        <f>(24.96*D101+'Multimodel scenarios I&amp;M costs'!$F$27)*E101</f>
        <v>232149.42972470709</v>
      </c>
      <c r="I101">
        <f>(5*D101+'Multimodel scenarios I&amp;M costs'!$F$32)*E101</f>
        <v>79336.26004557652</v>
      </c>
      <c r="J101">
        <f>(14.97*D101+'Multimodel scenarios I&amp;M costs'!$F$33)*E101</f>
        <v>206340.19132661124</v>
      </c>
      <c r="K101">
        <f>(24.96*D101+'Multimodel scenarios I&amp;M costs'!$F$34)*E101</f>
        <v>332836.08888593561</v>
      </c>
      <c r="L101">
        <f>(70*2.47105*D101+'Multimodel scenarios I&amp;M costs'!$E$45)</f>
        <v>182768.05370145055</v>
      </c>
      <c r="M101">
        <f>(450*2.47105*D101+'Multimodel scenarios I&amp;M costs'!$E$46)</f>
        <v>1159849.805273449</v>
      </c>
      <c r="N101">
        <f>(1700*2.47105*D101+'Multimodel scenarios I&amp;M costs'!$E$47)</f>
        <v>4369457.0252422616</v>
      </c>
      <c r="O101">
        <f>(70*2.47105*D101+'Multimodel scenarios I&amp;M costs'!$E$53)</f>
        <v>269357.41641763662</v>
      </c>
      <c r="P101">
        <f>(450*2.47105*D101+'Multimodel scenarios I&amp;M costs'!$E$54)</f>
        <v>1716495.7084489311</v>
      </c>
      <c r="Q101">
        <f>(1700*2.47105*D101+'Multimodel scenarios I&amp;M costs'!$E$55)</f>
        <v>6472341.5483496375</v>
      </c>
    </row>
    <row r="102" spans="1:17" x14ac:dyDescent="0.25">
      <c r="A102">
        <v>101</v>
      </c>
      <c r="B102">
        <v>3544.205011</v>
      </c>
      <c r="C102">
        <v>8757.9077930000003</v>
      </c>
      <c r="D102">
        <v>374.78</v>
      </c>
      <c r="E102">
        <v>18</v>
      </c>
      <c r="F102">
        <f>(5*D102+'Multimodel scenarios I&amp;M costs'!$F$25)*E102</f>
        <v>112533.45642666165</v>
      </c>
      <c r="G102">
        <f>(14.97*D102+'Multimodel scenarios I&amp;M costs'!$F$26)*E102</f>
        <v>274298.37805974815</v>
      </c>
      <c r="H102">
        <f>(24.96*D102+'Multimodel scenarios I&amp;M costs'!$F$27)*E102</f>
        <v>435023.77464941418</v>
      </c>
      <c r="I102">
        <f>(5*D102+'Multimodel scenarios I&amp;M costs'!$F$32)*E102</f>
        <v>152808.12009115308</v>
      </c>
      <c r="J102">
        <f>(14.97*D102+'Multimodel scenarios I&amp;M costs'!$F$33)*E102</f>
        <v>395122.36905322247</v>
      </c>
      <c r="K102">
        <f>(24.96*D102+'Multimodel scenarios I&amp;M costs'!$F$34)*E102</f>
        <v>636397.09297187114</v>
      </c>
      <c r="L102">
        <f>(70*2.47105*D102+'Multimodel scenarios I&amp;M costs'!$E$45)</f>
        <v>171497.10044145054</v>
      </c>
      <c r="M102">
        <f>(450*2.47105*D102+'Multimodel scenarios I&amp;M costs'!$E$46)</f>
        <v>1087393.6771734492</v>
      </c>
      <c r="N102">
        <f>(1700*2.47105*D102+'Multimodel scenarios I&amp;M costs'!$E$47)</f>
        <v>4095733.8746422622</v>
      </c>
      <c r="O102">
        <f>(70*2.47105*D102+'Multimodel scenarios I&amp;M costs'!$E$53)</f>
        <v>258086.46315763664</v>
      </c>
      <c r="P102">
        <f>(450*2.47105*D102+'Multimodel scenarios I&amp;M costs'!$E$54)</f>
        <v>1644039.580348931</v>
      </c>
      <c r="Q102">
        <f>(1700*2.47105*D102+'Multimodel scenarios I&amp;M costs'!$E$55)</f>
        <v>6198618.3977496382</v>
      </c>
    </row>
    <row r="103" spans="1:17" x14ac:dyDescent="0.25">
      <c r="A103">
        <v>102</v>
      </c>
      <c r="B103">
        <v>755.80132419999995</v>
      </c>
      <c r="C103">
        <v>1867.6228619999999</v>
      </c>
      <c r="D103">
        <v>374.78</v>
      </c>
      <c r="E103">
        <v>4</v>
      </c>
      <c r="F103">
        <f>(5*D103+'Multimodel scenarios I&amp;M costs'!$F$25)*E103</f>
        <v>25007.434761480366</v>
      </c>
      <c r="G103">
        <f>(14.97*D103+'Multimodel scenarios I&amp;M costs'!$F$26)*E103</f>
        <v>60955.195124388483</v>
      </c>
      <c r="H103">
        <f>(24.96*D103+'Multimodel scenarios I&amp;M costs'!$F$27)*E103</f>
        <v>96671.949922092041</v>
      </c>
      <c r="I103">
        <f>(5*D103+'Multimodel scenarios I&amp;M costs'!$F$32)*E103</f>
        <v>33957.360020256237</v>
      </c>
      <c r="J103">
        <f>(14.97*D103+'Multimodel scenarios I&amp;M costs'!$F$33)*E103</f>
        <v>87804.9709007161</v>
      </c>
      <c r="K103">
        <f>(24.96*D103+'Multimodel scenarios I&amp;M costs'!$F$34)*E103</f>
        <v>141421.57621597138</v>
      </c>
      <c r="L103">
        <f>(70*2.47105*D103+'Multimodel scenarios I&amp;M costs'!$E$45)</f>
        <v>171497.10044145054</v>
      </c>
      <c r="M103">
        <f>(450*2.47105*D103+'Multimodel scenarios I&amp;M costs'!$E$46)</f>
        <v>1087393.6771734492</v>
      </c>
      <c r="N103">
        <f>(1700*2.47105*D103+'Multimodel scenarios I&amp;M costs'!$E$47)</f>
        <v>4095733.8746422622</v>
      </c>
      <c r="O103">
        <f>(70*2.47105*D103+'Multimodel scenarios I&amp;M costs'!$E$53)</f>
        <v>258086.46315763664</v>
      </c>
      <c r="P103">
        <f>(450*2.47105*D103+'Multimodel scenarios I&amp;M costs'!$E$54)</f>
        <v>1644039.580348931</v>
      </c>
      <c r="Q103">
        <f>(1700*2.47105*D103+'Multimodel scenarios I&amp;M costs'!$E$55)</f>
        <v>6198618.3977496382</v>
      </c>
    </row>
    <row r="104" spans="1:17" x14ac:dyDescent="0.25">
      <c r="A104">
        <v>103</v>
      </c>
      <c r="B104">
        <v>654.94645500000001</v>
      </c>
      <c r="C104">
        <v>1618.405438</v>
      </c>
      <c r="D104">
        <v>439.94</v>
      </c>
      <c r="E104">
        <v>3</v>
      </c>
      <c r="F104">
        <f>(5*D104+'Multimodel scenarios I&amp;M costs'!$F$25)*E104</f>
        <v>19732.976071110275</v>
      </c>
      <c r="G104">
        <f>(14.97*D104+'Multimodel scenarios I&amp;M costs'!$F$26)*E104</f>
        <v>48642.731943291365</v>
      </c>
      <c r="H104">
        <f>(24.96*D104+'Multimodel scenarios I&amp;M costs'!$F$27)*E104</f>
        <v>77383.143241569021</v>
      </c>
      <c r="I104">
        <f>(5*D104+'Multimodel scenarios I&amp;M costs'!$F$32)*E104</f>
        <v>26445.420015192176</v>
      </c>
      <c r="J104">
        <f>(14.97*D104+'Multimodel scenarios I&amp;M costs'!$F$33)*E104</f>
        <v>68780.063775537084</v>
      </c>
      <c r="K104">
        <f>(24.96*D104+'Multimodel scenarios I&amp;M costs'!$F$34)*E104</f>
        <v>110945.36296197854</v>
      </c>
      <c r="L104">
        <f>(70*2.47105*D104+'Multimodel scenarios I&amp;M costs'!$E$45)</f>
        <v>182768.05370145055</v>
      </c>
      <c r="M104">
        <f>(450*2.47105*D104+'Multimodel scenarios I&amp;M costs'!$E$46)</f>
        <v>1159849.805273449</v>
      </c>
      <c r="N104">
        <f>(1700*2.47105*D104+'Multimodel scenarios I&amp;M costs'!$E$47)</f>
        <v>4369457.0252422616</v>
      </c>
      <c r="O104">
        <f>(70*2.47105*D104+'Multimodel scenarios I&amp;M costs'!$E$53)</f>
        <v>269357.41641763662</v>
      </c>
      <c r="P104">
        <f>(450*2.47105*D104+'Multimodel scenarios I&amp;M costs'!$E$54)</f>
        <v>1716495.7084489311</v>
      </c>
      <c r="Q104">
        <f>(1700*2.47105*D104+'Multimodel scenarios I&amp;M costs'!$E$55)</f>
        <v>6472341.5483496375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Wetland budget, MPCA worksheet</vt:lpstr>
      <vt:lpstr>Pond budget, MPCA worksh </vt:lpstr>
      <vt:lpstr>Multimodel scenarios justific</vt:lpstr>
      <vt:lpstr>Multimodel scenarios I&amp;M costs</vt:lpstr>
      <vt:lpstr>new depth assumptions</vt:lpstr>
      <vt:lpstr>sub county geo intesect</vt:lpstr>
      <vt:lpstr>weighted critical pmt</vt:lpstr>
      <vt:lpstr>sub costs march18 depth assump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Sergey Rabotyagov</dc:creator>
  <cp:lastModifiedBy>Sergey Rabotyagov</cp:lastModifiedBy>
  <dcterms:created xsi:type="dcterms:W3CDTF">2017-10-09T17:43:52Z</dcterms:created>
  <dcterms:modified xsi:type="dcterms:W3CDTF">2018-03-20T21:42:48Z</dcterms:modified>
</cp:coreProperties>
</file>