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angzx\Desktop\github\DCM\data\"/>
    </mc:Choice>
  </mc:AlternateContent>
  <bookViews>
    <workbookView xWindow="-105" yWindow="-105" windowWidth="18000" windowHeight="10995" activeTab="3"/>
  </bookViews>
  <sheets>
    <sheet name="costassumption" sheetId="1" r:id="rId1"/>
    <sheet name="WetlandScenarios" sheetId="2" r:id="rId2"/>
    <sheet name="GrassedWaterway" sheetId="3" r:id="rId3"/>
    <sheet name="Buffer" sheetId="4" r:id="rId4"/>
  </sheets>
  <calcPr calcId="162913"/>
</workbook>
</file>

<file path=xl/calcChain.xml><?xml version="1.0" encoding="utf-8"?>
<calcChain xmlns="http://schemas.openxmlformats.org/spreadsheetml/2006/main">
  <c r="E6" i="3" l="1"/>
  <c r="E4" i="3"/>
  <c r="D5" i="3"/>
  <c r="E5" i="3" s="1"/>
  <c r="D6" i="3"/>
  <c r="D4" i="3"/>
  <c r="C5" i="3"/>
  <c r="C6" i="3"/>
  <c r="C4" i="3"/>
  <c r="C3" i="4"/>
  <c r="D3" i="4" s="1"/>
  <c r="C4" i="4"/>
  <c r="D4" i="4" s="1"/>
  <c r="C2" i="4"/>
  <c r="D2" i="4" s="1"/>
  <c r="E16" i="2" l="1"/>
  <c r="E17" i="2"/>
  <c r="E18" i="2"/>
  <c r="E19" i="2"/>
  <c r="E20" i="2"/>
  <c r="E15" i="2"/>
  <c r="E4" i="2"/>
  <c r="E5" i="2"/>
  <c r="E6" i="2"/>
  <c r="E7" i="2"/>
  <c r="E8" i="2"/>
  <c r="E9" i="2"/>
  <c r="E10" i="2"/>
  <c r="E3" i="2"/>
  <c r="S4" i="1"/>
  <c r="H7" i="1"/>
  <c r="O7" i="1"/>
  <c r="O3" i="1"/>
  <c r="N5" i="1"/>
  <c r="O5" i="1" s="1"/>
  <c r="N4" i="1"/>
  <c r="N8" i="1" l="1"/>
  <c r="O8" i="1" l="1"/>
  <c r="N9" i="1"/>
  <c r="N10" i="1" s="1"/>
  <c r="O10" i="1" s="1"/>
  <c r="J22" i="1" l="1"/>
  <c r="J23" i="1"/>
  <c r="J24" i="1"/>
  <c r="J25" i="1"/>
  <c r="J26" i="1"/>
  <c r="J27" i="1"/>
  <c r="J28" i="1"/>
  <c r="J21" i="1"/>
  <c r="J12" i="1"/>
  <c r="J13" i="1"/>
  <c r="J8" i="1"/>
  <c r="J29" i="1" l="1"/>
  <c r="J30" i="1" s="1"/>
  <c r="E10" i="1"/>
  <c r="F10" i="1" s="1"/>
  <c r="J19" i="1"/>
  <c r="J18" i="1"/>
  <c r="J16" i="1"/>
  <c r="J15" i="1"/>
  <c r="I10" i="1"/>
  <c r="J10" i="1" s="1"/>
  <c r="J5" i="1"/>
  <c r="J4" i="1"/>
  <c r="J3" i="1"/>
  <c r="J2" i="1"/>
  <c r="I7" i="1"/>
  <c r="J7" i="1" s="1"/>
  <c r="E7" i="1"/>
  <c r="F7" i="1" s="1"/>
  <c r="F3" i="1"/>
  <c r="F4" i="1"/>
  <c r="F5" i="1"/>
  <c r="F8" i="1"/>
  <c r="F12" i="1"/>
  <c r="F13" i="1"/>
  <c r="F15" i="1"/>
  <c r="F16" i="1"/>
  <c r="F18" i="1"/>
  <c r="F19" i="1"/>
  <c r="F2" i="1"/>
  <c r="F22" i="1"/>
  <c r="F23" i="1"/>
  <c r="F24" i="1"/>
  <c r="F25" i="1"/>
  <c r="F26" i="1"/>
  <c r="F27" i="1"/>
  <c r="F28" i="1"/>
  <c r="F21" i="1"/>
  <c r="E17" i="1"/>
  <c r="F17" i="1" s="1"/>
  <c r="E9" i="1"/>
  <c r="F9" i="1" s="1"/>
  <c r="S21" i="1"/>
  <c r="T7" i="1"/>
  <c r="S5" i="1"/>
  <c r="S8" i="1" s="1"/>
  <c r="T3" i="1"/>
  <c r="F29" i="1" l="1"/>
  <c r="F30" i="1" s="1"/>
  <c r="F32" i="1" s="1"/>
  <c r="F34" i="1" s="1"/>
  <c r="S9" i="1"/>
  <c r="T8" i="1"/>
  <c r="T5" i="1"/>
  <c r="S10" i="1" l="1"/>
  <c r="I17" i="1"/>
  <c r="J17" i="1" s="1"/>
  <c r="F37" i="1"/>
  <c r="F35" i="1"/>
  <c r="T10" i="1" l="1"/>
  <c r="I9" i="1"/>
  <c r="J9" i="1" l="1"/>
  <c r="J32" i="1" s="1"/>
  <c r="J34" i="1" s="1"/>
  <c r="J37" i="1" l="1"/>
  <c r="J35" i="1"/>
</calcChain>
</file>

<file path=xl/comments1.xml><?xml version="1.0" encoding="utf-8"?>
<comments xmlns="http://schemas.openxmlformats.org/spreadsheetml/2006/main">
  <authors>
    <author>Sergey Rabotyagov</author>
  </authors>
  <commentList>
    <comment ref="R29" authorId="0" shapeId="0">
      <text>
        <r>
          <rPr>
            <b/>
            <sz val="9"/>
            <color indexed="81"/>
            <rFont val="Tahoma"/>
            <family val="2"/>
          </rPr>
          <t>Sergey Rabotyagov:</t>
        </r>
        <r>
          <rPr>
            <sz val="9"/>
            <color indexed="81"/>
            <rFont val="Tahoma"/>
            <family val="2"/>
          </rPr>
          <t xml:space="preserve">
from Christianson http://www.sciencedirect.com/science/article/pii/S2212428413000194 
Also, over the life of a wetland, sediment removal and earthwork maintenance would be required, though those costs are not incorporated in this analysis because their timing would be difficult to estimate and may occur at greater than the 50 year planning horizon.
</t>
        </r>
      </text>
    </comment>
  </commentList>
</comments>
</file>

<file path=xl/sharedStrings.xml><?xml version="1.0" encoding="utf-8"?>
<sst xmlns="http://schemas.openxmlformats.org/spreadsheetml/2006/main" count="188" uniqueCount="139">
  <si>
    <t>Categories</t>
  </si>
  <si>
    <t>Parameters</t>
  </si>
  <si>
    <t>Desciption</t>
  </si>
  <si>
    <t>dollar_per_unit_or_vist</t>
  </si>
  <si>
    <t>Site preparation (SP)</t>
  </si>
  <si>
    <t>SP_TreeRMV_each</t>
  </si>
  <si>
    <t>Tree removal - up to 12" diameter</t>
  </si>
  <si>
    <t>SP_Clear_sqy</t>
  </si>
  <si>
    <t>Clear and grub brush</t>
  </si>
  <si>
    <t>SP_TreeProt_m</t>
  </si>
  <si>
    <t>Tree protection - temp. fence</t>
  </si>
  <si>
    <t>SP_Topsoil_sqy_m</t>
  </si>
  <si>
    <t>Topsoil - 6" depth, salvage on site</t>
  </si>
  <si>
    <t>Site Formation (SF)</t>
  </si>
  <si>
    <t>SF_Exc_sqy_m</t>
  </si>
  <si>
    <t>Excavation - deep zone- 8' depth</t>
  </si>
  <si>
    <t>SF_Exc_mash_sqy_m</t>
  </si>
  <si>
    <t>Excavation - marsh zone</t>
  </si>
  <si>
    <t>SF_Grad_sqy</t>
  </si>
  <si>
    <t>Grading</t>
  </si>
  <si>
    <t>SF_Haul_sqy_m</t>
  </si>
  <si>
    <t>Hauling off-site - 5' depth</t>
  </si>
  <si>
    <t>Struture Componets(SC)</t>
  </si>
  <si>
    <t>SC_Inlet_each</t>
  </si>
  <si>
    <t>Inlet structure</t>
  </si>
  <si>
    <t>SC_Outlet_each</t>
  </si>
  <si>
    <t>Outlet structure</t>
  </si>
  <si>
    <t>Site Restoration(SR)</t>
  </si>
  <si>
    <t>SR_Sod_sqy</t>
  </si>
  <si>
    <t>Sod - above vegetative bench</t>
  </si>
  <si>
    <t>SR_Soil_sqy</t>
  </si>
  <si>
    <t>Soil preparation</t>
  </si>
  <si>
    <t>SR_Seed_sqy</t>
  </si>
  <si>
    <t>Seeding - vegetative bench</t>
  </si>
  <si>
    <t>SR_Plant_sqy</t>
  </si>
  <si>
    <t>Planting</t>
  </si>
  <si>
    <t>SR_Mulch_sqy</t>
  </si>
  <si>
    <t>Mulch</t>
  </si>
  <si>
    <t>annual_operation_maintenance(AOM)</t>
  </si>
  <si>
    <t>AOM_Debris_visit</t>
  </si>
  <si>
    <t>Debris removal</t>
  </si>
  <si>
    <t>AOM_Invasiv_visit</t>
  </si>
  <si>
    <t>Remove invasive plants</t>
  </si>
  <si>
    <t>AOM_Replant_plant</t>
  </si>
  <si>
    <t>Replant wetland vegetation</t>
  </si>
  <si>
    <t>AOM_Repair_sqy</t>
  </si>
  <si>
    <t>Repair erosion</t>
  </si>
  <si>
    <t>AOM_SedR_cubicy</t>
  </si>
  <si>
    <t>Sediment removal and disposal</t>
  </si>
  <si>
    <t>AOM_Mow_visit</t>
  </si>
  <si>
    <t>Mow</t>
  </si>
  <si>
    <t>AOM_Gate_visit</t>
  </si>
  <si>
    <t>Gate / valve operation</t>
  </si>
  <si>
    <t>AOM_Inspection_visit</t>
  </si>
  <si>
    <t>Inspection</t>
  </si>
  <si>
    <t>Pond (deeper, depth up to 8 ft) input assumptions</t>
  </si>
  <si>
    <t>Surface area (ha)</t>
  </si>
  <si>
    <t>Excavation depth (ft)</t>
  </si>
  <si>
    <t>Estimated basin radius, m</t>
  </si>
  <si>
    <t>Buffer width (see CAD docs), ft</t>
  </si>
  <si>
    <t>Buffer length, m</t>
  </si>
  <si>
    <t>Buffer area, ha</t>
  </si>
  <si>
    <t>Total area, ha</t>
  </si>
  <si>
    <t>Excavation required? 1 if yes, 0 if use existing depressions</t>
  </si>
  <si>
    <t>Tree removal? 0 for no, 1 for yes</t>
  </si>
  <si>
    <t>Fence required? 0 for no, 1 for yes</t>
  </si>
  <si>
    <t>Brush clearing required? 0 for no, 1 for yes</t>
  </si>
  <si>
    <t>Topsoil salvage required? 0 for no, 1 for yes</t>
  </si>
  <si>
    <t>Hauling required? 0 for no, 1 for yes</t>
  </si>
  <si>
    <t>Grading required? = Excavation value</t>
  </si>
  <si>
    <t>Sod required? 0 for no, 1 for yes</t>
  </si>
  <si>
    <t>Planting required (besides seeding)? 0 for no, 1 for yes</t>
  </si>
  <si>
    <t>Soil preparation required? 0 for no, 1 for yes</t>
  </si>
  <si>
    <t>Mulch required? 0 for no, 1 for yes</t>
  </si>
  <si>
    <t>Operation frequency assumptions, year^-1</t>
  </si>
  <si>
    <t>Invasive plant removal</t>
  </si>
  <si>
    <t>Sediment removal</t>
  </si>
  <si>
    <t>Erosion repair</t>
  </si>
  <si>
    <t>Gate/valve operation</t>
  </si>
  <si>
    <t>Mowing (10% of buffer area, per Christianson et al 2013 WRE)</t>
  </si>
  <si>
    <t>Financial assumptions</t>
  </si>
  <si>
    <t>Wetland lifetime, years (from Roley et al., 2016 WRE)</t>
  </si>
  <si>
    <t>Real discount rate (see ref. 51 in Roley)</t>
  </si>
  <si>
    <t>(1.9% in Roley et al 2016, based on Federal water projects guidance)</t>
  </si>
  <si>
    <t>Wetland (shallow, depth up to 1 m) input assumptions</t>
  </si>
  <si>
    <t>Excavation depth, m</t>
  </si>
  <si>
    <t>m</t>
  </si>
  <si>
    <t>acres</t>
  </si>
  <si>
    <t>meters</t>
  </si>
  <si>
    <t>ft</t>
  </si>
  <si>
    <t>TOTAL ANNUAL O&amp;M COST</t>
  </si>
  <si>
    <t>TOTAL NPV of O&amp;M cost</t>
  </si>
  <si>
    <t>Total present value of installation and maintenance costs (TPVC)</t>
  </si>
  <si>
    <t>Capital recovery factor</t>
  </si>
  <si>
    <t xml:space="preserve">Total annualized cost </t>
  </si>
  <si>
    <t>Total annualized cost, TPVC*CRF, $/acre</t>
  </si>
  <si>
    <t>Total annualized cost, TPVC*CRF, $/h</t>
  </si>
  <si>
    <t>Cost_Pond</t>
  </si>
  <si>
    <t>Unit_Pond</t>
  </si>
  <si>
    <t>Unit_Wetland</t>
  </si>
  <si>
    <t>Cost_Wetland</t>
  </si>
  <si>
    <t>Charging 0.5 m for shallow (marsh) isolated wetlands,</t>
  </si>
  <si>
    <t>Charging 1.5 m excavation for deep (pond) isolated wetlands,</t>
  </si>
  <si>
    <t>Charging 1 m for shallow in-channel wetlands and</t>
  </si>
  <si>
    <t>Charging 2 m for deep in-channel wetlands</t>
  </si>
  <si>
    <t>Lake, 50 ha</t>
  </si>
  <si>
    <t>Lake, 500 ha</t>
  </si>
  <si>
    <t>Lake, 1000 ha</t>
  </si>
  <si>
    <t>Lake, 2000 ha</t>
  </si>
  <si>
    <t>Marsh, 50 ha</t>
  </si>
  <si>
    <t>Marsh, 500 ha</t>
  </si>
  <si>
    <t>Marsh, 1000 ha</t>
  </si>
  <si>
    <t>Marsh, 2000 ha</t>
  </si>
  <si>
    <t>Fluvial wetland</t>
  </si>
  <si>
    <t>Depth</t>
  </si>
  <si>
    <t>Depth (m)</t>
  </si>
  <si>
    <t>Area</t>
  </si>
  <si>
    <t>Isolated wetland</t>
  </si>
  <si>
    <t>Pond, small</t>
  </si>
  <si>
    <t>Pond, medium</t>
  </si>
  <si>
    <t>Pond, large</t>
  </si>
  <si>
    <t>Marsh, small</t>
  </si>
  <si>
    <t>Marsh, medium</t>
  </si>
  <si>
    <t>Marsh, large</t>
  </si>
  <si>
    <t>Cost/ha</t>
  </si>
  <si>
    <t>Cost/acre</t>
  </si>
  <si>
    <t>Grassed Waterway lifetime</t>
  </si>
  <si>
    <t xml:space="preserve">Real discount rate </t>
  </si>
  <si>
    <t>Iowa</t>
  </si>
  <si>
    <t>Minnesota</t>
  </si>
  <si>
    <t>South Dakota</t>
  </si>
  <si>
    <t xml:space="preserve">Maintenance ($/year) </t>
  </si>
  <si>
    <t>Total Cost</t>
  </si>
  <si>
    <t>State</t>
  </si>
  <si>
    <t>Total</t>
  </si>
  <si>
    <t>Initial:Buffer_herbaceous($/acre)</t>
  </si>
  <si>
    <t>Annualized ($/acre)</t>
  </si>
  <si>
    <t xml:space="preserve"> Scenario Total Cost</t>
  </si>
  <si>
    <t>Initial Cost($/acre)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</si>
</sst>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9"/>
      <color indexed="81"/>
      <name val="Tahoma"/>
      <family val="2"/>
    </font>
    <font>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0" fillId="33" borderId="0" xfId="0" applyFill="1"/>
    <xf numFmtId="8" fontId="0" fillId="33" borderId="0" xfId="0" applyNumberFormat="1" applyFill="1"/>
    <xf numFmtId="0" fontId="0" fillId="34" borderId="0" xfId="0" applyFill="1"/>
    <xf numFmtId="8" fontId="0" fillId="34" borderId="0" xfId="0" applyNumberFormat="1" applyFill="1"/>
    <xf numFmtId="0" fontId="0" fillId="0" borderId="10" xfId="0" applyBorder="1"/>
    <xf numFmtId="8" fontId="0" fillId="0" borderId="0" xfId="0" applyNumberFormat="1"/>
    <xf numFmtId="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7"/>
  <sheetViews>
    <sheetView topLeftCell="F13" workbookViewId="0">
      <selection activeCell="J30" sqref="J30"/>
    </sheetView>
  </sheetViews>
  <sheetFormatPr defaultRowHeight="15" x14ac:dyDescent="0.25"/>
  <cols>
    <col min="1" max="1" width="12.140625" customWidth="1"/>
    <col min="2" max="2" width="21.85546875" customWidth="1"/>
    <col min="3" max="3" width="27.7109375" customWidth="1"/>
    <col min="4" max="4" width="23.5703125" customWidth="1"/>
    <col min="5" max="5" width="17" style="2" customWidth="1"/>
    <col min="6" max="6" width="15.28515625" style="2" customWidth="1"/>
    <col min="8" max="8" width="23.5703125" customWidth="1"/>
    <col min="9" max="9" width="15.7109375" style="4" customWidth="1"/>
    <col min="10" max="10" width="17.5703125" style="4" customWidth="1"/>
    <col min="13" max="13" width="28.5703125" customWidth="1"/>
    <col min="14" max="14" width="14.5703125" customWidth="1"/>
    <col min="18" max="18" width="36.28515625" customWidth="1"/>
  </cols>
  <sheetData>
    <row r="1" spans="1:21" x14ac:dyDescent="0.25">
      <c r="A1" t="s">
        <v>0</v>
      </c>
      <c r="B1" t="s">
        <v>1</v>
      </c>
      <c r="C1" t="s">
        <v>2</v>
      </c>
      <c r="D1" s="2" t="s">
        <v>3</v>
      </c>
      <c r="E1" s="2" t="s">
        <v>98</v>
      </c>
      <c r="F1" s="2" t="s">
        <v>97</v>
      </c>
      <c r="H1" s="4" t="s">
        <v>3</v>
      </c>
      <c r="I1" s="4" t="s">
        <v>99</v>
      </c>
      <c r="J1" s="4" t="s">
        <v>100</v>
      </c>
      <c r="M1" s="2" t="s">
        <v>55</v>
      </c>
      <c r="R1" s="4" t="s">
        <v>84</v>
      </c>
    </row>
    <row r="2" spans="1:21" x14ac:dyDescent="0.25">
      <c r="A2" t="s">
        <v>4</v>
      </c>
      <c r="B2" t="s">
        <v>5</v>
      </c>
      <c r="C2" t="s">
        <v>6</v>
      </c>
      <c r="D2" s="2">
        <v>350</v>
      </c>
      <c r="E2" s="2">
        <v>0</v>
      </c>
      <c r="F2" s="2">
        <f>D2*E2</f>
        <v>0</v>
      </c>
      <c r="H2" s="4">
        <v>350</v>
      </c>
      <c r="I2" s="4">
        <v>0</v>
      </c>
      <c r="J2" s="4">
        <f>H2*I2</f>
        <v>0</v>
      </c>
    </row>
    <row r="3" spans="1:21" x14ac:dyDescent="0.25">
      <c r="B3" t="s">
        <v>7</v>
      </c>
      <c r="C3" t="s">
        <v>8</v>
      </c>
      <c r="D3" s="2">
        <v>1.5</v>
      </c>
      <c r="E3" s="2">
        <v>0</v>
      </c>
      <c r="F3" s="2">
        <f t="shared" ref="F3:F19" si="0">D3*E3</f>
        <v>0</v>
      </c>
      <c r="H3" s="4">
        <v>1.5</v>
      </c>
      <c r="I3" s="4">
        <v>0</v>
      </c>
      <c r="J3" s="4">
        <f t="shared" ref="J3:J5" si="1">H3*I3</f>
        <v>0</v>
      </c>
      <c r="M3" t="s">
        <v>56</v>
      </c>
      <c r="N3" s="6">
        <v>450</v>
      </c>
      <c r="O3">
        <f>2.47105*N3</f>
        <v>1111.9725000000001</v>
      </c>
      <c r="P3" t="s">
        <v>87</v>
      </c>
      <c r="R3" t="s">
        <v>56</v>
      </c>
      <c r="S3" s="6">
        <v>1000</v>
      </c>
      <c r="T3">
        <f>2.47105*S3</f>
        <v>2471.0500000000002</v>
      </c>
      <c r="U3" t="s">
        <v>87</v>
      </c>
    </row>
    <row r="4" spans="1:21" x14ac:dyDescent="0.25">
      <c r="B4" t="s">
        <v>9</v>
      </c>
      <c r="C4" t="s">
        <v>10</v>
      </c>
      <c r="D4" s="2">
        <v>9.84</v>
      </c>
      <c r="E4" s="2">
        <v>0</v>
      </c>
      <c r="F4" s="2">
        <f t="shared" si="0"/>
        <v>0</v>
      </c>
      <c r="H4" s="4">
        <v>9.84</v>
      </c>
      <c r="I4" s="4">
        <v>0</v>
      </c>
      <c r="J4" s="4">
        <f t="shared" si="1"/>
        <v>0</v>
      </c>
      <c r="M4" t="s">
        <v>57</v>
      </c>
      <c r="N4">
        <f>3.28084*O4</f>
        <v>4.9212600000000002</v>
      </c>
      <c r="O4" s="6">
        <v>1.5</v>
      </c>
      <c r="P4" t="s">
        <v>88</v>
      </c>
      <c r="R4" t="s">
        <v>85</v>
      </c>
      <c r="S4">
        <f>3.28084*T4</f>
        <v>3.28084</v>
      </c>
      <c r="T4" s="6">
        <v>1</v>
      </c>
      <c r="U4" t="s">
        <v>86</v>
      </c>
    </row>
    <row r="5" spans="1:21" x14ac:dyDescent="0.25">
      <c r="B5" t="s">
        <v>11</v>
      </c>
      <c r="C5" t="s">
        <v>12</v>
      </c>
      <c r="D5" s="2">
        <v>29.5275</v>
      </c>
      <c r="E5" s="2">
        <v>0</v>
      </c>
      <c r="F5" s="2">
        <f t="shared" si="0"/>
        <v>0</v>
      </c>
      <c r="H5" s="4">
        <v>29.5275</v>
      </c>
      <c r="I5" s="4">
        <v>0</v>
      </c>
      <c r="J5" s="4">
        <f t="shared" si="1"/>
        <v>0</v>
      </c>
      <c r="M5" t="s">
        <v>58</v>
      </c>
      <c r="N5">
        <f>SQRT(N3*10000/PI())</f>
        <v>1196.826841204298</v>
      </c>
      <c r="O5">
        <f>3.28084*N5</f>
        <v>3926.5973736967089</v>
      </c>
      <c r="P5" t="s">
        <v>89</v>
      </c>
      <c r="R5" t="s">
        <v>58</v>
      </c>
      <c r="S5">
        <f>SQRT(S3*10000/PI())</f>
        <v>1784.1241161527712</v>
      </c>
      <c r="T5">
        <f>3.28084*S5</f>
        <v>5853.4257652386577</v>
      </c>
      <c r="U5" t="s">
        <v>89</v>
      </c>
    </row>
    <row r="6" spans="1:21" x14ac:dyDescent="0.25">
      <c r="D6" s="2"/>
      <c r="H6" s="4"/>
    </row>
    <row r="7" spans="1:21" x14ac:dyDescent="0.25">
      <c r="A7" t="s">
        <v>13</v>
      </c>
      <c r="B7" t="s">
        <v>14</v>
      </c>
      <c r="C7" t="s">
        <v>15</v>
      </c>
      <c r="D7" s="2">
        <v>4.0999999999999996</v>
      </c>
      <c r="E7" s="2">
        <f>0.5625* 10000*N3</f>
        <v>2531250</v>
      </c>
      <c r="F7" s="2">
        <f>D7*E7*O4*N13</f>
        <v>15567187.5</v>
      </c>
      <c r="H7" s="4">
        <f>2.63*O4</f>
        <v>3.9449999999999998</v>
      </c>
      <c r="I7" s="4">
        <f>0.5625*10000*S3</f>
        <v>5625000</v>
      </c>
      <c r="J7" s="4">
        <f>H7*I7</f>
        <v>22190625</v>
      </c>
      <c r="M7" t="s">
        <v>59</v>
      </c>
      <c r="N7">
        <v>25</v>
      </c>
      <c r="O7">
        <f>0.3048*N7</f>
        <v>7.62</v>
      </c>
      <c r="P7" t="s">
        <v>86</v>
      </c>
      <c r="R7" t="s">
        <v>59</v>
      </c>
      <c r="S7">
        <v>25</v>
      </c>
      <c r="T7">
        <f>0.3048*S7</f>
        <v>7.62</v>
      </c>
      <c r="U7" t="s">
        <v>86</v>
      </c>
    </row>
    <row r="8" spans="1:21" x14ac:dyDescent="0.25">
      <c r="B8" t="s">
        <v>16</v>
      </c>
      <c r="C8" t="s">
        <v>17</v>
      </c>
      <c r="D8" s="2">
        <v>1</v>
      </c>
      <c r="E8" s="2">
        <v>0</v>
      </c>
      <c r="F8" s="2">
        <f t="shared" si="0"/>
        <v>0</v>
      </c>
      <c r="H8" s="4">
        <v>1</v>
      </c>
      <c r="I8" s="4">
        <v>0</v>
      </c>
      <c r="J8" s="4">
        <f>H8*I8</f>
        <v>0</v>
      </c>
      <c r="M8" t="s">
        <v>60</v>
      </c>
      <c r="N8">
        <f>2*PI()*N5</f>
        <v>7519.8848238930013</v>
      </c>
      <c r="O8">
        <f>3.28084*N8</f>
        <v>24671.538925621113</v>
      </c>
      <c r="P8" t="s">
        <v>89</v>
      </c>
      <c r="R8" t="s">
        <v>60</v>
      </c>
      <c r="S8">
        <f>2*PI()*S5</f>
        <v>11209.982432795858</v>
      </c>
      <c r="T8">
        <f>3.28084*S8</f>
        <v>36778.158764813961</v>
      </c>
      <c r="U8" t="s">
        <v>89</v>
      </c>
    </row>
    <row r="9" spans="1:21" x14ac:dyDescent="0.25">
      <c r="B9" t="s">
        <v>18</v>
      </c>
      <c r="C9" t="s">
        <v>19</v>
      </c>
      <c r="D9" s="2">
        <v>1.5</v>
      </c>
      <c r="E9" s="2">
        <f>11959.9 * N10 * N21</f>
        <v>5450487.0477250218</v>
      </c>
      <c r="F9" s="2">
        <f t="shared" si="0"/>
        <v>8175730.5715875328</v>
      </c>
      <c r="H9" s="4">
        <v>1.5</v>
      </c>
      <c r="I9" s="4">
        <f>11595* S10</f>
        <v>11694044.5666869</v>
      </c>
      <c r="J9" s="4">
        <f>H9*I9</f>
        <v>17541066.850030351</v>
      </c>
      <c r="M9" t="s">
        <v>61</v>
      </c>
      <c r="N9">
        <f>0.0001*N8*O7</f>
        <v>5.7301522358064672</v>
      </c>
      <c r="R9" t="s">
        <v>61</v>
      </c>
      <c r="S9">
        <f>0.0001*S8*T7</f>
        <v>8.5420066137904431</v>
      </c>
    </row>
    <row r="10" spans="1:21" x14ac:dyDescent="0.25">
      <c r="B10" t="s">
        <v>20</v>
      </c>
      <c r="C10" t="s">
        <v>21</v>
      </c>
      <c r="D10" s="2">
        <v>3.2810000000000001</v>
      </c>
      <c r="E10" s="2">
        <f>0.5625* 10000*N3</f>
        <v>2531250</v>
      </c>
      <c r="F10" s="2">
        <f>D10*E10</f>
        <v>8305031.25</v>
      </c>
      <c r="H10" s="4">
        <v>3.2810000000000001</v>
      </c>
      <c r="I10" s="4">
        <f>0.5625*10000*S3</f>
        <v>5625000</v>
      </c>
      <c r="J10" s="4">
        <f>H10*I10</f>
        <v>18455625</v>
      </c>
      <c r="M10" t="s">
        <v>62</v>
      </c>
      <c r="N10" s="6">
        <f>N3+N9</f>
        <v>455.73015223580649</v>
      </c>
      <c r="O10">
        <f>2.47105*N10</f>
        <v>1126.1319926822896</v>
      </c>
      <c r="P10" t="s">
        <v>87</v>
      </c>
      <c r="R10" t="s">
        <v>62</v>
      </c>
      <c r="S10" s="6">
        <f>S3+S9</f>
        <v>1008.5420066137905</v>
      </c>
      <c r="T10">
        <f>2.47105*S10</f>
        <v>2492.1577254430067</v>
      </c>
      <c r="U10" t="s">
        <v>87</v>
      </c>
    </row>
    <row r="11" spans="1:21" x14ac:dyDescent="0.25">
      <c r="D11" s="2"/>
      <c r="H11" s="4"/>
    </row>
    <row r="12" spans="1:21" x14ac:dyDescent="0.25">
      <c r="A12" t="s">
        <v>22</v>
      </c>
      <c r="B12" t="s">
        <v>23</v>
      </c>
      <c r="C12" t="s">
        <v>24</v>
      </c>
      <c r="D12" s="2">
        <v>2000</v>
      </c>
      <c r="E12" s="2">
        <v>1</v>
      </c>
      <c r="F12" s="2">
        <f t="shared" si="0"/>
        <v>2000</v>
      </c>
      <c r="H12" s="4">
        <v>2000</v>
      </c>
      <c r="I12" s="4">
        <v>1</v>
      </c>
      <c r="J12" s="4">
        <f t="shared" ref="J12:J13" si="2">H12*I12</f>
        <v>2000</v>
      </c>
    </row>
    <row r="13" spans="1:21" x14ac:dyDescent="0.25">
      <c r="B13" t="s">
        <v>25</v>
      </c>
      <c r="C13" t="s">
        <v>26</v>
      </c>
      <c r="D13" s="2">
        <v>3500</v>
      </c>
      <c r="E13" s="2">
        <v>1</v>
      </c>
      <c r="F13" s="2">
        <f t="shared" si="0"/>
        <v>3500</v>
      </c>
      <c r="H13" s="4">
        <v>3500</v>
      </c>
      <c r="I13" s="4">
        <v>1</v>
      </c>
      <c r="J13" s="4">
        <f t="shared" si="2"/>
        <v>3500</v>
      </c>
      <c r="M13" t="s">
        <v>63</v>
      </c>
      <c r="N13" s="6">
        <v>1</v>
      </c>
      <c r="R13" t="s">
        <v>63</v>
      </c>
      <c r="S13" s="6">
        <v>1</v>
      </c>
    </row>
    <row r="14" spans="1:21" x14ac:dyDescent="0.25">
      <c r="D14" s="2"/>
      <c r="H14" s="4"/>
    </row>
    <row r="15" spans="1:21" x14ac:dyDescent="0.25">
      <c r="A15" t="s">
        <v>27</v>
      </c>
      <c r="B15" t="s">
        <v>28</v>
      </c>
      <c r="C15" t="s">
        <v>29</v>
      </c>
      <c r="D15" s="2">
        <v>4.5</v>
      </c>
      <c r="E15" s="2">
        <v>0</v>
      </c>
      <c r="F15" s="2">
        <f t="shared" si="0"/>
        <v>0</v>
      </c>
      <c r="H15" s="4">
        <v>4.5</v>
      </c>
      <c r="I15" s="4">
        <v>0</v>
      </c>
      <c r="J15" s="4">
        <f t="shared" ref="J15:J17" si="3">H15*I15</f>
        <v>0</v>
      </c>
      <c r="M15" t="s">
        <v>64</v>
      </c>
      <c r="N15">
        <v>0</v>
      </c>
      <c r="R15" t="s">
        <v>64</v>
      </c>
      <c r="S15">
        <v>0</v>
      </c>
    </row>
    <row r="16" spans="1:21" x14ac:dyDescent="0.25">
      <c r="B16" t="s">
        <v>30</v>
      </c>
      <c r="C16" t="s">
        <v>31</v>
      </c>
      <c r="D16" s="2">
        <v>25</v>
      </c>
      <c r="E16" s="2">
        <v>0</v>
      </c>
      <c r="F16" s="2">
        <f t="shared" si="0"/>
        <v>0</v>
      </c>
      <c r="H16" s="4">
        <v>25</v>
      </c>
      <c r="I16" s="4">
        <v>0</v>
      </c>
      <c r="J16" s="4">
        <f t="shared" si="3"/>
        <v>0</v>
      </c>
      <c r="M16" t="s">
        <v>65</v>
      </c>
      <c r="N16">
        <v>0</v>
      </c>
      <c r="R16" t="s">
        <v>65</v>
      </c>
      <c r="S16">
        <v>0</v>
      </c>
    </row>
    <row r="17" spans="1:19" x14ac:dyDescent="0.25">
      <c r="B17" t="s">
        <v>32</v>
      </c>
      <c r="C17" t="s">
        <v>33</v>
      </c>
      <c r="D17" s="2">
        <v>0.5</v>
      </c>
      <c r="E17" s="2">
        <f>11959.9*N9</f>
        <v>68532.047725021766</v>
      </c>
      <c r="F17" s="2">
        <f t="shared" si="0"/>
        <v>34266.023862510883</v>
      </c>
      <c r="H17" s="4">
        <v>0.5</v>
      </c>
      <c r="I17" s="4">
        <f>11595*S9</f>
        <v>99044.566686900187</v>
      </c>
      <c r="J17" s="4">
        <f t="shared" si="3"/>
        <v>49522.283343450094</v>
      </c>
      <c r="M17" t="s">
        <v>66</v>
      </c>
      <c r="N17">
        <v>0</v>
      </c>
      <c r="R17" t="s">
        <v>66</v>
      </c>
      <c r="S17">
        <v>0</v>
      </c>
    </row>
    <row r="18" spans="1:19" x14ac:dyDescent="0.25">
      <c r="B18" t="s">
        <v>34</v>
      </c>
      <c r="C18" t="s">
        <v>35</v>
      </c>
      <c r="D18" s="2">
        <v>30</v>
      </c>
      <c r="E18" s="2">
        <v>0</v>
      </c>
      <c r="F18" s="2">
        <f t="shared" si="0"/>
        <v>0</v>
      </c>
      <c r="H18" s="4">
        <v>30</v>
      </c>
      <c r="I18" s="4">
        <v>0</v>
      </c>
      <c r="J18" s="4">
        <f t="shared" ref="J18:J19" si="4">H18*I18</f>
        <v>0</v>
      </c>
      <c r="M18" t="s">
        <v>67</v>
      </c>
      <c r="N18">
        <v>0</v>
      </c>
      <c r="R18" t="s">
        <v>67</v>
      </c>
      <c r="S18">
        <v>0</v>
      </c>
    </row>
    <row r="19" spans="1:19" x14ac:dyDescent="0.25">
      <c r="B19" t="s">
        <v>36</v>
      </c>
      <c r="C19" t="s">
        <v>37</v>
      </c>
      <c r="D19" s="2">
        <v>2</v>
      </c>
      <c r="E19" s="2">
        <v>0</v>
      </c>
      <c r="F19" s="2">
        <f t="shared" si="0"/>
        <v>0</v>
      </c>
      <c r="H19" s="4">
        <v>2</v>
      </c>
      <c r="I19" s="4">
        <v>0</v>
      </c>
      <c r="J19" s="4">
        <f t="shared" si="4"/>
        <v>0</v>
      </c>
      <c r="M19" t="s">
        <v>68</v>
      </c>
      <c r="N19">
        <v>0</v>
      </c>
      <c r="R19" t="s">
        <v>68</v>
      </c>
      <c r="S19">
        <v>0</v>
      </c>
    </row>
    <row r="20" spans="1:19" x14ac:dyDescent="0.25">
      <c r="D20" s="2"/>
      <c r="H20" s="4"/>
    </row>
    <row r="21" spans="1:19" x14ac:dyDescent="0.25">
      <c r="A21" t="s">
        <v>38</v>
      </c>
      <c r="B21" t="s">
        <v>39</v>
      </c>
      <c r="C21" t="s">
        <v>40</v>
      </c>
      <c r="D21" s="2">
        <v>100</v>
      </c>
      <c r="E21" s="2">
        <v>2</v>
      </c>
      <c r="F21" s="2">
        <f>D21*E21</f>
        <v>200</v>
      </c>
      <c r="H21" s="4">
        <v>100</v>
      </c>
      <c r="I21" s="4">
        <v>2</v>
      </c>
      <c r="J21" s="4">
        <f>H21*I21</f>
        <v>200</v>
      </c>
      <c r="M21" t="s">
        <v>69</v>
      </c>
      <c r="N21" s="6">
        <v>1</v>
      </c>
      <c r="R21" t="s">
        <v>69</v>
      </c>
      <c r="S21">
        <f>S13</f>
        <v>1</v>
      </c>
    </row>
    <row r="22" spans="1:19" x14ac:dyDescent="0.25">
      <c r="B22" t="s">
        <v>41</v>
      </c>
      <c r="C22" t="s">
        <v>42</v>
      </c>
      <c r="D22" s="2">
        <v>500</v>
      </c>
      <c r="E22" s="2">
        <v>0.2</v>
      </c>
      <c r="F22" s="2">
        <f t="shared" ref="F22:F28" si="5">D22*E22</f>
        <v>100</v>
      </c>
      <c r="H22" s="4">
        <v>500</v>
      </c>
      <c r="I22" s="4">
        <v>0.2</v>
      </c>
      <c r="J22" s="4">
        <f t="shared" ref="J22:J28" si="6">H22*I22</f>
        <v>100</v>
      </c>
      <c r="M22" t="s">
        <v>70</v>
      </c>
      <c r="N22">
        <v>0</v>
      </c>
      <c r="R22" t="s">
        <v>70</v>
      </c>
      <c r="S22">
        <v>0</v>
      </c>
    </row>
    <row r="23" spans="1:19" x14ac:dyDescent="0.25">
      <c r="B23" t="s">
        <v>43</v>
      </c>
      <c r="C23" t="s">
        <v>44</v>
      </c>
      <c r="D23" s="2">
        <v>10</v>
      </c>
      <c r="E23" s="2">
        <v>0</v>
      </c>
      <c r="F23" s="2">
        <f t="shared" si="5"/>
        <v>0</v>
      </c>
      <c r="H23" s="4">
        <v>10</v>
      </c>
      <c r="I23" s="4">
        <v>0</v>
      </c>
      <c r="J23" s="4">
        <f t="shared" si="6"/>
        <v>0</v>
      </c>
      <c r="M23" t="s">
        <v>71</v>
      </c>
      <c r="N23">
        <v>0</v>
      </c>
      <c r="R23" t="s">
        <v>71</v>
      </c>
      <c r="S23">
        <v>0</v>
      </c>
    </row>
    <row r="24" spans="1:19" x14ac:dyDescent="0.25">
      <c r="B24" t="s">
        <v>45</v>
      </c>
      <c r="C24" t="s">
        <v>46</v>
      </c>
      <c r="D24" s="2">
        <v>75</v>
      </c>
      <c r="E24" s="2">
        <v>0</v>
      </c>
      <c r="F24" s="2">
        <f t="shared" si="5"/>
        <v>0</v>
      </c>
      <c r="H24" s="4">
        <v>75</v>
      </c>
      <c r="I24" s="4">
        <v>0</v>
      </c>
      <c r="J24" s="4">
        <f t="shared" si="6"/>
        <v>0</v>
      </c>
      <c r="M24" t="s">
        <v>72</v>
      </c>
      <c r="N24">
        <v>0</v>
      </c>
      <c r="R24" t="s">
        <v>72</v>
      </c>
      <c r="S24">
        <v>0</v>
      </c>
    </row>
    <row r="25" spans="1:19" x14ac:dyDescent="0.25">
      <c r="B25" t="s">
        <v>47</v>
      </c>
      <c r="C25" t="s">
        <v>48</v>
      </c>
      <c r="D25" s="2">
        <v>10</v>
      </c>
      <c r="E25" s="2">
        <v>0</v>
      </c>
      <c r="F25" s="2">
        <f t="shared" si="5"/>
        <v>0</v>
      </c>
      <c r="H25" s="4">
        <v>10</v>
      </c>
      <c r="I25" s="4">
        <v>0</v>
      </c>
      <c r="J25" s="4">
        <f t="shared" si="6"/>
        <v>0</v>
      </c>
      <c r="M25" t="s">
        <v>73</v>
      </c>
      <c r="N25">
        <v>0</v>
      </c>
    </row>
    <row r="26" spans="1:19" x14ac:dyDescent="0.25">
      <c r="B26" t="s">
        <v>49</v>
      </c>
      <c r="C26" t="s">
        <v>50</v>
      </c>
      <c r="D26" s="2">
        <v>150</v>
      </c>
      <c r="E26" s="2">
        <v>4</v>
      </c>
      <c r="F26" s="2">
        <f t="shared" si="5"/>
        <v>600</v>
      </c>
      <c r="H26" s="4">
        <v>150</v>
      </c>
      <c r="I26" s="4">
        <v>4</v>
      </c>
      <c r="J26" s="4">
        <f t="shared" si="6"/>
        <v>600</v>
      </c>
      <c r="M26" t="s">
        <v>74</v>
      </c>
      <c r="R26" s="1" t="s">
        <v>74</v>
      </c>
    </row>
    <row r="27" spans="1:19" x14ac:dyDescent="0.25">
      <c r="B27" t="s">
        <v>51</v>
      </c>
      <c r="C27" t="s">
        <v>52</v>
      </c>
      <c r="D27" s="2">
        <v>125</v>
      </c>
      <c r="E27" s="2">
        <v>2</v>
      </c>
      <c r="F27" s="2">
        <f t="shared" si="5"/>
        <v>250</v>
      </c>
      <c r="H27" s="4">
        <v>125</v>
      </c>
      <c r="I27" s="4">
        <v>2</v>
      </c>
      <c r="J27" s="4">
        <f t="shared" si="6"/>
        <v>250</v>
      </c>
      <c r="M27" t="s">
        <v>40</v>
      </c>
      <c r="N27">
        <v>2</v>
      </c>
      <c r="R27" t="s">
        <v>40</v>
      </c>
      <c r="S27">
        <v>2</v>
      </c>
    </row>
    <row r="28" spans="1:19" x14ac:dyDescent="0.25">
      <c r="B28" t="s">
        <v>53</v>
      </c>
      <c r="C28" t="s">
        <v>54</v>
      </c>
      <c r="D28" s="2">
        <v>125</v>
      </c>
      <c r="E28" s="2">
        <v>2</v>
      </c>
      <c r="F28" s="2">
        <f t="shared" si="5"/>
        <v>250</v>
      </c>
      <c r="H28" s="4">
        <v>125</v>
      </c>
      <c r="I28" s="4">
        <v>2</v>
      </c>
      <c r="J28" s="4">
        <f t="shared" si="6"/>
        <v>250</v>
      </c>
      <c r="M28" t="s">
        <v>75</v>
      </c>
      <c r="N28">
        <v>0.2</v>
      </c>
      <c r="R28" t="s">
        <v>75</v>
      </c>
      <c r="S28">
        <v>0.2</v>
      </c>
    </row>
    <row r="29" spans="1:19" x14ac:dyDescent="0.25">
      <c r="A29" t="s">
        <v>90</v>
      </c>
      <c r="F29" s="2">
        <f>SUM(F21:F28)</f>
        <v>1400</v>
      </c>
      <c r="J29" s="4">
        <f>SUM(J21:J28)</f>
        <v>1400</v>
      </c>
      <c r="M29" t="s">
        <v>76</v>
      </c>
      <c r="N29">
        <v>0</v>
      </c>
      <c r="R29" t="s">
        <v>76</v>
      </c>
      <c r="S29">
        <v>0</v>
      </c>
    </row>
    <row r="30" spans="1:19" x14ac:dyDescent="0.25">
      <c r="A30" t="s">
        <v>91</v>
      </c>
      <c r="F30" s="3">
        <f>PV(S37,50, -F29,0)</f>
        <v>44932.397575686911</v>
      </c>
      <c r="J30" s="5">
        <f>PV(S37,50,-J29,0)</f>
        <v>44932.397575686911</v>
      </c>
      <c r="M30" t="s">
        <v>77</v>
      </c>
      <c r="N30">
        <v>0</v>
      </c>
      <c r="R30" t="s">
        <v>77</v>
      </c>
      <c r="S30">
        <v>0</v>
      </c>
    </row>
    <row r="31" spans="1:19" x14ac:dyDescent="0.25">
      <c r="M31" t="s">
        <v>78</v>
      </c>
      <c r="N31">
        <v>2</v>
      </c>
      <c r="R31" t="s">
        <v>78</v>
      </c>
      <c r="S31">
        <v>2</v>
      </c>
    </row>
    <row r="32" spans="1:19" x14ac:dyDescent="0.25">
      <c r="A32" t="s">
        <v>92</v>
      </c>
      <c r="F32" s="3">
        <f>SUM(F2:F19) + F30</f>
        <v>32132647.743025731</v>
      </c>
      <c r="J32" s="5">
        <f>SUM(J2:J19) + J30</f>
        <v>58287271.530949481</v>
      </c>
      <c r="M32" t="s">
        <v>54</v>
      </c>
      <c r="N32">
        <v>2</v>
      </c>
      <c r="R32" t="s">
        <v>54</v>
      </c>
      <c r="S32">
        <v>2</v>
      </c>
    </row>
    <row r="33" spans="1:19" x14ac:dyDescent="0.25">
      <c r="A33" t="s">
        <v>93</v>
      </c>
      <c r="C33" s="6">
        <v>3.1157918907882748E-2</v>
      </c>
      <c r="M33" t="s">
        <v>79</v>
      </c>
      <c r="N33">
        <v>4</v>
      </c>
      <c r="R33" t="s">
        <v>79</v>
      </c>
      <c r="S33">
        <v>4</v>
      </c>
    </row>
    <row r="34" spans="1:19" x14ac:dyDescent="0.25">
      <c r="A34" t="s">
        <v>94</v>
      </c>
      <c r="F34" s="3">
        <f>F32*C33</f>
        <v>1001186.4326727573</v>
      </c>
      <c r="J34" s="5">
        <f>J32*C33</f>
        <v>1816110.0797230667</v>
      </c>
    </row>
    <row r="35" spans="1:19" x14ac:dyDescent="0.25">
      <c r="A35" t="s">
        <v>95</v>
      </c>
      <c r="F35" s="3">
        <f>F34/O3</f>
        <v>900.36977773529225</v>
      </c>
      <c r="J35" s="5">
        <f>J34/T3</f>
        <v>734.95480857249606</v>
      </c>
      <c r="M35" t="s">
        <v>80</v>
      </c>
      <c r="R35" s="1" t="s">
        <v>80</v>
      </c>
    </row>
    <row r="36" spans="1:19" x14ac:dyDescent="0.25">
      <c r="M36" t="s">
        <v>81</v>
      </c>
      <c r="N36" s="6">
        <v>50</v>
      </c>
      <c r="R36" t="s">
        <v>81</v>
      </c>
      <c r="S36" s="6">
        <v>50</v>
      </c>
    </row>
    <row r="37" spans="1:19" x14ac:dyDescent="0.25">
      <c r="A37" t="s">
        <v>96</v>
      </c>
      <c r="F37" s="3">
        <f>F34/N3</f>
        <v>2224.8587392727941</v>
      </c>
      <c r="J37" s="5">
        <f>J34/S3</f>
        <v>1816.1100797230667</v>
      </c>
      <c r="M37" t="s">
        <v>82</v>
      </c>
      <c r="N37" s="6">
        <v>1.9E-2</v>
      </c>
      <c r="R37" t="s">
        <v>82</v>
      </c>
      <c r="S37" s="6">
        <v>1.9E-2</v>
      </c>
    </row>
    <row r="38" spans="1:19" x14ac:dyDescent="0.25">
      <c r="M38" t="s">
        <v>83</v>
      </c>
      <c r="R38" t="s">
        <v>83</v>
      </c>
    </row>
    <row r="44" spans="1:19" x14ac:dyDescent="0.25">
      <c r="M44" t="s">
        <v>101</v>
      </c>
    </row>
    <row r="45" spans="1:19" x14ac:dyDescent="0.25">
      <c r="M45" t="s">
        <v>102</v>
      </c>
    </row>
    <row r="46" spans="1:19" x14ac:dyDescent="0.25">
      <c r="M46" t="s">
        <v>103</v>
      </c>
    </row>
    <row r="47" spans="1:19" x14ac:dyDescent="0.25">
      <c r="M47" t="s">
        <v>104</v>
      </c>
    </row>
  </sheetData>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J16" sqref="J16"/>
    </sheetView>
  </sheetViews>
  <sheetFormatPr defaultRowHeight="15" x14ac:dyDescent="0.25"/>
  <cols>
    <col min="1" max="1" width="14.85546875" customWidth="1"/>
    <col min="4" max="4" width="14.28515625" customWidth="1"/>
  </cols>
  <sheetData>
    <row r="1" spans="1:5" x14ac:dyDescent="0.25">
      <c r="A1" t="s">
        <v>113</v>
      </c>
    </row>
    <row r="2" spans="1:5" x14ac:dyDescent="0.25">
      <c r="B2" t="s">
        <v>115</v>
      </c>
      <c r="C2" t="s">
        <v>116</v>
      </c>
      <c r="D2" t="s">
        <v>124</v>
      </c>
      <c r="E2" t="s">
        <v>125</v>
      </c>
    </row>
    <row r="3" spans="1:5" x14ac:dyDescent="0.25">
      <c r="A3" t="s">
        <v>105</v>
      </c>
      <c r="B3">
        <v>2</v>
      </c>
      <c r="C3">
        <v>50</v>
      </c>
      <c r="D3">
        <v>2097.8674935664421</v>
      </c>
      <c r="E3">
        <f>D3/2.47105</f>
        <v>848.97816457232443</v>
      </c>
    </row>
    <row r="4" spans="1:5" x14ac:dyDescent="0.25">
      <c r="A4" t="s">
        <v>106</v>
      </c>
      <c r="B4">
        <v>2</v>
      </c>
      <c r="C4">
        <v>500</v>
      </c>
      <c r="D4">
        <v>2050.7092245092517</v>
      </c>
      <c r="E4">
        <f t="shared" ref="E4:E10" si="0">D4/2.47105</f>
        <v>829.89386071073102</v>
      </c>
    </row>
    <row r="5" spans="1:5" x14ac:dyDescent="0.25">
      <c r="A5" t="s">
        <v>107</v>
      </c>
      <c r="B5">
        <v>2</v>
      </c>
      <c r="C5">
        <v>1000</v>
      </c>
      <c r="D5">
        <v>2046.5813111448117</v>
      </c>
      <c r="E5">
        <f t="shared" si="0"/>
        <v>828.22335086089379</v>
      </c>
    </row>
    <row r="6" spans="1:5" x14ac:dyDescent="0.25">
      <c r="A6" t="s">
        <v>108</v>
      </c>
      <c r="B6">
        <v>2</v>
      </c>
      <c r="C6">
        <v>2000</v>
      </c>
      <c r="D6">
        <v>2043.9878766959414</v>
      </c>
      <c r="E6">
        <f t="shared" si="0"/>
        <v>827.17382355514519</v>
      </c>
    </row>
    <row r="7" spans="1:5" x14ac:dyDescent="0.25">
      <c r="A7" t="s">
        <v>109</v>
      </c>
      <c r="B7">
        <v>1</v>
      </c>
      <c r="C7">
        <v>50</v>
      </c>
      <c r="D7">
        <v>1636.925030722952</v>
      </c>
      <c r="E7">
        <f t="shared" si="0"/>
        <v>662.44107999552898</v>
      </c>
    </row>
    <row r="8" spans="1:5" x14ac:dyDescent="0.25">
      <c r="A8" t="s">
        <v>110</v>
      </c>
      <c r="B8">
        <v>1</v>
      </c>
      <c r="C8">
        <v>500</v>
      </c>
      <c r="D8">
        <v>1589.7667616657614</v>
      </c>
      <c r="E8">
        <f t="shared" si="0"/>
        <v>643.35677613393557</v>
      </c>
    </row>
    <row r="9" spans="1:5" x14ac:dyDescent="0.25">
      <c r="A9" t="s">
        <v>111</v>
      </c>
      <c r="B9">
        <v>1</v>
      </c>
      <c r="C9">
        <v>1000</v>
      </c>
      <c r="D9">
        <v>1585.6388483013216</v>
      </c>
      <c r="E9">
        <f t="shared" si="0"/>
        <v>641.68626628409845</v>
      </c>
    </row>
    <row r="10" spans="1:5" x14ac:dyDescent="0.25">
      <c r="A10" t="s">
        <v>112</v>
      </c>
      <c r="B10">
        <v>1</v>
      </c>
      <c r="C10">
        <v>2000</v>
      </c>
      <c r="D10">
        <v>1583.0454138524512</v>
      </c>
      <c r="E10">
        <f t="shared" si="0"/>
        <v>640.63673897834985</v>
      </c>
    </row>
    <row r="13" spans="1:5" x14ac:dyDescent="0.25">
      <c r="A13" t="s">
        <v>117</v>
      </c>
    </row>
    <row r="14" spans="1:5" x14ac:dyDescent="0.25">
      <c r="B14" t="s">
        <v>114</v>
      </c>
      <c r="C14" t="s">
        <v>116</v>
      </c>
      <c r="D14" t="s">
        <v>124</v>
      </c>
      <c r="E14" t="s">
        <v>125</v>
      </c>
    </row>
    <row r="15" spans="1:5" x14ac:dyDescent="0.25">
      <c r="A15" t="s">
        <v>118</v>
      </c>
      <c r="B15">
        <v>1.5</v>
      </c>
      <c r="C15">
        <v>70</v>
      </c>
      <c r="D15">
        <v>2258.3869232890261</v>
      </c>
      <c r="E15">
        <f>D15/2.47105</f>
        <v>913.93817336315578</v>
      </c>
    </row>
    <row r="16" spans="1:5" x14ac:dyDescent="0.25">
      <c r="A16" t="s">
        <v>119</v>
      </c>
      <c r="B16">
        <v>1.5</v>
      </c>
      <c r="C16">
        <v>450</v>
      </c>
      <c r="D16">
        <v>2224.8587392727941</v>
      </c>
      <c r="E16">
        <f t="shared" ref="E16:E20" si="1">D16/2.47105</f>
        <v>900.36977773529236</v>
      </c>
    </row>
    <row r="17" spans="1:5" x14ac:dyDescent="0.25">
      <c r="A17" t="s">
        <v>120</v>
      </c>
      <c r="B17">
        <v>1.5</v>
      </c>
      <c r="C17">
        <v>1700</v>
      </c>
      <c r="D17">
        <v>2217.6835659318194</v>
      </c>
      <c r="E17">
        <f t="shared" si="1"/>
        <v>897.46608362105962</v>
      </c>
    </row>
    <row r="18" spans="1:5" x14ac:dyDescent="0.25">
      <c r="A18" t="s">
        <v>121</v>
      </c>
      <c r="B18">
        <v>0.5</v>
      </c>
      <c r="C18">
        <v>70</v>
      </c>
      <c r="D18">
        <v>1539.8074184759803</v>
      </c>
      <c r="E18">
        <f t="shared" si="1"/>
        <v>623.13891603811351</v>
      </c>
    </row>
    <row r="19" spans="1:5" x14ac:dyDescent="0.25">
      <c r="A19" t="s">
        <v>122</v>
      </c>
      <c r="B19">
        <v>0.5</v>
      </c>
      <c r="C19">
        <v>450</v>
      </c>
      <c r="D19">
        <v>1506.2792344597481</v>
      </c>
      <c r="E19">
        <f t="shared" si="1"/>
        <v>609.57052041024997</v>
      </c>
    </row>
    <row r="20" spans="1:5" x14ac:dyDescent="0.25">
      <c r="A20" t="s">
        <v>123</v>
      </c>
      <c r="B20">
        <v>0.5</v>
      </c>
      <c r="C20">
        <v>1700</v>
      </c>
      <c r="D20">
        <v>1499.1040611187739</v>
      </c>
      <c r="E20">
        <f t="shared" si="1"/>
        <v>606.66682629601746</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E6" sqref="E6"/>
    </sheetView>
  </sheetViews>
  <sheetFormatPr defaultRowHeight="15" x14ac:dyDescent="0.25"/>
  <cols>
    <col min="1" max="1" width="15.42578125" customWidth="1"/>
    <col min="2" max="2" width="18.5703125" customWidth="1"/>
    <col min="3" max="3" width="8.7109375" customWidth="1"/>
    <col min="4" max="4" width="10" customWidth="1"/>
    <col min="5" max="5" width="13.85546875" customWidth="1"/>
    <col min="10" max="10" width="24.5703125" customWidth="1"/>
    <col min="11" max="11" width="20.85546875" customWidth="1"/>
  </cols>
  <sheetData>
    <row r="1" spans="1:11" x14ac:dyDescent="0.25">
      <c r="B1" t="s">
        <v>137</v>
      </c>
      <c r="C1" t="s">
        <v>138</v>
      </c>
      <c r="D1" t="s">
        <v>132</v>
      </c>
      <c r="E1" t="s">
        <v>136</v>
      </c>
      <c r="J1" t="s">
        <v>131</v>
      </c>
      <c r="K1">
        <v>20</v>
      </c>
    </row>
    <row r="2" spans="1:11" x14ac:dyDescent="0.25">
      <c r="J2" t="s">
        <v>126</v>
      </c>
      <c r="K2">
        <v>10</v>
      </c>
    </row>
    <row r="3" spans="1:11" x14ac:dyDescent="0.25">
      <c r="J3" t="s">
        <v>127</v>
      </c>
      <c r="K3">
        <v>1.9E-2</v>
      </c>
    </row>
    <row r="4" spans="1:11" x14ac:dyDescent="0.25">
      <c r="A4" t="s">
        <v>128</v>
      </c>
      <c r="B4" s="8">
        <v>4326.9799999999996</v>
      </c>
      <c r="C4" s="8">
        <f>B4/400</f>
        <v>10.817449999999999</v>
      </c>
      <c r="D4">
        <f>C4+$K$1*$K$2</f>
        <v>210.81745000000001</v>
      </c>
      <c r="E4" s="7">
        <f>PV(0.019, 10, -D4,0)</f>
        <v>1903.6319980981607</v>
      </c>
    </row>
    <row r="5" spans="1:11" x14ac:dyDescent="0.25">
      <c r="A5" t="s">
        <v>129</v>
      </c>
      <c r="B5" s="8">
        <v>6176.98</v>
      </c>
      <c r="C5" s="8">
        <f t="shared" ref="C5:C6" si="0">B5/400</f>
        <v>15.442449999999999</v>
      </c>
      <c r="D5">
        <f t="shared" ref="D5:D6" si="1">C5+$K$1*$K$2</f>
        <v>215.44245000000001</v>
      </c>
      <c r="E5" s="7">
        <f>PV(0.019, 10, -D5,0)</f>
        <v>1945.3946604925875</v>
      </c>
    </row>
    <row r="6" spans="1:11" x14ac:dyDescent="0.25">
      <c r="A6" t="s">
        <v>130</v>
      </c>
      <c r="B6" s="8">
        <v>6818.58</v>
      </c>
      <c r="C6" s="8">
        <f t="shared" si="0"/>
        <v>17.04645</v>
      </c>
      <c r="D6">
        <f t="shared" si="1"/>
        <v>217.04644999999999</v>
      </c>
      <c r="E6" s="7">
        <f>PV(0.019, 10, -D6,0)</f>
        <v>1959.8784032992169</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tabSelected="1" workbookViewId="0">
      <selection activeCell="F26" sqref="F26"/>
    </sheetView>
  </sheetViews>
  <sheetFormatPr defaultRowHeight="15" x14ac:dyDescent="0.25"/>
  <cols>
    <col min="2" max="2" width="33.28515625" customWidth="1"/>
    <col min="3" max="3" width="16.28515625" customWidth="1"/>
    <col min="4" max="4" width="18.140625" customWidth="1"/>
    <col min="8" max="8" width="21.7109375" customWidth="1"/>
    <col min="9" max="9" width="21" customWidth="1"/>
  </cols>
  <sheetData>
    <row r="1" spans="1:9" x14ac:dyDescent="0.25">
      <c r="A1" t="s">
        <v>133</v>
      </c>
      <c r="B1" t="s">
        <v>135</v>
      </c>
      <c r="C1" t="s">
        <v>134</v>
      </c>
      <c r="D1" t="s">
        <v>136</v>
      </c>
      <c r="H1" t="s">
        <v>131</v>
      </c>
      <c r="I1">
        <v>20</v>
      </c>
    </row>
    <row r="2" spans="1:9" x14ac:dyDescent="0.25">
      <c r="A2" t="s">
        <v>128</v>
      </c>
      <c r="B2">
        <v>635.42999999999995</v>
      </c>
      <c r="C2">
        <f>B2+$I$1*$I$2</f>
        <v>835.43</v>
      </c>
      <c r="D2" s="7">
        <f>PV(I3,10,-C2,0)</f>
        <v>7543.7364419840314</v>
      </c>
      <c r="H2" t="s">
        <v>126</v>
      </c>
      <c r="I2">
        <v>10</v>
      </c>
    </row>
    <row r="3" spans="1:9" x14ac:dyDescent="0.25">
      <c r="A3" t="s">
        <v>129</v>
      </c>
      <c r="B3">
        <v>474.86</v>
      </c>
      <c r="C3">
        <f t="shared" ref="C3:C4" si="0">B3+$I$1*$I$2</f>
        <v>674.86</v>
      </c>
      <c r="D3" s="7">
        <f t="shared" ref="D3:D4" si="1">PV(I4,10,-C3,0)</f>
        <v>6748.6</v>
      </c>
      <c r="H3" t="s">
        <v>127</v>
      </c>
      <c r="I3">
        <v>1.9E-2</v>
      </c>
    </row>
    <row r="4" spans="1:9" x14ac:dyDescent="0.25">
      <c r="A4" t="s">
        <v>130</v>
      </c>
      <c r="B4">
        <v>164.26</v>
      </c>
      <c r="C4">
        <f t="shared" si="0"/>
        <v>364.26</v>
      </c>
      <c r="D4" s="7">
        <f t="shared" si="1"/>
        <v>3642.6</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costassumption</vt:lpstr>
      <vt:lpstr>WetlandScenarios</vt:lpstr>
      <vt:lpstr>GrassedWaterway</vt:lpstr>
      <vt:lpstr>Buffer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Zhengxin Lang</cp:lastModifiedBy>
  <dcterms:created xsi:type="dcterms:W3CDTF">2019-09-12T15:08:28Z</dcterms:created>
  <dcterms:modified xsi:type="dcterms:W3CDTF">2019-09-18T00:05:04Z</dcterms:modified>
</cp:coreProperties>
</file>