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angzx\Desktop\github\DCM\data\"/>
    </mc:Choice>
  </mc:AlternateContent>
  <xr:revisionPtr revIDLastSave="0" documentId="13_ncr:40009_{57496D03-E3AD-43CE-A291-48DB387A1A10}" xr6:coauthVersionLast="44" xr6:coauthVersionMax="44" xr10:uidLastSave="{00000000-0000-0000-0000-000000000000}"/>
  <bookViews>
    <workbookView xWindow="-98" yWindow="-98" windowWidth="18001" windowHeight="10996"/>
  </bookViews>
  <sheets>
    <sheet name="costassumption" sheetId="1" r:id="rId1"/>
  </sheets>
  <calcPr calcId="0"/>
</workbook>
</file>

<file path=xl/calcChain.xml><?xml version="1.0" encoding="utf-8"?>
<calcChain xmlns="http://schemas.openxmlformats.org/spreadsheetml/2006/main">
  <c r="E10" i="1" l="1"/>
  <c r="F10" i="1" s="1"/>
  <c r="I37" i="1"/>
  <c r="I35" i="1"/>
  <c r="I34" i="1"/>
  <c r="I32" i="1"/>
  <c r="I19" i="1"/>
  <c r="I18" i="1"/>
  <c r="I16" i="1"/>
  <c r="I15" i="1"/>
  <c r="I10" i="1"/>
  <c r="H10" i="1"/>
  <c r="I5" i="1"/>
  <c r="I4" i="1"/>
  <c r="I3" i="1"/>
  <c r="I2" i="1"/>
  <c r="I17" i="1"/>
  <c r="H17" i="1"/>
  <c r="I9" i="1"/>
  <c r="H9" i="1"/>
  <c r="I7" i="1"/>
  <c r="H7" i="1"/>
  <c r="E7" i="1"/>
  <c r="F7" i="1" s="1"/>
  <c r="F3" i="1"/>
  <c r="F4" i="1"/>
  <c r="F5" i="1"/>
  <c r="F8" i="1"/>
  <c r="F9" i="1"/>
  <c r="F12" i="1"/>
  <c r="F13" i="1"/>
  <c r="F15" i="1"/>
  <c r="F16" i="1"/>
  <c r="F17" i="1"/>
  <c r="F18" i="1"/>
  <c r="F19" i="1"/>
  <c r="F2" i="1"/>
  <c r="F30" i="1"/>
  <c r="F29" i="1"/>
  <c r="F22" i="1"/>
  <c r="F23" i="1"/>
  <c r="F24" i="1"/>
  <c r="F25" i="1"/>
  <c r="F26" i="1"/>
  <c r="F27" i="1"/>
  <c r="F28" i="1"/>
  <c r="F21" i="1"/>
  <c r="E17" i="1"/>
  <c r="E9" i="1"/>
  <c r="Q21" i="1"/>
  <c r="R5" i="1"/>
  <c r="Q4" i="1"/>
  <c r="Q7" i="1" s="1"/>
  <c r="R3" i="1"/>
  <c r="F32" i="1" l="1"/>
  <c r="F34" i="1" s="1"/>
  <c r="Q8" i="1"/>
  <c r="Q9" i="1" s="1"/>
  <c r="R9" i="1" s="1"/>
  <c r="R7" i="1"/>
  <c r="R4" i="1"/>
  <c r="F37" i="1" l="1"/>
  <c r="F35" i="1"/>
</calcChain>
</file>

<file path=xl/comments1.xml><?xml version="1.0" encoding="utf-8"?>
<comments xmlns="http://schemas.openxmlformats.org/spreadsheetml/2006/main">
  <authors>
    <author>Sergey Rabotyagov</author>
  </authors>
  <commentList>
    <comment ref="P29" authorId="0" shapeId="0">
      <text>
        <r>
          <rPr>
            <b/>
            <sz val="9"/>
            <color indexed="81"/>
            <rFont val="Tahoma"/>
            <family val="2"/>
          </rPr>
          <t>Sergey Rabotyagov:</t>
        </r>
        <r>
          <rPr>
            <sz val="9"/>
            <color indexed="81"/>
            <rFont val="Tahoma"/>
            <family val="2"/>
          </rPr>
          <t xml:space="preserve">
from Christianson http://www.sciencedirect.com/science/article/pii/S2212428413000194 
Also, over the life of a wetland, sediment removal and earthwork maintenance would be required, though those costs are not incorporated in this analysis because their timing would be difficult to estimate and may occur at greater than the 50 year planning horizon.
</t>
        </r>
      </text>
    </comment>
  </commentList>
</comments>
</file>

<file path=xl/sharedStrings.xml><?xml version="1.0" encoding="utf-8"?>
<sst xmlns="http://schemas.openxmlformats.org/spreadsheetml/2006/main" count="138" uniqueCount="101">
  <si>
    <t>Categories</t>
  </si>
  <si>
    <t>Parameters</t>
  </si>
  <si>
    <t>Desciption</t>
  </si>
  <si>
    <t>dollar_per_unit_or_vist</t>
  </si>
  <si>
    <t>Site preparation (SP)</t>
  </si>
  <si>
    <t>SP_TreeRMV_each</t>
  </si>
  <si>
    <t>Tree removal - up to 12" diameter</t>
  </si>
  <si>
    <t>SP_Clear_sqy</t>
  </si>
  <si>
    <t>Clear and grub brush</t>
  </si>
  <si>
    <t>SP_TreeProt_m</t>
  </si>
  <si>
    <t>Tree protection - temp. fence</t>
  </si>
  <si>
    <t>SP_Topsoil_sqy_m</t>
  </si>
  <si>
    <t>Topsoil - 6" depth, salvage on site</t>
  </si>
  <si>
    <t>Site Formation (SF)</t>
  </si>
  <si>
    <t>SF_Exc_sqy_m</t>
  </si>
  <si>
    <t>Excavation - deep zone- 8' depth</t>
  </si>
  <si>
    <t>SF_Exc_mash_sqy_m</t>
  </si>
  <si>
    <t>Excavation - marsh zone</t>
  </si>
  <si>
    <t>SF_Grad_sqy</t>
  </si>
  <si>
    <t>Grading</t>
  </si>
  <si>
    <t>SF_Haul_sqy_m</t>
  </si>
  <si>
    <t>Hauling off-site - 5' depth</t>
  </si>
  <si>
    <t>Struture Componets(SC)</t>
  </si>
  <si>
    <t>SC_Inlet_each</t>
  </si>
  <si>
    <t>Inlet structure</t>
  </si>
  <si>
    <t>SC_Outlet_each</t>
  </si>
  <si>
    <t>Outlet structure</t>
  </si>
  <si>
    <t>Site Restoration(SR)</t>
  </si>
  <si>
    <t>SR_Sod_sqy</t>
  </si>
  <si>
    <t>Sod - above vegetative bench</t>
  </si>
  <si>
    <t>SR_Soil_sqy</t>
  </si>
  <si>
    <t>Soil preparation</t>
  </si>
  <si>
    <t>SR_Seed_sqy</t>
  </si>
  <si>
    <t>Seeding - vegetative bench</t>
  </si>
  <si>
    <t>SR_Plant_sqy</t>
  </si>
  <si>
    <t>Planting</t>
  </si>
  <si>
    <t>SR_Mulch_sqy</t>
  </si>
  <si>
    <t>Mulch</t>
  </si>
  <si>
    <t>annual_operation_maintenance(AOM)</t>
  </si>
  <si>
    <t>AOM_Debris_visit</t>
  </si>
  <si>
    <t>Debris removal</t>
  </si>
  <si>
    <t>AOM_Invasiv_visit</t>
  </si>
  <si>
    <t>Remove invasive plants</t>
  </si>
  <si>
    <t>AOM_Replant_plant</t>
  </si>
  <si>
    <t>Replant wetland vegetation</t>
  </si>
  <si>
    <t>AOM_Repair_sqy</t>
  </si>
  <si>
    <t>Repair erosion</t>
  </si>
  <si>
    <t>AOM_SedR_cubicy</t>
  </si>
  <si>
    <t>Sediment removal and disposal</t>
  </si>
  <si>
    <t>AOM_Mow_visit</t>
  </si>
  <si>
    <t>Mow</t>
  </si>
  <si>
    <t>AOM_Gate_visit</t>
  </si>
  <si>
    <t>Gate / valve operation</t>
  </si>
  <si>
    <t>AOM_Inspection_visit</t>
  </si>
  <si>
    <t>Inspection</t>
  </si>
  <si>
    <t>Pond (deeper, depth up to 8 ft) input assumptions</t>
  </si>
  <si>
    <t>Surface area (ha)</t>
  </si>
  <si>
    <t>Excavation depth (ft)</t>
  </si>
  <si>
    <t>Estimated basin radius, m</t>
  </si>
  <si>
    <t>Buffer width (see CAD docs), ft</t>
  </si>
  <si>
    <t>Buffer length, m</t>
  </si>
  <si>
    <t>Buffer area, ha</t>
  </si>
  <si>
    <t>Total area, ha</t>
  </si>
  <si>
    <t>Excavation required? 1 if yes, 0 if use existing depressions</t>
  </si>
  <si>
    <t>Tree removal? 0 for no, 1 for yes</t>
  </si>
  <si>
    <t>Fence required? 0 for no, 1 for yes</t>
  </si>
  <si>
    <t>Brush clearing required? 0 for no, 1 for yes</t>
  </si>
  <si>
    <t>Topsoil salvage required? 0 for no, 1 for yes</t>
  </si>
  <si>
    <t>Hauling required? 0 for no, 1 for yes</t>
  </si>
  <si>
    <t>Grading required? = Excavation value</t>
  </si>
  <si>
    <t>Sod required? 0 for no, 1 for yes</t>
  </si>
  <si>
    <t>Planting required (besides seeding)? 0 for no, 1 for yes</t>
  </si>
  <si>
    <t>Soil preparation required? 0 for no, 1 for yes</t>
  </si>
  <si>
    <t>Mulch required? 0 for no, 1 for yes</t>
  </si>
  <si>
    <t>Operation frequency assumptions, year^-1</t>
  </si>
  <si>
    <t>Invasive plant removal</t>
  </si>
  <si>
    <t>Sediment removal</t>
  </si>
  <si>
    <t>Erosion repair</t>
  </si>
  <si>
    <t>Gate/valve operation</t>
  </si>
  <si>
    <t>Mowing (10% of buffer area, per Christianson et al 2013 WRE)</t>
  </si>
  <si>
    <t>Financial assumptions</t>
  </si>
  <si>
    <t>Wetland lifetime, years (from Roley et al., 2016 WRE)</t>
  </si>
  <si>
    <t>Real discount rate (see ref. 51 in Roley)</t>
  </si>
  <si>
    <t>(1.9% in Roley et al 2016, based on Federal water projects guidance)</t>
  </si>
  <si>
    <t>Wetland (shallow, depth up to 1 m) input assumptions</t>
  </si>
  <si>
    <t>Excavation depth, m</t>
  </si>
  <si>
    <t>m</t>
  </si>
  <si>
    <t>acres</t>
  </si>
  <si>
    <t>meters</t>
  </si>
  <si>
    <t>ft</t>
  </si>
  <si>
    <t>TOTAL ANNUAL O&amp;M COST</t>
  </si>
  <si>
    <t>TOTAL NPV of O&amp;M cost</t>
  </si>
  <si>
    <t>Total present value of installation and maintenance costs (TPVC)</t>
  </si>
  <si>
    <t>Capital recovery factor</t>
  </si>
  <si>
    <t xml:space="preserve">Total annualized cost </t>
  </si>
  <si>
    <t>Total annualized cost, TPVC*CRF, $/acre</t>
  </si>
  <si>
    <t>Total annualized cost, TPVC*CRF, $/h</t>
  </si>
  <si>
    <t>Cost_Pond</t>
  </si>
  <si>
    <t>Unit_Pond</t>
  </si>
  <si>
    <t>Unit_Wetland</t>
  </si>
  <si>
    <t>Cost_Wetland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</si>
</sst>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9"/>
      <color indexed="81"/>
      <name val="Tahoma"/>
      <family val="2"/>
    </font>
    <font>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8" fontId="0" fillId="0" borderId="0" xfId="0" applyNumberFormat="1"/>
    <xf numFmtId="0" fontId="0" fillId="33" borderId="0" xfId="0" applyFill="1"/>
    <xf numFmtId="8" fontId="0" fillId="33" borderId="0" xfId="0" applyNumberFormat="1" applyFill="1"/>
    <xf numFmtId="0" fontId="0" fillId="34" borderId="0" xfId="0" applyFill="1"/>
    <xf numFmtId="8"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8"/>
  <sheetViews>
    <sheetView tabSelected="1" workbookViewId="0">
      <selection activeCell="F37" sqref="F37"/>
    </sheetView>
  </sheetViews>
  <sheetFormatPr defaultRowHeight="14.25" x14ac:dyDescent="0.45"/>
  <cols>
    <col min="1" max="1" width="12.19921875" customWidth="1"/>
    <col min="2" max="2" width="21.86328125" customWidth="1"/>
    <col min="3" max="3" width="27.6640625" customWidth="1"/>
    <col min="4" max="4" width="23.53125" customWidth="1"/>
    <col min="5" max="5" width="9.06640625" style="3"/>
    <col min="6" max="6" width="13.53125" style="3" customWidth="1"/>
    <col min="7" max="7" width="9.9296875" customWidth="1"/>
    <col min="8" max="8" width="15.73046875" style="5" customWidth="1"/>
    <col min="9" max="9" width="12.796875" style="5" bestFit="1" customWidth="1"/>
    <col min="11" max="11" width="16.1328125" customWidth="1"/>
    <col min="16" max="16" width="31.33203125" customWidth="1"/>
  </cols>
  <sheetData>
    <row r="1" spans="1:19" x14ac:dyDescent="0.45">
      <c r="A1" t="s">
        <v>0</v>
      </c>
      <c r="B1" t="s">
        <v>1</v>
      </c>
      <c r="C1" t="s">
        <v>2</v>
      </c>
      <c r="D1" t="s">
        <v>3</v>
      </c>
      <c r="E1" s="3" t="s">
        <v>98</v>
      </c>
      <c r="F1" s="3" t="s">
        <v>97</v>
      </c>
      <c r="H1" s="5" t="s">
        <v>99</v>
      </c>
      <c r="I1" s="5" t="s">
        <v>100</v>
      </c>
      <c r="K1" t="s">
        <v>55</v>
      </c>
      <c r="P1" t="s">
        <v>84</v>
      </c>
    </row>
    <row r="2" spans="1:19" x14ac:dyDescent="0.45">
      <c r="A2" t="s">
        <v>4</v>
      </c>
      <c r="B2" t="s">
        <v>5</v>
      </c>
      <c r="C2" t="s">
        <v>6</v>
      </c>
      <c r="D2">
        <v>350</v>
      </c>
      <c r="E2" s="3">
        <v>0</v>
      </c>
      <c r="F2" s="3">
        <f>D2*E2</f>
        <v>0</v>
      </c>
      <c r="H2" s="5">
        <v>0</v>
      </c>
      <c r="I2" s="5">
        <f>G2*H2</f>
        <v>0</v>
      </c>
    </row>
    <row r="3" spans="1:19" x14ac:dyDescent="0.45">
      <c r="B3" t="s">
        <v>7</v>
      </c>
      <c r="C3" t="s">
        <v>8</v>
      </c>
      <c r="D3">
        <v>1.5</v>
      </c>
      <c r="E3" s="3">
        <v>0</v>
      </c>
      <c r="F3" s="3">
        <f t="shared" ref="F3:F19" si="0">D3*E3</f>
        <v>0</v>
      </c>
      <c r="H3" s="5">
        <v>0</v>
      </c>
      <c r="I3" s="5">
        <f t="shared" ref="I3:I5" si="1">G3*H3</f>
        <v>0</v>
      </c>
      <c r="K3" t="s">
        <v>56</v>
      </c>
      <c r="L3">
        <v>10.1</v>
      </c>
      <c r="M3">
        <v>24.957604999999997</v>
      </c>
      <c r="N3" t="s">
        <v>87</v>
      </c>
      <c r="P3" t="s">
        <v>56</v>
      </c>
      <c r="Q3">
        <v>70</v>
      </c>
      <c r="R3">
        <f>2.47105*Q3</f>
        <v>172.9735</v>
      </c>
      <c r="S3" t="s">
        <v>87</v>
      </c>
    </row>
    <row r="4" spans="1:19" x14ac:dyDescent="0.45">
      <c r="B4" t="s">
        <v>9</v>
      </c>
      <c r="C4" t="s">
        <v>10</v>
      </c>
      <c r="D4">
        <v>9.84</v>
      </c>
      <c r="E4" s="3">
        <v>0</v>
      </c>
      <c r="F4" s="3">
        <f t="shared" si="0"/>
        <v>0</v>
      </c>
      <c r="H4" s="5">
        <v>0</v>
      </c>
      <c r="I4" s="5">
        <f t="shared" si="1"/>
        <v>0</v>
      </c>
      <c r="K4" t="s">
        <v>57</v>
      </c>
      <c r="L4">
        <v>4.9212600000000002</v>
      </c>
      <c r="M4">
        <v>1.5</v>
      </c>
      <c r="N4" t="s">
        <v>88</v>
      </c>
      <c r="P4" t="s">
        <v>58</v>
      </c>
      <c r="Q4">
        <f>SQRT(Q3*10000/PI())</f>
        <v>472.0348719413148</v>
      </c>
      <c r="R4">
        <f>3.28084*Q4</f>
        <v>1548.6708892599434</v>
      </c>
      <c r="S4" t="s">
        <v>89</v>
      </c>
    </row>
    <row r="5" spans="1:19" x14ac:dyDescent="0.45">
      <c r="B5" t="s">
        <v>11</v>
      </c>
      <c r="C5" t="s">
        <v>12</v>
      </c>
      <c r="D5">
        <v>29.5275</v>
      </c>
      <c r="E5" s="3">
        <v>0</v>
      </c>
      <c r="F5" s="3">
        <f t="shared" si="0"/>
        <v>0</v>
      </c>
      <c r="H5" s="5">
        <v>0</v>
      </c>
      <c r="I5" s="5">
        <f t="shared" si="1"/>
        <v>0</v>
      </c>
      <c r="K5" t="s">
        <v>58</v>
      </c>
      <c r="L5">
        <v>179.30225459977589</v>
      </c>
      <c r="M5">
        <v>588.2620089811287</v>
      </c>
      <c r="N5" t="s">
        <v>89</v>
      </c>
      <c r="P5" t="s">
        <v>59</v>
      </c>
      <c r="Q5">
        <v>25</v>
      </c>
      <c r="R5">
        <f>0.3048*Q5</f>
        <v>7.62</v>
      </c>
      <c r="S5" t="s">
        <v>86</v>
      </c>
    </row>
    <row r="7" spans="1:19" x14ac:dyDescent="0.45">
      <c r="A7" t="s">
        <v>13</v>
      </c>
      <c r="B7" t="s">
        <v>14</v>
      </c>
      <c r="C7" t="s">
        <v>15</v>
      </c>
      <c r="D7">
        <v>4.0999999999999996</v>
      </c>
      <c r="E7" s="3">
        <f>0.5625* 10000*L3</f>
        <v>56812.5</v>
      </c>
      <c r="F7" s="3">
        <f>D7*E7*M4*L13</f>
        <v>349396.87499999994</v>
      </c>
      <c r="H7" s="5">
        <f>0.5625*10000*Q3</f>
        <v>393750</v>
      </c>
      <c r="I7" s="5">
        <f>D7*F7</f>
        <v>1432527.1874999995</v>
      </c>
      <c r="K7" t="s">
        <v>59</v>
      </c>
      <c r="L7">
        <v>25</v>
      </c>
      <c r="M7">
        <v>7.62</v>
      </c>
      <c r="N7" t="s">
        <v>86</v>
      </c>
      <c r="P7" t="s">
        <v>60</v>
      </c>
      <c r="Q7">
        <f>2*PI()*Q4</f>
        <v>2965.8825718580665</v>
      </c>
      <c r="R7">
        <f>3.28084*Q7</f>
        <v>9730.5861770548181</v>
      </c>
      <c r="S7" t="s">
        <v>89</v>
      </c>
    </row>
    <row r="8" spans="1:19" x14ac:dyDescent="0.45">
      <c r="B8" t="s">
        <v>16</v>
      </c>
      <c r="C8" t="s">
        <v>17</v>
      </c>
      <c r="D8">
        <v>1</v>
      </c>
      <c r="E8" s="3">
        <v>0</v>
      </c>
      <c r="F8" s="3">
        <f t="shared" si="0"/>
        <v>0</v>
      </c>
      <c r="H8" s="5">
        <v>0</v>
      </c>
      <c r="I8" s="5">
        <v>0</v>
      </c>
      <c r="K8" t="s">
        <v>60</v>
      </c>
      <c r="L8">
        <v>1126.5892916454852</v>
      </c>
      <c r="M8">
        <v>3696.1592116021739</v>
      </c>
      <c r="N8" t="s">
        <v>89</v>
      </c>
      <c r="P8" t="s">
        <v>61</v>
      </c>
      <c r="Q8">
        <f>0.0001*Q7*R5</f>
        <v>2.2600025197558469</v>
      </c>
    </row>
    <row r="9" spans="1:19" x14ac:dyDescent="0.45">
      <c r="B9" t="s">
        <v>18</v>
      </c>
      <c r="C9" t="s">
        <v>19</v>
      </c>
      <c r="D9">
        <v>1.5</v>
      </c>
      <c r="E9" s="3">
        <f>11959.9 * L10 * L21</f>
        <v>131062.09819509293</v>
      </c>
      <c r="F9" s="3">
        <f t="shared" si="0"/>
        <v>196593.14729263939</v>
      </c>
      <c r="H9" s="5">
        <f>11595* Q9</f>
        <v>837854.72921656899</v>
      </c>
      <c r="I9" s="5">
        <f>D9*H9</f>
        <v>1256782.0938248534</v>
      </c>
      <c r="K9" t="s">
        <v>61</v>
      </c>
      <c r="L9">
        <v>0.85846104023385983</v>
      </c>
      <c r="P9" t="s">
        <v>62</v>
      </c>
      <c r="Q9">
        <f>Q3+Q8</f>
        <v>72.260002519755844</v>
      </c>
      <c r="R9">
        <f>2.47105*Q9</f>
        <v>178.55807922644269</v>
      </c>
      <c r="S9" t="s">
        <v>87</v>
      </c>
    </row>
    <row r="10" spans="1:19" x14ac:dyDescent="0.45">
      <c r="B10" t="s">
        <v>20</v>
      </c>
      <c r="C10" t="s">
        <v>21</v>
      </c>
      <c r="D10">
        <v>3.2810000000000001</v>
      </c>
      <c r="E10" s="3">
        <f>0.5625* 10000*L3</f>
        <v>56812.5</v>
      </c>
      <c r="F10" s="3">
        <f>D10*E10</f>
        <v>186401.8125</v>
      </c>
      <c r="H10" s="5">
        <f>0.5625*10000*Q3</f>
        <v>393750</v>
      </c>
      <c r="I10" s="5">
        <f>H10*D10</f>
        <v>1291893.75</v>
      </c>
      <c r="K10" t="s">
        <v>62</v>
      </c>
      <c r="L10">
        <v>10.958461040233859</v>
      </c>
      <c r="M10">
        <v>27.078905153469876</v>
      </c>
      <c r="N10" t="s">
        <v>87</v>
      </c>
      <c r="P10" t="s">
        <v>85</v>
      </c>
      <c r="Q10">
        <v>1</v>
      </c>
    </row>
    <row r="12" spans="1:19" x14ac:dyDescent="0.45">
      <c r="A12" t="s">
        <v>22</v>
      </c>
      <c r="B12" t="s">
        <v>23</v>
      </c>
      <c r="C12" t="s">
        <v>24</v>
      </c>
      <c r="D12">
        <v>2000</v>
      </c>
      <c r="E12" s="3">
        <v>1</v>
      </c>
      <c r="F12" s="3">
        <f t="shared" si="0"/>
        <v>2000</v>
      </c>
      <c r="H12" s="5">
        <v>1</v>
      </c>
      <c r="I12" s="5">
        <v>2000</v>
      </c>
    </row>
    <row r="13" spans="1:19" x14ac:dyDescent="0.45">
      <c r="B13" t="s">
        <v>25</v>
      </c>
      <c r="C13" t="s">
        <v>26</v>
      </c>
      <c r="D13">
        <v>3500</v>
      </c>
      <c r="E13" s="3">
        <v>1</v>
      </c>
      <c r="F13" s="3">
        <f t="shared" si="0"/>
        <v>3500</v>
      </c>
      <c r="H13" s="5">
        <v>1</v>
      </c>
      <c r="I13" s="5">
        <v>3500</v>
      </c>
      <c r="K13" t="s">
        <v>63</v>
      </c>
      <c r="L13">
        <v>1</v>
      </c>
      <c r="P13" t="s">
        <v>63</v>
      </c>
      <c r="Q13">
        <v>1</v>
      </c>
    </row>
    <row r="15" spans="1:19" x14ac:dyDescent="0.45">
      <c r="A15" t="s">
        <v>27</v>
      </c>
      <c r="B15" t="s">
        <v>28</v>
      </c>
      <c r="C15" t="s">
        <v>29</v>
      </c>
      <c r="D15">
        <v>4.5</v>
      </c>
      <c r="E15" s="3">
        <v>0</v>
      </c>
      <c r="F15" s="3">
        <f t="shared" si="0"/>
        <v>0</v>
      </c>
      <c r="H15" s="5">
        <v>0</v>
      </c>
      <c r="I15" s="5">
        <f t="shared" ref="I15:I16" si="2">G15*H15</f>
        <v>0</v>
      </c>
      <c r="K15" t="s">
        <v>64</v>
      </c>
      <c r="L15">
        <v>0</v>
      </c>
      <c r="P15" t="s">
        <v>64</v>
      </c>
      <c r="Q15">
        <v>0</v>
      </c>
    </row>
    <row r="16" spans="1:19" x14ac:dyDescent="0.45">
      <c r="B16" t="s">
        <v>30</v>
      </c>
      <c r="C16" t="s">
        <v>31</v>
      </c>
      <c r="D16">
        <v>25</v>
      </c>
      <c r="E16" s="3">
        <v>0</v>
      </c>
      <c r="F16" s="3">
        <f t="shared" si="0"/>
        <v>0</v>
      </c>
      <c r="H16" s="5">
        <v>0</v>
      </c>
      <c r="I16" s="5">
        <f t="shared" si="2"/>
        <v>0</v>
      </c>
      <c r="K16" t="s">
        <v>65</v>
      </c>
      <c r="L16">
        <v>0</v>
      </c>
      <c r="P16" t="s">
        <v>65</v>
      </c>
      <c r="Q16">
        <v>0</v>
      </c>
    </row>
    <row r="17" spans="1:17" x14ac:dyDescent="0.45">
      <c r="B17" t="s">
        <v>32</v>
      </c>
      <c r="C17" t="s">
        <v>33</v>
      </c>
      <c r="D17">
        <v>0.5</v>
      </c>
      <c r="E17" s="3">
        <f>11959.9*L9</f>
        <v>10267.10819509294</v>
      </c>
      <c r="F17" s="3">
        <f t="shared" si="0"/>
        <v>5133.5540975464701</v>
      </c>
      <c r="H17" s="5">
        <f>11595*Q8</f>
        <v>26204.729216569045</v>
      </c>
      <c r="I17" s="5">
        <f>D17*H17</f>
        <v>13102.364608284523</v>
      </c>
      <c r="K17" t="s">
        <v>66</v>
      </c>
      <c r="L17">
        <v>0</v>
      </c>
      <c r="P17" t="s">
        <v>66</v>
      </c>
      <c r="Q17">
        <v>0</v>
      </c>
    </row>
    <row r="18" spans="1:17" x14ac:dyDescent="0.45">
      <c r="B18" t="s">
        <v>34</v>
      </c>
      <c r="C18" t="s">
        <v>35</v>
      </c>
      <c r="D18">
        <v>30</v>
      </c>
      <c r="E18" s="3">
        <v>0</v>
      </c>
      <c r="F18" s="3">
        <f t="shared" si="0"/>
        <v>0</v>
      </c>
      <c r="H18" s="5">
        <v>0</v>
      </c>
      <c r="I18" s="5">
        <f t="shared" ref="I18:I19" si="3">G18*H18</f>
        <v>0</v>
      </c>
      <c r="K18" t="s">
        <v>67</v>
      </c>
      <c r="L18">
        <v>0</v>
      </c>
      <c r="P18" t="s">
        <v>67</v>
      </c>
      <c r="Q18">
        <v>0</v>
      </c>
    </row>
    <row r="19" spans="1:17" x14ac:dyDescent="0.45">
      <c r="B19" t="s">
        <v>36</v>
      </c>
      <c r="C19" t="s">
        <v>37</v>
      </c>
      <c r="D19">
        <v>2</v>
      </c>
      <c r="E19" s="3">
        <v>0</v>
      </c>
      <c r="F19" s="3">
        <f t="shared" si="0"/>
        <v>0</v>
      </c>
      <c r="H19" s="5">
        <v>0</v>
      </c>
      <c r="I19" s="5">
        <f t="shared" si="3"/>
        <v>0</v>
      </c>
      <c r="K19" t="s">
        <v>68</v>
      </c>
      <c r="L19">
        <v>0</v>
      </c>
      <c r="P19" t="s">
        <v>68</v>
      </c>
      <c r="Q19">
        <v>0</v>
      </c>
    </row>
    <row r="21" spans="1:17" x14ac:dyDescent="0.45">
      <c r="A21" t="s">
        <v>38</v>
      </c>
      <c r="B21" t="s">
        <v>39</v>
      </c>
      <c r="C21" t="s">
        <v>40</v>
      </c>
      <c r="D21">
        <v>100</v>
      </c>
      <c r="E21" s="3">
        <v>2</v>
      </c>
      <c r="F21" s="3">
        <f>D21*E21</f>
        <v>200</v>
      </c>
      <c r="K21" t="s">
        <v>69</v>
      </c>
      <c r="L21">
        <v>1</v>
      </c>
      <c r="P21" t="s">
        <v>69</v>
      </c>
      <c r="Q21">
        <f>Q13</f>
        <v>1</v>
      </c>
    </row>
    <row r="22" spans="1:17" x14ac:dyDescent="0.45">
      <c r="B22" t="s">
        <v>41</v>
      </c>
      <c r="C22" t="s">
        <v>42</v>
      </c>
      <c r="D22">
        <v>500</v>
      </c>
      <c r="E22" s="3">
        <v>0.2</v>
      </c>
      <c r="F22" s="3">
        <f t="shared" ref="F22:F28" si="4">D22*E22</f>
        <v>100</v>
      </c>
      <c r="K22" t="s">
        <v>70</v>
      </c>
      <c r="L22">
        <v>0</v>
      </c>
      <c r="P22" t="s">
        <v>70</v>
      </c>
      <c r="Q22">
        <v>0</v>
      </c>
    </row>
    <row r="23" spans="1:17" x14ac:dyDescent="0.45">
      <c r="B23" t="s">
        <v>43</v>
      </c>
      <c r="C23" t="s">
        <v>44</v>
      </c>
      <c r="D23">
        <v>10</v>
      </c>
      <c r="E23" s="3">
        <v>0</v>
      </c>
      <c r="F23" s="3">
        <f t="shared" si="4"/>
        <v>0</v>
      </c>
      <c r="K23" t="s">
        <v>71</v>
      </c>
      <c r="L23">
        <v>0</v>
      </c>
      <c r="P23" t="s">
        <v>71</v>
      </c>
      <c r="Q23">
        <v>0</v>
      </c>
    </row>
    <row r="24" spans="1:17" x14ac:dyDescent="0.45">
      <c r="B24" t="s">
        <v>45</v>
      </c>
      <c r="C24" t="s">
        <v>46</v>
      </c>
      <c r="D24">
        <v>75</v>
      </c>
      <c r="E24" s="3">
        <v>0</v>
      </c>
      <c r="F24" s="3">
        <f t="shared" si="4"/>
        <v>0</v>
      </c>
      <c r="K24" t="s">
        <v>72</v>
      </c>
      <c r="L24">
        <v>0</v>
      </c>
      <c r="P24" t="s">
        <v>72</v>
      </c>
      <c r="Q24">
        <v>0</v>
      </c>
    </row>
    <row r="25" spans="1:17" x14ac:dyDescent="0.45">
      <c r="B25" t="s">
        <v>47</v>
      </c>
      <c r="C25" t="s">
        <v>48</v>
      </c>
      <c r="D25">
        <v>10</v>
      </c>
      <c r="E25" s="3">
        <v>0</v>
      </c>
      <c r="F25" s="3">
        <f t="shared" si="4"/>
        <v>0</v>
      </c>
      <c r="K25" t="s">
        <v>73</v>
      </c>
      <c r="L25">
        <v>0</v>
      </c>
    </row>
    <row r="26" spans="1:17" x14ac:dyDescent="0.45">
      <c r="B26" t="s">
        <v>49</v>
      </c>
      <c r="C26" t="s">
        <v>50</v>
      </c>
      <c r="D26">
        <v>150</v>
      </c>
      <c r="E26" s="3">
        <v>4</v>
      </c>
      <c r="F26" s="3">
        <f t="shared" si="4"/>
        <v>600</v>
      </c>
      <c r="K26" t="s">
        <v>74</v>
      </c>
      <c r="P26" s="1" t="s">
        <v>74</v>
      </c>
    </row>
    <row r="27" spans="1:17" x14ac:dyDescent="0.45">
      <c r="B27" t="s">
        <v>51</v>
      </c>
      <c r="C27" t="s">
        <v>52</v>
      </c>
      <c r="D27">
        <v>125</v>
      </c>
      <c r="E27" s="3">
        <v>2</v>
      </c>
      <c r="F27" s="3">
        <f t="shared" si="4"/>
        <v>250</v>
      </c>
      <c r="K27" t="s">
        <v>40</v>
      </c>
      <c r="L27">
        <v>2</v>
      </c>
      <c r="P27" t="s">
        <v>40</v>
      </c>
      <c r="Q27">
        <v>2</v>
      </c>
    </row>
    <row r="28" spans="1:17" x14ac:dyDescent="0.45">
      <c r="B28" t="s">
        <v>53</v>
      </c>
      <c r="C28" t="s">
        <v>54</v>
      </c>
      <c r="D28">
        <v>125</v>
      </c>
      <c r="E28" s="3">
        <v>2</v>
      </c>
      <c r="F28" s="3">
        <f t="shared" si="4"/>
        <v>250</v>
      </c>
      <c r="K28" t="s">
        <v>75</v>
      </c>
      <c r="L28">
        <v>0.2</v>
      </c>
      <c r="P28" t="s">
        <v>75</v>
      </c>
      <c r="Q28">
        <v>0.2</v>
      </c>
    </row>
    <row r="29" spans="1:17" x14ac:dyDescent="0.45">
      <c r="A29" t="s">
        <v>90</v>
      </c>
      <c r="F29" s="3">
        <f>SUM(F21:F28)</f>
        <v>1400</v>
      </c>
      <c r="K29" t="s">
        <v>76</v>
      </c>
      <c r="L29">
        <v>0</v>
      </c>
      <c r="P29" t="s">
        <v>76</v>
      </c>
      <c r="Q29">
        <v>0</v>
      </c>
    </row>
    <row r="30" spans="1:17" x14ac:dyDescent="0.45">
      <c r="A30" t="s">
        <v>91</v>
      </c>
      <c r="F30" s="4">
        <f>PV(Q37,50, -F29,0)</f>
        <v>44932.397575686911</v>
      </c>
      <c r="G30" s="2"/>
      <c r="K30" t="s">
        <v>77</v>
      </c>
      <c r="L30">
        <v>0</v>
      </c>
      <c r="P30" t="s">
        <v>77</v>
      </c>
      <c r="Q30">
        <v>0</v>
      </c>
    </row>
    <row r="31" spans="1:17" x14ac:dyDescent="0.45">
      <c r="K31" t="s">
        <v>78</v>
      </c>
      <c r="L31">
        <v>2</v>
      </c>
      <c r="P31" t="s">
        <v>78</v>
      </c>
      <c r="Q31">
        <v>2</v>
      </c>
    </row>
    <row r="32" spans="1:17" x14ac:dyDescent="0.45">
      <c r="A32" t="s">
        <v>92</v>
      </c>
      <c r="F32" s="4">
        <f>SUM(F2:F19) + F30</f>
        <v>787957.78646587278</v>
      </c>
      <c r="G32" s="2"/>
      <c r="I32" s="6">
        <f>SUM(I2:I19) + F30</f>
        <v>4044737.7935088244</v>
      </c>
      <c r="K32" t="s">
        <v>54</v>
      </c>
      <c r="L32">
        <v>2</v>
      </c>
      <c r="P32" t="s">
        <v>54</v>
      </c>
      <c r="Q32">
        <v>2</v>
      </c>
    </row>
    <row r="33" spans="1:17" x14ac:dyDescent="0.45">
      <c r="A33" t="s">
        <v>93</v>
      </c>
      <c r="C33">
        <v>3.1157918907882748E-2</v>
      </c>
      <c r="K33" t="s">
        <v>79</v>
      </c>
      <c r="L33">
        <v>4</v>
      </c>
      <c r="P33" t="s">
        <v>79</v>
      </c>
      <c r="Q33">
        <v>4</v>
      </c>
    </row>
    <row r="34" spans="1:17" x14ac:dyDescent="0.45">
      <c r="A34" t="s">
        <v>94</v>
      </c>
      <c r="F34" s="4">
        <f>F32*C33</f>
        <v>24551.124813538456</v>
      </c>
      <c r="G34" s="2"/>
      <c r="I34" s="6">
        <f>I32*C33</f>
        <v>126025.61217379654</v>
      </c>
    </row>
    <row r="35" spans="1:17" x14ac:dyDescent="0.45">
      <c r="A35" t="s">
        <v>95</v>
      </c>
      <c r="F35" s="4">
        <f>F34/M3</f>
        <v>983.71317334088985</v>
      </c>
      <c r="G35" s="2"/>
      <c r="I35" s="6">
        <f>I34/R3</f>
        <v>728.58335047736523</v>
      </c>
      <c r="K35" t="s">
        <v>80</v>
      </c>
      <c r="P35" s="1" t="s">
        <v>80</v>
      </c>
    </row>
    <row r="36" spans="1:17" x14ac:dyDescent="0.45">
      <c r="K36" t="s">
        <v>81</v>
      </c>
      <c r="L36">
        <v>50</v>
      </c>
      <c r="P36" t="s">
        <v>81</v>
      </c>
      <c r="Q36">
        <v>50</v>
      </c>
    </row>
    <row r="37" spans="1:17" x14ac:dyDescent="0.45">
      <c r="A37" t="s">
        <v>96</v>
      </c>
      <c r="F37" s="4">
        <f>F34/L3</f>
        <v>2430.8044369840054</v>
      </c>
      <c r="G37" s="2"/>
      <c r="I37" s="6">
        <f>I34/Q3</f>
        <v>1800.3658881970935</v>
      </c>
      <c r="K37" t="s">
        <v>82</v>
      </c>
      <c r="L37">
        <v>1.9E-2</v>
      </c>
      <c r="P37" t="s">
        <v>82</v>
      </c>
      <c r="Q37">
        <v>1.9E-2</v>
      </c>
    </row>
    <row r="38" spans="1:17" x14ac:dyDescent="0.45">
      <c r="K38" t="s">
        <v>83</v>
      </c>
      <c r="P38" t="s">
        <v>83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costassumption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Zhengxin Lang</cp:lastModifiedBy>
  <dcterms:created xsi:type="dcterms:W3CDTF">2019-09-12T15:08:28Z</dcterms:created>
  <dcterms:modified xsi:type="dcterms:W3CDTF">2019-09-12T15:35:57Z</dcterms:modified>
</cp:coreProperties>
</file>