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AtividadesFaculdade\Arquivos\Estatistica\"/>
    </mc:Choice>
  </mc:AlternateContent>
  <xr:revisionPtr revIDLastSave="0" documentId="13_ncr:1_{54CB14F5-8C6A-4EB5-A522-6FE9553D733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estão 1" sheetId="6" r:id="rId1"/>
    <sheet name="Questão 2" sheetId="7" r:id="rId2"/>
    <sheet name="Questão 3" sheetId="8" r:id="rId3"/>
    <sheet name="Questão 4" sheetId="4" r:id="rId4"/>
    <sheet name="Questão 5" sheetId="3" r:id="rId5"/>
    <sheet name="Questão 6" sheetId="2" r:id="rId6"/>
    <sheet name="Questão 7" sheetId="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8" l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3" i="8" s="1"/>
  <c r="Q3" i="8"/>
  <c r="Q13" i="8" s="1"/>
  <c r="P3" i="8"/>
  <c r="P13" i="8" s="1"/>
  <c r="J9" i="8"/>
  <c r="O11" i="8"/>
  <c r="O10" i="8"/>
  <c r="O9" i="8"/>
  <c r="O8" i="8"/>
  <c r="O7" i="8"/>
  <c r="O6" i="8"/>
  <c r="J4" i="8"/>
  <c r="O3" i="8"/>
  <c r="C14" i="6"/>
  <c r="C12" i="6"/>
  <c r="G7" i="6"/>
  <c r="G14" i="7"/>
  <c r="O4" i="8" l="1"/>
  <c r="O13" i="8" s="1"/>
  <c r="O5" i="8"/>
  <c r="M4" i="8" l="1"/>
  <c r="J6" i="8" s="1"/>
  <c r="J13" i="8" s="1"/>
  <c r="D13" i="7" l="1"/>
  <c r="H10" i="7"/>
  <c r="D7" i="7"/>
  <c r="H6" i="7"/>
  <c r="D9" i="7"/>
  <c r="D6" i="7" l="1"/>
  <c r="D12" i="4" l="1"/>
  <c r="D14" i="4" s="1"/>
  <c r="D11" i="4"/>
  <c r="O5" i="4"/>
  <c r="P4" i="4"/>
  <c r="Q4" i="4"/>
  <c r="R4" i="4"/>
  <c r="S4" i="4"/>
  <c r="T4" i="4"/>
  <c r="U4" i="4"/>
  <c r="O4" i="4"/>
  <c r="H14" i="4"/>
  <c r="J8" i="4"/>
  <c r="I8" i="4"/>
  <c r="H8" i="4"/>
  <c r="G8" i="4"/>
  <c r="F8" i="4"/>
  <c r="E8" i="4"/>
  <c r="D8" i="4"/>
  <c r="H10" i="4" s="1"/>
  <c r="D10" i="4" l="1"/>
  <c r="D11" i="3" l="1"/>
  <c r="K5" i="3"/>
  <c r="L4" i="3"/>
  <c r="M4" i="3"/>
  <c r="N4" i="3"/>
  <c r="O4" i="3"/>
  <c r="K4" i="3"/>
  <c r="D12" i="3"/>
  <c r="D10" i="3"/>
  <c r="D14" i="3" l="1"/>
  <c r="H14" i="3" l="1"/>
  <c r="H8" i="3"/>
  <c r="G8" i="3"/>
  <c r="F8" i="3"/>
  <c r="E8" i="3"/>
  <c r="H10" i="3" s="1"/>
  <c r="D8" i="3"/>
  <c r="B32" i="2" l="1"/>
  <c r="C10" i="2"/>
  <c r="E3" i="2"/>
  <c r="E2" i="2"/>
  <c r="B11" i="1"/>
  <c r="B7" i="1"/>
  <c r="A7" i="1"/>
  <c r="E6" i="1"/>
  <c r="E3" i="1"/>
  <c r="E4" i="1"/>
  <c r="E5" i="1"/>
  <c r="E2" i="1"/>
  <c r="E7" i="1" s="1"/>
  <c r="D3" i="1"/>
  <c r="D4" i="1"/>
  <c r="D5" i="1"/>
  <c r="D6" i="1"/>
  <c r="D2" i="1"/>
  <c r="D7" i="1" s="1"/>
  <c r="C3" i="1"/>
  <c r="C4" i="1"/>
  <c r="C5" i="1"/>
  <c r="C6" i="1"/>
  <c r="C2" i="1"/>
  <c r="C7" i="1" s="1"/>
  <c r="B7" i="2" l="1"/>
  <c r="C12" i="2"/>
  <c r="B13" i="2" s="1"/>
  <c r="H5" i="1"/>
</calcChain>
</file>

<file path=xl/sharedStrings.xml><?xml version="1.0" encoding="utf-8"?>
<sst xmlns="http://schemas.openxmlformats.org/spreadsheetml/2006/main" count="167" uniqueCount="100">
  <si>
    <t>T ( º C) --&gt; x</t>
  </si>
  <si>
    <t>mm (m) --&gt; y</t>
  </si>
  <si>
    <t>x^2</t>
  </si>
  <si>
    <t>y^2</t>
  </si>
  <si>
    <t>xy</t>
  </si>
  <si>
    <t>n=</t>
  </si>
  <si>
    <t>r=</t>
  </si>
  <si>
    <t xml:space="preserve">a) </t>
  </si>
  <si>
    <t>≅</t>
  </si>
  <si>
    <t>r^2=</t>
  </si>
  <si>
    <t>b)</t>
  </si>
  <si>
    <t>c)</t>
  </si>
  <si>
    <t>Interpretação</t>
  </si>
  <si>
    <t>Processo</t>
  </si>
  <si>
    <t>Tamanho da Amostra</t>
  </si>
  <si>
    <t>Média</t>
  </si>
  <si>
    <t>Desvio Padrão</t>
  </si>
  <si>
    <t>A</t>
  </si>
  <si>
    <t>B</t>
  </si>
  <si>
    <t>Variância</t>
  </si>
  <si>
    <t xml:space="preserve">F=225/100 = </t>
  </si>
  <si>
    <t>&lt;4 homogênea</t>
  </si>
  <si>
    <t>-&gt; maior variância</t>
  </si>
  <si>
    <t>12+15-2 =</t>
  </si>
  <si>
    <t>α =</t>
  </si>
  <si>
    <t>α/2 =</t>
  </si>
  <si>
    <t>tc pela tabela =</t>
  </si>
  <si>
    <t>S²a</t>
  </si>
  <si>
    <t>Sa =</t>
  </si>
  <si>
    <t>t=</t>
  </si>
  <si>
    <t xml:space="preserve">  </t>
  </si>
  <si>
    <t>gl</t>
  </si>
  <si>
    <t>((12-1)*225 + (15-1)*100)/25 =</t>
  </si>
  <si>
    <t>operador</t>
  </si>
  <si>
    <t>marca a</t>
  </si>
  <si>
    <t>seg</t>
  </si>
  <si>
    <t>marca b</t>
  </si>
  <si>
    <t>diferença</t>
  </si>
  <si>
    <t>=</t>
  </si>
  <si>
    <r>
      <rPr>
        <sz val="14"/>
        <color theme="1"/>
        <rFont val="Calibri"/>
        <family val="2"/>
      </rPr>
      <t>Σ</t>
    </r>
    <r>
      <rPr>
        <sz val="11"/>
        <color theme="1"/>
        <rFont val="Calibri"/>
        <family val="2"/>
      </rPr>
      <t>D=</t>
    </r>
  </si>
  <si>
    <r>
      <rPr>
        <sz val="14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=</t>
    </r>
  </si>
  <si>
    <t>α=</t>
  </si>
  <si>
    <t>gl=</t>
  </si>
  <si>
    <t>tc=</t>
  </si>
  <si>
    <t>Teste-t: duas amostras em par para médias</t>
  </si>
  <si>
    <t>Observações</t>
  </si>
  <si>
    <t xml:space="preserve">Correlação de Pearson 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</si>
  <si>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</si>
  <si>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</si>
  <si>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</si>
  <si>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</si>
  <si>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</si>
  <si>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</si>
  <si>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S2=</t>
  </si>
  <si>
    <t>par</t>
  </si>
  <si>
    <t>c\ cartaz</t>
  </si>
  <si>
    <t>s\ cartaz</t>
  </si>
  <si>
    <r>
      <rPr>
        <sz val="11"/>
        <color theme="1"/>
        <rFont val="MS Reference Sans Serif"/>
        <family val="2"/>
      </rPr>
      <t></t>
    </r>
    <r>
      <rPr>
        <sz val="11"/>
        <color theme="1"/>
        <rFont val="Calibri"/>
        <family val="2"/>
      </rPr>
      <t>=</t>
    </r>
  </si>
  <si>
    <r>
      <rPr>
        <sz val="14"/>
        <color theme="1"/>
        <rFont val="Calibri"/>
        <family val="2"/>
      </rPr>
      <t>Σ</t>
    </r>
    <r>
      <rPr>
        <sz val="10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=</t>
    </r>
  </si>
  <si>
    <t>μ=</t>
  </si>
  <si>
    <t>=</t>
  </si>
  <si>
    <t>σ=</t>
  </si>
  <si>
    <t>Zcal=</t>
  </si>
  <si>
    <t>Zc=</t>
  </si>
  <si>
    <t>α/2=</t>
  </si>
  <si>
    <r>
      <rPr>
        <sz val="12"/>
        <color theme="1"/>
        <rFont val="MS Reference Sans Serif"/>
        <family val="2"/>
      </rPr>
      <t>μ</t>
    </r>
    <r>
      <rPr>
        <sz val="10"/>
        <color theme="1"/>
        <rFont val="Calibri"/>
        <family val="2"/>
      </rPr>
      <t>0</t>
    </r>
  </si>
  <si>
    <t>kWh</t>
  </si>
  <si>
    <t>dados amostrais</t>
  </si>
  <si>
    <t>desvio padrão</t>
  </si>
  <si>
    <t>variancia</t>
  </si>
  <si>
    <t>KWh</t>
  </si>
  <si>
    <t>-&gt;</t>
  </si>
  <si>
    <r>
      <t>Tcal = (</t>
    </r>
    <r>
      <rPr>
        <sz val="11"/>
        <color theme="1"/>
        <rFont val="MS Reference Sans Serif"/>
        <family val="2"/>
      </rPr>
      <t></t>
    </r>
    <r>
      <rPr>
        <sz val="11"/>
        <color theme="1"/>
        <rFont val="Calibri"/>
        <family val="2"/>
        <scheme val="minor"/>
      </rPr>
      <t xml:space="preserve"> - μ) / (S/ raiz(n))</t>
    </r>
  </si>
  <si>
    <t>Tcal=</t>
  </si>
  <si>
    <t>Tc=</t>
  </si>
  <si>
    <t>gl=n-1=</t>
  </si>
  <si>
    <t>Tc tabela=</t>
  </si>
  <si>
    <t>h0</t>
  </si>
  <si>
    <r>
      <t>Tcal = (</t>
    </r>
    <r>
      <rPr>
        <sz val="11"/>
        <color theme="1"/>
        <rFont val="MS Reference Sans Serif"/>
        <family val="2"/>
      </rPr>
      <t> - μ</t>
    </r>
    <r>
      <rPr>
        <sz val="11"/>
        <color theme="1"/>
        <rFont val="Calibri"/>
        <family val="2"/>
        <scheme val="minor"/>
      </rPr>
      <t>) / (S</t>
    </r>
    <r>
      <rPr>
        <sz val="11"/>
        <color theme="1"/>
        <rFont val="Calibri"/>
        <family val="2"/>
      </rPr>
      <t xml:space="preserve"> / raiz(n)</t>
    </r>
    <r>
      <rPr>
        <sz val="11"/>
        <color theme="1"/>
        <rFont val="Calibri"/>
        <family val="2"/>
        <scheme val="minor"/>
      </rPr>
      <t>)</t>
    </r>
  </si>
  <si>
    <t>S=</t>
  </si>
  <si>
    <t>0,83 é a região de H0 verdadeiro, não há diferenças significativas nas médias. 
Tem diferença matemática mas não estatística</t>
  </si>
  <si>
    <t>Dados Amostrais</t>
  </si>
  <si>
    <r>
      <rPr>
        <sz val="12"/>
        <color theme="1"/>
        <rFont val="MS Reference Sans Serif"/>
        <family val="2"/>
      </rPr>
      <t>μ</t>
    </r>
    <r>
      <rPr>
        <sz val="11"/>
        <color theme="1"/>
        <rFont val="Calibri"/>
        <family val="2"/>
      </rPr>
      <t>=</t>
    </r>
  </si>
  <si>
    <t>N</t>
  </si>
  <si>
    <t>Dado</t>
  </si>
  <si>
    <t>H0</t>
  </si>
  <si>
    <r>
      <rPr>
        <sz val="11"/>
        <color theme="1"/>
        <rFont val="MS Reference Sans Serif"/>
        <family val="2"/>
      </rPr>
      <t></t>
    </r>
    <r>
      <rPr>
        <sz val="11"/>
        <color theme="1"/>
        <rFont val="Calibri"/>
        <family val="2"/>
      </rPr>
      <t>=</t>
    </r>
  </si>
  <si>
    <t>s2</t>
  </si>
  <si>
    <t>s=</t>
  </si>
  <si>
    <t xml:space="preserve"> </t>
  </si>
  <si>
    <t>Teste-z: duas amostras para médias</t>
  </si>
  <si>
    <t>Variância conhecida</t>
  </si>
  <si>
    <t>z</t>
  </si>
  <si>
    <t>P(Z&lt;=z) uni-caudal</t>
  </si>
  <si>
    <t>z crítico uni-caudal</t>
  </si>
  <si>
    <t>P(Z&lt;=z) bi-caudal</t>
  </si>
  <si>
    <t>z crítico bi-caudal</t>
  </si>
  <si>
    <t>S</t>
  </si>
  <si>
    <t>Área=</t>
  </si>
  <si>
    <t>-&gt; 0,4495 na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</si>
</sst>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8" formatCode="0.000"/>
    <numFmt numFmtId="169" formatCode="0.00000000"/>
  </numFmts>
  <fonts count="24">
    <font>
      <sz val="11"/>
      <color theme="1"/>
      <name val="Calibri"/>
      <family val="2"/>
      <scheme val="minor"/>
    </font>
    <font>
      <b/>
      <sz val="12"/>
      <color rgb="FF333333"/>
      <name val="Times New Roman"/>
      <charset val="1"/>
    </font>
    <font>
      <b/>
      <sz val="12"/>
      <color rgb="FF333333"/>
      <name val="WordVisi_MSFontService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202124"/>
      <name val="Arial"/>
      <family val="2"/>
      <charset val="1"/>
    </font>
    <font>
      <sz val="11"/>
      <color rgb="FF202124"/>
      <name val="Arial"/>
      <family val="2"/>
    </font>
    <font>
      <sz val="12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1"/>
      <color rgb="FF000000"/>
      <name val="Calibri"/>
      <family val="2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MS Reference Sans Serif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2"/>
      <color rgb="FF22222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9" fillId="6" borderId="0" applyNumberFormat="0" applyBorder="0" applyAlignment="0" applyProtection="0"/>
    <xf numFmtId="0" fontId="8" fillId="7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quotePrefix="1"/>
    <xf numFmtId="0" fontId="7" fillId="4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1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wrapText="1"/>
    </xf>
    <xf numFmtId="0" fontId="10" fillId="8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/>
    <xf numFmtId="0" fontId="3" fillId="8" borderId="12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/>
    <xf numFmtId="0" fontId="1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/>
    <xf numFmtId="0" fontId="0" fillId="8" borderId="19" xfId="0" applyFill="1" applyBorder="1"/>
    <xf numFmtId="0" fontId="3" fillId="8" borderId="0" xfId="0" applyFont="1" applyFill="1" applyAlignment="1">
      <alignment horizontal="center" vertical="center"/>
    </xf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3" fillId="0" borderId="6" xfId="0" applyFont="1" applyBorder="1"/>
    <xf numFmtId="0" fontId="14" fillId="0" borderId="6" xfId="0" applyFont="1" applyBorder="1"/>
    <xf numFmtId="2" fontId="0" fillId="0" borderId="6" xfId="0" applyNumberFormat="1" applyBorder="1"/>
    <xf numFmtId="0" fontId="8" fillId="7" borderId="20" xfId="2" applyBorder="1"/>
    <xf numFmtId="0" fontId="9" fillId="6" borderId="6" xfId="1" applyBorder="1"/>
    <xf numFmtId="0" fontId="0" fillId="0" borderId="18" xfId="0" applyBorder="1"/>
    <xf numFmtId="2" fontId="0" fillId="0" borderId="0" xfId="0" applyNumberFormat="1"/>
    <xf numFmtId="0" fontId="0" fillId="0" borderId="0" xfId="0" applyBorder="1"/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8" xfId="0" applyFill="1" applyBorder="1" applyAlignment="1"/>
    <xf numFmtId="0" fontId="18" fillId="0" borderId="23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8" fillId="7" borderId="6" xfId="2" applyBorder="1"/>
    <xf numFmtId="0" fontId="9" fillId="6" borderId="20" xfId="1" applyBorder="1"/>
    <xf numFmtId="164" fontId="0" fillId="0" borderId="0" xfId="0" applyNumberFormat="1"/>
    <xf numFmtId="0" fontId="14" fillId="0" borderId="20" xfId="0" applyFont="1" applyFill="1" applyBorder="1"/>
    <xf numFmtId="0" fontId="0" fillId="0" borderId="0" xfId="0" applyAlignment="1">
      <alignment vertical="center"/>
    </xf>
    <xf numFmtId="0" fontId="0" fillId="0" borderId="0" xfId="0"/>
    <xf numFmtId="0" fontId="0" fillId="0" borderId="6" xfId="0" applyBorder="1"/>
    <xf numFmtId="0" fontId="13" fillId="0" borderId="6" xfId="0" applyFont="1" applyBorder="1"/>
    <xf numFmtId="0" fontId="14" fillId="0" borderId="6" xfId="0" applyFont="1" applyBorder="1"/>
    <xf numFmtId="0" fontId="8" fillId="7" borderId="8" xfId="2" applyBorder="1"/>
    <xf numFmtId="2" fontId="8" fillId="7" borderId="8" xfId="2" applyNumberFormat="1" applyBorder="1"/>
    <xf numFmtId="0" fontId="9" fillId="6" borderId="6" xfId="1" applyBorder="1"/>
    <xf numFmtId="0" fontId="0" fillId="0" borderId="22" xfId="0" applyFill="1" applyBorder="1"/>
    <xf numFmtId="0" fontId="0" fillId="0" borderId="6" xfId="0" applyBorder="1" applyAlignment="1">
      <alignment horizontal="center"/>
    </xf>
    <xf numFmtId="1" fontId="0" fillId="0" borderId="6" xfId="0" applyNumberFormat="1" applyBorder="1"/>
    <xf numFmtId="0" fontId="21" fillId="0" borderId="6" xfId="0" applyFont="1" applyBorder="1"/>
    <xf numFmtId="0" fontId="0" fillId="0" borderId="15" xfId="0" applyBorder="1"/>
    <xf numFmtId="0" fontId="3" fillId="0" borderId="0" xfId="0" quotePrefix="1" applyFont="1" applyAlignment="1">
      <alignment horizontal="center"/>
    </xf>
    <xf numFmtId="0" fontId="22" fillId="0" borderId="0" xfId="0" applyFont="1"/>
    <xf numFmtId="0" fontId="13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69" fontId="0" fillId="0" borderId="11" xfId="0" applyNumberFormat="1" applyFill="1" applyBorder="1" applyAlignment="1">
      <alignment horizontal="center" vertical="center"/>
    </xf>
    <xf numFmtId="169" fontId="0" fillId="0" borderId="11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 vertical="center"/>
    </xf>
    <xf numFmtId="2" fontId="8" fillId="7" borderId="6" xfId="2" applyNumberFormat="1" applyBorder="1"/>
    <xf numFmtId="2" fontId="9" fillId="6" borderId="6" xfId="1" applyNumberFormat="1" applyBorder="1"/>
    <xf numFmtId="2" fontId="0" fillId="0" borderId="18" xfId="0" applyNumberFormat="1" applyFill="1" applyBorder="1" applyAlignment="1"/>
    <xf numFmtId="168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8" fillId="7" borderId="22" xfId="2" applyNumberFormat="1" applyBorder="1"/>
    <xf numFmtId="2" fontId="0" fillId="0" borderId="6" xfId="0" applyNumberFormat="1" applyBorder="1" applyAlignment="1">
      <alignment horizontal="center"/>
    </xf>
    <xf numFmtId="168" fontId="8" fillId="7" borderId="8" xfId="2" applyNumberFormat="1" applyBorder="1"/>
    <xf numFmtId="0" fontId="0" fillId="0" borderId="6" xfId="0" applyFill="1" applyBorder="1"/>
    <xf numFmtId="0" fontId="3" fillId="0" borderId="2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3" fillId="0" borderId="6" xfId="0" applyFont="1" applyBorder="1"/>
    <xf numFmtId="0" fontId="0" fillId="0" borderId="6" xfId="0" applyBorder="1" applyAlignment="1">
      <alignment horizontal="center" wrapText="1"/>
    </xf>
    <xf numFmtId="0" fontId="9" fillId="6" borderId="6" xfId="1" applyBorder="1" applyAlignment="1">
      <alignment horizontal="center"/>
    </xf>
    <xf numFmtId="0" fontId="8" fillId="7" borderId="6" xfId="2" applyBorder="1" applyAlignment="1">
      <alignment horizontal="center"/>
    </xf>
    <xf numFmtId="0" fontId="18" fillId="0" borderId="23" xfId="0" applyFont="1" applyBorder="1" applyAlignment="1">
      <alignment horizontal="center"/>
    </xf>
    <xf numFmtId="2" fontId="0" fillId="0" borderId="18" xfId="0" applyNumberFormat="1" applyBorder="1"/>
    <xf numFmtId="0" fontId="0" fillId="0" borderId="25" xfId="0" applyBorder="1" applyAlignment="1">
      <alignment horizontal="center"/>
    </xf>
  </cellXfs>
  <cellStyles count="3">
    <cellStyle name="40% - Ênfase1" xfId="2" builtinId="31"/>
    <cellStyle name="Normal" xfId="0" builtinId="0"/>
    <cellStyle name="Ruim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'Questão 7'!$B$1</c:f>
              <c:strCache>
                <c:ptCount val="1"/>
                <c:pt idx="0">
                  <c:v>mm (m) --&gt;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846202364239356E-4"/>
                  <c:y val="0.4245742537996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0,56x + 997,4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'Questão 7'!$A$2:$A$6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'Questão 7'!$B$2:$B$6</c:f>
              <c:numCache>
                <c:formatCode>General</c:formatCode>
                <c:ptCount val="5"/>
                <c:pt idx="0">
                  <c:v>1003</c:v>
                </c:pt>
                <c:pt idx="1">
                  <c:v>1005</c:v>
                </c:pt>
                <c:pt idx="2">
                  <c:v>1010</c:v>
                </c:pt>
                <c:pt idx="3">
                  <c:v>1011</c:v>
                </c:pt>
                <c:pt idx="4">
                  <c:v>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F-42C0-A994-8344E9AA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73352"/>
        <c:axId val="1838775896"/>
      </c:scatterChart>
      <c:valAx>
        <c:axId val="15889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775896"/>
        <c:crosses val="autoZero"/>
        <c:crossBetween val="midCat"/>
      </c:valAx>
      <c:valAx>
        <c:axId val="18387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9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1.xml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7</xdr:row>
      <xdr:rowOff>152400</xdr:rowOff>
    </xdr:from>
    <xdr:to>
      <xdr:col>12</xdr:col>
      <xdr:colOff>191211</xdr:colOff>
      <xdr:row>21</xdr:row>
      <xdr:rowOff>171834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CBF693A-239E-4B4E-961C-74DFB3FB2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1543050"/>
          <a:ext cx="5096586" cy="27531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419329</xdr:colOff>
      <xdr:row>27</xdr:row>
      <xdr:rowOff>47711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BE736D-422A-491D-90E5-BAA57134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695825"/>
          <a:ext cx="1638529" cy="619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27</xdr:row>
      <xdr:rowOff>47625</xdr:rowOff>
    </xdr:from>
    <xdr:to>
      <xdr:col>12</xdr:col>
      <xdr:colOff>239092</xdr:colOff>
      <xdr:row>33</xdr:row>
      <xdr:rowOff>104943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92DB35F-37D1-4551-AE41-A0979061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5314950"/>
          <a:ext cx="6925642" cy="1200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319087</xdr:colOff>
      <xdr:row>0</xdr:row>
      <xdr:rowOff>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071A0AA-F112-4C22-AA9E-728C83C06790}"/>
            </a:ext>
          </a:extLst>
        </xdr:cNvPr>
        <xdr:cNvSpPr txBox="1"/>
      </xdr:nvSpPr>
      <xdr:spPr>
        <a:xfrm>
          <a:off x="10587037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1</xdr:col>
      <xdr:colOff>695325</xdr:colOff>
      <xdr:row>14</xdr:row>
      <xdr:rowOff>152400</xdr:rowOff>
    </xdr:from>
    <xdr:to>
      <xdr:col>9</xdr:col>
      <xdr:colOff>391208</xdr:colOff>
      <xdr:row>28</xdr:row>
      <xdr:rowOff>190879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D2580D6-2148-494B-8A65-E3C19D73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2981325"/>
          <a:ext cx="4896533" cy="2715004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31</xdr:row>
      <xdr:rowOff>171450</xdr:rowOff>
    </xdr:from>
    <xdr:to>
      <xdr:col>4</xdr:col>
      <xdr:colOff>171676</xdr:colOff>
      <xdr:row>35</xdr:row>
      <xdr:rowOff>104872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CF0069F-4C32-4132-AF36-7FD14B8F8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6257925"/>
          <a:ext cx="1619476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34</xdr:row>
      <xdr:rowOff>180975</xdr:rowOff>
    </xdr:from>
    <xdr:to>
      <xdr:col>10</xdr:col>
      <xdr:colOff>1734514</xdr:colOff>
      <xdr:row>42</xdr:row>
      <xdr:rowOff>114503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0452AF0-F2C9-4686-8981-568DA7A0B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5" y="6838950"/>
          <a:ext cx="6906589" cy="1457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30</xdr:row>
      <xdr:rowOff>142875</xdr:rowOff>
    </xdr:from>
    <xdr:to>
      <xdr:col>10</xdr:col>
      <xdr:colOff>561665</xdr:colOff>
      <xdr:row>34</xdr:row>
      <xdr:rowOff>71255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2F7315-9E41-47CD-AAA9-43368B2F5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6181725"/>
          <a:ext cx="1809440" cy="728480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14</xdr:row>
      <xdr:rowOff>9525</xdr:rowOff>
    </xdr:from>
    <xdr:to>
      <xdr:col>13</xdr:col>
      <xdr:colOff>1029354</xdr:colOff>
      <xdr:row>27</xdr:row>
      <xdr:rowOff>162309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1617659-87D7-4FCD-8BE3-4D0AF2B35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847975"/>
          <a:ext cx="4686954" cy="2753109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34</xdr:row>
      <xdr:rowOff>9525</xdr:rowOff>
    </xdr:from>
    <xdr:to>
      <xdr:col>14</xdr:col>
      <xdr:colOff>1982161</xdr:colOff>
      <xdr:row>41</xdr:row>
      <xdr:rowOff>47820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E0762EF-B76B-4149-99C9-D96BD13C6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8225" y="6848475"/>
          <a:ext cx="6887536" cy="1400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16</xdr:row>
      <xdr:rowOff>76200</xdr:rowOff>
    </xdr:from>
    <xdr:to>
      <xdr:col>10</xdr:col>
      <xdr:colOff>143577</xdr:colOff>
      <xdr:row>30</xdr:row>
      <xdr:rowOff>95628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7E3BE5-3D69-4C05-ACBC-17D36B1CA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3352800"/>
          <a:ext cx="5029902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5</xdr:col>
      <xdr:colOff>514677</xdr:colOff>
      <xdr:row>36</xdr:row>
      <xdr:rowOff>171554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E24183-D7ED-4CC2-BF2C-EDDAD6035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534150"/>
          <a:ext cx="2343477" cy="743054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36</xdr:row>
      <xdr:rowOff>152400</xdr:rowOff>
    </xdr:from>
    <xdr:to>
      <xdr:col>11</xdr:col>
      <xdr:colOff>1267770</xdr:colOff>
      <xdr:row>46</xdr:row>
      <xdr:rowOff>76455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4F8C522-4CD0-495C-8676-55996C710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50" y="7258050"/>
          <a:ext cx="6773220" cy="1829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16</xdr:row>
      <xdr:rowOff>104775</xdr:rowOff>
    </xdr:from>
    <xdr:to>
      <xdr:col>9</xdr:col>
      <xdr:colOff>553155</xdr:colOff>
      <xdr:row>30</xdr:row>
      <xdr:rowOff>86097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452C37-5A78-41F4-913A-55EF0A43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3381375"/>
          <a:ext cx="5048955" cy="266737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31</xdr:row>
      <xdr:rowOff>66675</xdr:rowOff>
    </xdr:from>
    <xdr:to>
      <xdr:col>4</xdr:col>
      <xdr:colOff>533677</xdr:colOff>
      <xdr:row>36</xdr:row>
      <xdr:rowOff>114440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20963A1-B6D8-42DF-B804-A923ED0FC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6219825"/>
          <a:ext cx="1981477" cy="1000265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35</xdr:row>
      <xdr:rowOff>180975</xdr:rowOff>
    </xdr:from>
    <xdr:to>
      <xdr:col>10</xdr:col>
      <xdr:colOff>1686872</xdr:colOff>
      <xdr:row>43</xdr:row>
      <xdr:rowOff>143082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57A41A-9B85-40EC-A279-E676477BF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7096125"/>
          <a:ext cx="6782747" cy="1486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16</xdr:row>
      <xdr:rowOff>76200</xdr:rowOff>
    </xdr:from>
    <xdr:to>
      <xdr:col>3</xdr:col>
      <xdr:colOff>272788</xdr:colOff>
      <xdr:row>30</xdr:row>
      <xdr:rowOff>124204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BB3BF42-E47B-40D9-BDCC-852EF5E66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714750"/>
          <a:ext cx="4620270" cy="271500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16</xdr:row>
      <xdr:rowOff>76200</xdr:rowOff>
    </xdr:from>
    <xdr:to>
      <xdr:col>3</xdr:col>
      <xdr:colOff>301363</xdr:colOff>
      <xdr:row>30</xdr:row>
      <xdr:rowOff>124204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F7C78C9-2DD0-46DF-A85A-37B53A2B5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276600"/>
          <a:ext cx="4616188" cy="271500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34</xdr:row>
      <xdr:rowOff>9525</xdr:rowOff>
    </xdr:from>
    <xdr:to>
      <xdr:col>3</xdr:col>
      <xdr:colOff>229237</xdr:colOff>
      <xdr:row>37</xdr:row>
      <xdr:rowOff>67073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5805DB-ECF7-4C05-8003-54766195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6657975"/>
          <a:ext cx="4563112" cy="2848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514629</xdr:colOff>
      <xdr:row>43</xdr:row>
      <xdr:rowOff>76317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ADE644-6E06-4907-A556-A07F9BC5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20275"/>
          <a:ext cx="2000529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42</xdr:row>
      <xdr:rowOff>161925</xdr:rowOff>
    </xdr:from>
    <xdr:to>
      <xdr:col>5</xdr:col>
      <xdr:colOff>277180</xdr:colOff>
      <xdr:row>50</xdr:row>
      <xdr:rowOff>47822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9EA4381-F770-4816-B92C-06798B61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10553700"/>
          <a:ext cx="6839905" cy="14098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9525</xdr:rowOff>
    </xdr:from>
    <xdr:to>
      <xdr:col>11</xdr:col>
      <xdr:colOff>47625</xdr:colOff>
      <xdr:row>1</xdr:row>
      <xdr:rowOff>266700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E69561-2CBF-4ED6-8CB2-3C52E4E14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9525"/>
          <a:ext cx="3124200" cy="60960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13</xdr:row>
      <xdr:rowOff>66675</xdr:rowOff>
    </xdr:from>
    <xdr:to>
      <xdr:col>6</xdr:col>
      <xdr:colOff>476250</xdr:colOff>
      <xdr:row>28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4AB5F2-CB4E-45C1-B815-BFF8EE449581}"/>
            </a:ext>
            <a:ext uri="{147F2762-F138-4A5C-976F-8EAC2B608ADB}">
              <a16:predDERef xmlns:a16="http://schemas.microsoft.com/office/drawing/2014/main" pred="{32E69561-2CBF-4ED6-8CB2-3C52E4E1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561975</xdr:colOff>
      <xdr:row>31</xdr:row>
      <xdr:rowOff>76200</xdr:rowOff>
    </xdr:from>
    <xdr:to>
      <xdr:col>9</xdr:col>
      <xdr:colOff>562922</xdr:colOff>
      <xdr:row>46</xdr:row>
      <xdr:rowOff>171862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E6421AC-E0BA-45A2-8DE6-6A2CE9E5B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6419850"/>
          <a:ext cx="6782747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3056-F50D-4F9E-8F65-C36B68607031}">
  <dimension ref="A1:M23"/>
  <sheetViews>
    <sheetView tabSelected="1" workbookViewId="0">
      <selection activeCell="S27" sqref="S27"/>
    </sheetView>
  </sheetViews>
  <sheetFormatPr defaultRowHeight="15"/>
  <sheetData>
    <row r="1" spans="1:1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5.75" thickBo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15.75" thickBot="1">
      <c r="A3" s="77"/>
      <c r="B3" s="79" t="s">
        <v>59</v>
      </c>
      <c r="C3" s="78">
        <v>10</v>
      </c>
      <c r="D3" s="77"/>
      <c r="E3" s="78" t="s">
        <v>5</v>
      </c>
      <c r="F3" s="78">
        <v>28</v>
      </c>
      <c r="G3" s="77"/>
      <c r="H3" s="77"/>
      <c r="I3" s="77"/>
      <c r="J3" s="77"/>
      <c r="K3" s="77"/>
      <c r="L3" s="77"/>
      <c r="M3" s="77"/>
    </row>
    <row r="4" spans="1:13" ht="15.75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15.75" thickBot="1">
      <c r="A5" s="77"/>
      <c r="B5" s="79" t="s">
        <v>60</v>
      </c>
      <c r="C5" s="78">
        <v>11</v>
      </c>
      <c r="D5" s="77"/>
      <c r="E5" s="77"/>
      <c r="F5" s="92" t="s">
        <v>78</v>
      </c>
      <c r="G5" s="92"/>
      <c r="H5" s="92"/>
      <c r="I5" s="77"/>
      <c r="J5" s="77"/>
      <c r="K5" s="77"/>
      <c r="L5" s="77"/>
      <c r="M5" s="77"/>
    </row>
    <row r="6" spans="1:13" ht="15.75" thickBot="1">
      <c r="A6" s="77"/>
      <c r="B6" s="77"/>
      <c r="C6" s="77"/>
      <c r="D6" s="77"/>
      <c r="E6" s="77"/>
      <c r="F6" s="92"/>
      <c r="G6" s="92"/>
      <c r="H6" s="92"/>
      <c r="I6" s="77"/>
      <c r="J6" s="77"/>
      <c r="K6" s="77"/>
      <c r="L6" s="77"/>
      <c r="M6" s="77"/>
    </row>
    <row r="7" spans="1:13" ht="15.75" thickBot="1">
      <c r="A7" s="77"/>
      <c r="B7" s="80" t="s">
        <v>79</v>
      </c>
      <c r="C7" s="78">
        <v>3.5</v>
      </c>
      <c r="D7" s="77"/>
      <c r="E7" s="77"/>
      <c r="F7" s="81" t="s">
        <v>73</v>
      </c>
      <c r="G7" s="82">
        <f>(C5-C3)/(C7/SQRT(F3))</f>
        <v>1.511857892036909</v>
      </c>
      <c r="H7" s="77"/>
      <c r="I7" s="77"/>
      <c r="J7" s="77"/>
      <c r="K7" s="77"/>
      <c r="L7" s="77"/>
      <c r="M7" s="77"/>
    </row>
    <row r="8" spans="1:13" ht="15.75" thickBot="1">
      <c r="A8" s="77"/>
      <c r="B8" s="77"/>
      <c r="C8" s="77"/>
      <c r="D8" s="77"/>
      <c r="E8" s="77"/>
      <c r="F8" s="77"/>
      <c r="G8" s="77"/>
      <c r="H8" s="77"/>
      <c r="I8" s="76"/>
      <c r="J8" s="76"/>
      <c r="K8" s="76"/>
      <c r="L8" s="77"/>
      <c r="M8" s="77"/>
    </row>
    <row r="9" spans="1:13" ht="15.75" thickBot="1">
      <c r="A9" s="77"/>
      <c r="B9" s="80" t="s">
        <v>41</v>
      </c>
      <c r="C9" s="78">
        <v>0.01</v>
      </c>
      <c r="D9" s="77"/>
      <c r="E9" s="77"/>
      <c r="F9" s="77"/>
      <c r="G9" s="77"/>
      <c r="H9" s="77"/>
      <c r="I9" s="76"/>
      <c r="J9" s="76"/>
      <c r="K9" s="76"/>
      <c r="L9" s="77"/>
      <c r="M9" s="77"/>
    </row>
    <row r="10" spans="1:13" ht="15.75" thickBot="1">
      <c r="A10" s="77"/>
      <c r="B10" s="78" t="s">
        <v>64</v>
      </c>
      <c r="C10" s="84">
        <v>5.0000000000000001E-3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</row>
    <row r="11" spans="1:13" ht="15.75" thickBot="1">
      <c r="A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1:13" ht="15.75" thickBot="1">
      <c r="A12" s="77"/>
      <c r="B12" s="78" t="s">
        <v>75</v>
      </c>
      <c r="C12" s="78">
        <f>F3-1</f>
        <v>27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1:13" ht="15.75" thickBot="1">
      <c r="A13" s="77"/>
      <c r="B13" s="78" t="s">
        <v>74</v>
      </c>
      <c r="C13" s="78">
        <v>2.7709999999999999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1:13" ht="15.75" thickBot="1">
      <c r="A14" s="77"/>
      <c r="B14" s="83" t="s">
        <v>74</v>
      </c>
      <c r="C14" s="99">
        <f>C13</f>
        <v>2.7709999999999999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1:1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1:13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1:13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1:13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1:1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1:13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1:13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1:1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</sheetData>
  <mergeCells count="1">
    <mergeCell ref="F5:H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4897-4204-447E-A781-C32448612F1A}">
  <dimension ref="A1:V29"/>
  <sheetViews>
    <sheetView topLeftCell="A10" workbookViewId="0">
      <selection activeCell="P37" sqref="P37"/>
    </sheetView>
  </sheetViews>
  <sheetFormatPr defaultRowHeight="15"/>
  <cols>
    <col min="2" max="2" width="13.5703125" bestFit="1" customWidth="1"/>
    <col min="4" max="4" width="9.5703125" bestFit="1" customWidth="1"/>
    <col min="11" max="11" width="39.5703125" bestFit="1" customWidth="1"/>
  </cols>
  <sheetData>
    <row r="1" spans="1:22" ht="15.75" thickBot="1">
      <c r="A1" s="77"/>
      <c r="B1" s="77"/>
      <c r="C1" s="78" t="s">
        <v>5</v>
      </c>
      <c r="D1" s="78">
        <v>7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2" ht="16.5" thickBot="1">
      <c r="A2" s="77"/>
      <c r="B2" s="77"/>
      <c r="C2" s="77"/>
      <c r="D2" s="77"/>
      <c r="E2" s="77"/>
      <c r="F2" s="80" t="s">
        <v>65</v>
      </c>
      <c r="G2" s="78">
        <v>11000</v>
      </c>
      <c r="H2" s="77" t="s">
        <v>66</v>
      </c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2" ht="15.75" thickBot="1">
      <c r="A3" s="77"/>
      <c r="B3" s="77"/>
      <c r="C3" s="93" t="s">
        <v>67</v>
      </c>
      <c r="D3" s="93"/>
      <c r="E3" s="77"/>
      <c r="F3" s="77"/>
      <c r="G3" s="77"/>
      <c r="H3" s="77"/>
      <c r="I3" s="77"/>
      <c r="J3" s="77"/>
      <c r="K3" s="77"/>
      <c r="L3" s="77"/>
      <c r="N3" s="77"/>
      <c r="O3" s="77"/>
      <c r="P3" s="77"/>
      <c r="Q3" s="77"/>
      <c r="R3" s="77"/>
    </row>
    <row r="4" spans="1:22" ht="15.75" thickBot="1">
      <c r="A4" s="77"/>
      <c r="B4" s="77"/>
      <c r="C4" s="78" t="s">
        <v>66</v>
      </c>
      <c r="D4" s="78">
        <v>11943</v>
      </c>
      <c r="E4" s="78">
        <v>11463</v>
      </c>
      <c r="F4" s="86">
        <v>10789</v>
      </c>
      <c r="G4" s="78">
        <v>9907</v>
      </c>
      <c r="H4" s="78">
        <v>9012</v>
      </c>
      <c r="I4" s="78">
        <v>9942</v>
      </c>
      <c r="J4" s="78">
        <v>11153</v>
      </c>
      <c r="K4" s="77"/>
      <c r="O4" s="78" t="s">
        <v>77</v>
      </c>
      <c r="P4" s="78">
        <v>11000</v>
      </c>
      <c r="Q4" s="78">
        <v>11000</v>
      </c>
      <c r="R4" s="78">
        <v>11000</v>
      </c>
      <c r="S4" s="78">
        <v>11000</v>
      </c>
      <c r="T4" s="78">
        <v>11000</v>
      </c>
      <c r="U4" s="78">
        <v>11000</v>
      </c>
      <c r="V4" s="78">
        <v>11000</v>
      </c>
    </row>
    <row r="5" spans="1:22" ht="15.75" thickBo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22" ht="16.5" thickBot="1">
      <c r="A6" s="77"/>
      <c r="B6" s="92" t="s">
        <v>68</v>
      </c>
      <c r="C6" s="87" t="s">
        <v>61</v>
      </c>
      <c r="D6" s="78">
        <f>SQRT(H6)</f>
        <v>1026.7175389375136</v>
      </c>
      <c r="E6" s="77"/>
      <c r="F6" s="77"/>
      <c r="G6" s="78" t="s">
        <v>69</v>
      </c>
      <c r="H6" s="104">
        <f>((D4-D9)^2+(E4-D9)^2+(F4-D9)^2+(G4-D9)^2+(H4-D9)^2+(I4-D9)^2+(J4-D9)^2)/(D1-1)</f>
        <v>1054148.9047619046</v>
      </c>
      <c r="I6" s="104"/>
      <c r="J6" s="77"/>
      <c r="K6" s="77"/>
      <c r="L6" s="77"/>
      <c r="M6" s="77"/>
      <c r="N6" s="77"/>
      <c r="O6" s="77"/>
      <c r="P6" s="77"/>
      <c r="Q6" s="77"/>
      <c r="R6" s="77"/>
    </row>
    <row r="7" spans="1:22" ht="16.5" thickBot="1">
      <c r="A7" s="77"/>
      <c r="B7" s="92"/>
      <c r="C7" s="87" t="s">
        <v>61</v>
      </c>
      <c r="D7" s="57">
        <f>D6</f>
        <v>1026.7175389375136</v>
      </c>
      <c r="E7" s="8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1:22" ht="15.75" thickBot="1">
      <c r="A8" s="77"/>
      <c r="B8" s="77"/>
      <c r="C8" s="77"/>
      <c r="D8" s="77"/>
      <c r="E8" s="77"/>
      <c r="F8" s="77"/>
      <c r="G8" s="92" t="s">
        <v>72</v>
      </c>
      <c r="H8" s="92"/>
      <c r="I8" s="92"/>
      <c r="J8" s="77"/>
      <c r="K8" s="77"/>
      <c r="L8" s="77"/>
      <c r="M8" s="77"/>
      <c r="N8" s="77"/>
      <c r="O8" s="77"/>
      <c r="P8" s="77"/>
      <c r="Q8" s="77"/>
      <c r="R8" s="77"/>
    </row>
    <row r="9" spans="1:22" ht="15.75" thickBot="1">
      <c r="A9" s="77"/>
      <c r="B9" s="77"/>
      <c r="C9" s="79" t="s">
        <v>60</v>
      </c>
      <c r="D9" s="57">
        <f>(D4+E4+F4+G4+H4+I4+J4)/D1</f>
        <v>10601.285714285714</v>
      </c>
      <c r="E9" s="77" t="s">
        <v>70</v>
      </c>
      <c r="F9" s="77"/>
      <c r="G9" s="92"/>
      <c r="H9" s="92"/>
      <c r="I9" s="92"/>
      <c r="J9" s="77"/>
      <c r="K9" s="77"/>
      <c r="L9" s="77"/>
      <c r="M9" s="77"/>
      <c r="N9" s="77"/>
      <c r="O9" s="77"/>
      <c r="P9" s="77"/>
      <c r="Q9" s="77"/>
      <c r="R9" s="77"/>
    </row>
    <row r="10" spans="1:22" ht="15.75" thickBot="1">
      <c r="A10" s="77"/>
      <c r="B10" s="77"/>
      <c r="C10" s="78" t="s">
        <v>41</v>
      </c>
      <c r="D10" s="78">
        <v>0.05</v>
      </c>
      <c r="E10" s="77"/>
      <c r="F10" s="77"/>
      <c r="G10" s="81" t="s">
        <v>73</v>
      </c>
      <c r="H10" s="105">
        <f>(D9-G2)/(D7/SQRT(7))</f>
        <v>-1.0274479632055415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1:22" ht="15.75" thickBot="1">
      <c r="A11" s="77"/>
      <c r="B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1:22" ht="15.75" thickBot="1">
      <c r="A12" s="77"/>
      <c r="B12" s="77"/>
      <c r="C12" s="78" t="s">
        <v>64</v>
      </c>
      <c r="D12" s="78">
        <v>2.5000000000000001E-3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1:22" ht="15.75" thickBot="1">
      <c r="A13" s="77"/>
      <c r="B13" s="77"/>
      <c r="C13" s="106" t="s">
        <v>75</v>
      </c>
      <c r="D13" s="78">
        <f>D1-1</f>
        <v>6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1:22" ht="15.75" thickBot="1">
      <c r="A14" s="77"/>
      <c r="B14" s="77"/>
      <c r="C14" s="78" t="s">
        <v>74</v>
      </c>
      <c r="D14" s="78">
        <v>2.4470000000000001</v>
      </c>
      <c r="E14" s="89" t="s">
        <v>71</v>
      </c>
      <c r="F14" s="83" t="s">
        <v>76</v>
      </c>
      <c r="G14" s="99">
        <f>D14</f>
        <v>2.4470000000000001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22">
      <c r="A15" s="77"/>
      <c r="B15" s="77"/>
      <c r="C15" s="77"/>
      <c r="D15" s="77"/>
      <c r="E15" s="77"/>
      <c r="F15" s="77"/>
      <c r="G15" s="90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1:22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t="s">
        <v>44</v>
      </c>
      <c r="N16" s="77"/>
      <c r="O16" s="77"/>
      <c r="P16" s="77"/>
      <c r="Q16" s="77"/>
      <c r="R16" s="77"/>
    </row>
    <row r="17" spans="1:18" ht="15.75" thickBot="1">
      <c r="A17" s="77"/>
      <c r="B17" s="77"/>
      <c r="C17" s="77"/>
      <c r="D17" s="91"/>
      <c r="E17" s="91"/>
      <c r="F17" s="91"/>
      <c r="G17" s="77"/>
      <c r="H17" s="77"/>
      <c r="I17" s="77"/>
      <c r="J17" s="77"/>
      <c r="N17" s="77"/>
      <c r="O17" s="77"/>
      <c r="P17" s="77"/>
      <c r="Q17" s="77"/>
      <c r="R17" s="77"/>
    </row>
    <row r="18" spans="1:18">
      <c r="A18" s="77"/>
      <c r="B18" s="77"/>
      <c r="C18" s="77"/>
      <c r="D18" s="61"/>
      <c r="E18" s="91"/>
      <c r="F18" s="61"/>
      <c r="G18" s="77"/>
      <c r="H18" s="77"/>
      <c r="I18" s="77"/>
      <c r="J18" s="77"/>
      <c r="K18" s="66"/>
      <c r="L18" s="66" t="s">
        <v>66</v>
      </c>
      <c r="M18" s="66" t="s">
        <v>77</v>
      </c>
      <c r="N18" s="77"/>
      <c r="O18" s="77"/>
      <c r="P18" s="77"/>
      <c r="Q18" s="77"/>
      <c r="R18" s="77"/>
    </row>
    <row r="19" spans="1:18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64" t="s">
        <v>15</v>
      </c>
      <c r="L19" s="64">
        <v>10601.285714285714</v>
      </c>
      <c r="M19" s="64">
        <v>11000</v>
      </c>
      <c r="N19" s="77"/>
      <c r="O19" s="77"/>
      <c r="P19" s="77"/>
      <c r="Q19" s="77"/>
      <c r="R19" s="77"/>
    </row>
    <row r="20" spans="1:18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64" t="s">
        <v>19</v>
      </c>
      <c r="L20" s="64">
        <v>1054148.9047619046</v>
      </c>
      <c r="M20" s="64">
        <v>0</v>
      </c>
      <c r="N20" s="77"/>
      <c r="O20" s="77"/>
      <c r="P20" s="77"/>
      <c r="Q20" s="77"/>
      <c r="R20" s="77"/>
    </row>
    <row r="21" spans="1:18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64" t="s">
        <v>45</v>
      </c>
      <c r="L21" s="64">
        <v>7</v>
      </c>
      <c r="M21" s="64">
        <v>7</v>
      </c>
      <c r="N21" s="77"/>
      <c r="O21" s="77"/>
      <c r="P21" s="77"/>
      <c r="Q21" s="77"/>
      <c r="R21" s="77"/>
    </row>
    <row r="22" spans="1:18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64" t="s">
        <v>46</v>
      </c>
      <c r="L22" s="64"/>
      <c r="M22" s="64"/>
      <c r="N22" s="77"/>
      <c r="O22" s="77"/>
      <c r="P22" s="77"/>
      <c r="Q22" s="77"/>
      <c r="R22" s="77"/>
    </row>
    <row r="23" spans="1:18">
      <c r="K23" s="64" t="s">
        <v>47</v>
      </c>
      <c r="L23" s="64">
        <v>0</v>
      </c>
      <c r="M23" s="64"/>
    </row>
    <row r="24" spans="1:18">
      <c r="K24" s="64" t="s">
        <v>31</v>
      </c>
      <c r="L24" s="64">
        <v>6</v>
      </c>
      <c r="M24" s="64"/>
    </row>
    <row r="25" spans="1:18">
      <c r="K25" s="64" t="s">
        <v>48</v>
      </c>
      <c r="L25" s="64">
        <v>-1.0274479632055402</v>
      </c>
      <c r="M25" s="64"/>
    </row>
    <row r="26" spans="1:18">
      <c r="K26" s="64" t="s">
        <v>49</v>
      </c>
      <c r="L26" s="64">
        <v>0.17191786785174654</v>
      </c>
      <c r="M26" s="64"/>
    </row>
    <row r="27" spans="1:18">
      <c r="K27" s="64" t="s">
        <v>50</v>
      </c>
      <c r="L27" s="64">
        <v>1.9431802805153031</v>
      </c>
      <c r="M27" s="64"/>
    </row>
    <row r="28" spans="1:18">
      <c r="K28" s="64" t="s">
        <v>51</v>
      </c>
      <c r="L28" s="64">
        <v>0.34383573570349307</v>
      </c>
      <c r="M28" s="64"/>
    </row>
    <row r="29" spans="1:18" ht="15.75" thickBot="1">
      <c r="K29" s="65" t="s">
        <v>52</v>
      </c>
      <c r="L29" s="65">
        <v>2.4469118511449697</v>
      </c>
      <c r="M29" s="65"/>
    </row>
  </sheetData>
  <mergeCells count="4">
    <mergeCell ref="C3:D3"/>
    <mergeCell ref="B6:B7"/>
    <mergeCell ref="H6:I6"/>
    <mergeCell ref="G8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AC97-3FE4-46B3-83F7-838E23464DEA}">
  <dimension ref="F1:S37"/>
  <sheetViews>
    <sheetView topLeftCell="A10" workbookViewId="0">
      <selection activeCell="M31" sqref="M31"/>
    </sheetView>
  </sheetViews>
  <sheetFormatPr defaultRowHeight="15"/>
  <cols>
    <col min="11" max="11" width="17.5703125" bestFit="1" customWidth="1"/>
    <col min="14" max="14" width="19" customWidth="1"/>
    <col min="15" max="15" width="30.42578125" customWidth="1"/>
    <col min="16" max="16" width="12.42578125" customWidth="1"/>
  </cols>
  <sheetData>
    <row r="1" spans="6:19" ht="15.75" thickBot="1"/>
    <row r="2" spans="6:19" ht="16.5" thickBot="1">
      <c r="F2" s="107" t="s">
        <v>81</v>
      </c>
      <c r="G2" s="108"/>
      <c r="H2" s="77"/>
      <c r="I2" s="109" t="s">
        <v>82</v>
      </c>
      <c r="J2" s="78">
        <v>2250</v>
      </c>
      <c r="K2" s="77" t="s">
        <v>83</v>
      </c>
      <c r="L2" s="78" t="s">
        <v>5</v>
      </c>
      <c r="M2" s="78">
        <v>34</v>
      </c>
      <c r="N2" s="77"/>
      <c r="O2" s="77"/>
      <c r="P2" s="77"/>
      <c r="Q2" s="77"/>
      <c r="R2" s="77"/>
      <c r="S2" s="77"/>
    </row>
    <row r="3" spans="6:19" ht="15.75" thickBot="1">
      <c r="F3" s="110" t="s">
        <v>84</v>
      </c>
      <c r="G3" s="111" t="s">
        <v>85</v>
      </c>
      <c r="H3" s="77"/>
      <c r="I3" s="112"/>
      <c r="J3" s="77"/>
      <c r="K3" s="77"/>
      <c r="L3" s="77"/>
      <c r="M3" s="77"/>
      <c r="N3" s="77"/>
      <c r="O3" s="61">
        <f>(F4-$J$4)^2</f>
        <v>1928.2430795847822</v>
      </c>
      <c r="P3" s="61">
        <f>(F13-$J$4)^2</f>
        <v>524.9489619377199</v>
      </c>
      <c r="Q3" s="61">
        <f>(F22-$J$4)^2</f>
        <v>119.06660899654155</v>
      </c>
      <c r="R3" s="61">
        <f>(F30-$J$4)^2</f>
        <v>3126.1254325259606</v>
      </c>
      <c r="S3" s="77"/>
    </row>
    <row r="4" spans="6:19" ht="18" thickBot="1">
      <c r="F4" s="113">
        <v>2216</v>
      </c>
      <c r="G4" s="85">
        <v>2250</v>
      </c>
      <c r="H4" s="77"/>
      <c r="I4" s="109" t="s">
        <v>86</v>
      </c>
      <c r="J4" s="57">
        <f>(F4+F13+F22+F30+F5+F14+F23+F31+F6+F15+F24+F32+F7+F16+F25+F33+F8+F17+F26+F34+F9+F18+F27+F35+F10+F19+F28+F36+F11+F20+F29+F37+F12+F21)/M2</f>
        <v>2259.9117647058824</v>
      </c>
      <c r="K4" s="77" t="s">
        <v>83</v>
      </c>
      <c r="L4" s="114" t="s">
        <v>87</v>
      </c>
      <c r="M4" s="57">
        <f>(O13+P13+Q13+R13)/(M2-1)</f>
        <v>1449.1131907308379</v>
      </c>
      <c r="N4" s="77"/>
      <c r="O4" s="61">
        <f>(F5-$J$4)^2</f>
        <v>1218.8313148788984</v>
      </c>
      <c r="P4" s="61">
        <f>(F14-$J$4)^2</f>
        <v>1688.2430795847686</v>
      </c>
      <c r="Q4" s="61">
        <f>(F23-$J$4)^2</f>
        <v>444.71366782006584</v>
      </c>
      <c r="R4" s="61">
        <f>(F31-$J$4)^2</f>
        <v>9.5371972318334137</v>
      </c>
      <c r="S4" s="77"/>
    </row>
    <row r="5" spans="6:19" ht="15.75" thickBot="1">
      <c r="F5" s="85">
        <v>2225</v>
      </c>
      <c r="G5" s="85">
        <v>2250</v>
      </c>
      <c r="H5" s="77"/>
      <c r="I5" s="112"/>
      <c r="J5" s="77"/>
      <c r="K5" s="77"/>
      <c r="L5" s="77"/>
      <c r="M5" s="77"/>
      <c r="N5" s="77"/>
      <c r="O5" s="61">
        <f>(F6-$J$4)^2</f>
        <v>3374.2430795847658</v>
      </c>
      <c r="P5" s="61">
        <f>(F15-$J$4)^2</f>
        <v>24.125432525952345</v>
      </c>
      <c r="Q5" s="61">
        <f>(F24-$J$4)^2</f>
        <v>227.65484429065501</v>
      </c>
      <c r="R5" s="61">
        <f>(F32-$J$4)^2</f>
        <v>1231.1842560553578</v>
      </c>
      <c r="S5" s="77"/>
    </row>
    <row r="6" spans="6:19" ht="15.75" thickBot="1">
      <c r="F6" s="85">
        <v>2318</v>
      </c>
      <c r="G6" s="85">
        <v>2250</v>
      </c>
      <c r="H6" s="77"/>
      <c r="I6" s="109" t="s">
        <v>88</v>
      </c>
      <c r="J6" s="57">
        <f>SQRT(M4)</f>
        <v>38.067219372195261</v>
      </c>
      <c r="K6" s="77"/>
      <c r="L6" s="77"/>
      <c r="M6" s="77" t="s">
        <v>89</v>
      </c>
      <c r="N6" s="77"/>
      <c r="O6" s="61">
        <f>(F7-$J$4)^2</f>
        <v>3126.1254325259606</v>
      </c>
      <c r="P6" s="61">
        <f>(F16-$J$4)^2</f>
        <v>1928.2430795847822</v>
      </c>
      <c r="Q6" s="61">
        <f>(F25-$J$4)^2</f>
        <v>1688.2430795847686</v>
      </c>
      <c r="R6" s="61">
        <f>(F33-$J$4)^2</f>
        <v>846.12543252594685</v>
      </c>
      <c r="S6" s="77"/>
    </row>
    <row r="7" spans="6:19" ht="15.75" thickBot="1">
      <c r="F7" s="85">
        <v>2204</v>
      </c>
      <c r="G7" s="85">
        <v>2250</v>
      </c>
      <c r="H7" s="77"/>
      <c r="I7" s="112"/>
      <c r="J7" s="77"/>
      <c r="K7" s="77"/>
      <c r="L7" s="77"/>
      <c r="M7" s="77"/>
      <c r="N7" s="77"/>
      <c r="O7" s="61">
        <f>(F8-$J$4)^2</f>
        <v>9.5371972318334137</v>
      </c>
      <c r="P7" s="61">
        <f>(F17-$J$4)^2</f>
        <v>1218.8313148788984</v>
      </c>
      <c r="Q7" s="61">
        <f>(F26-$J$4)^2</f>
        <v>24.125432525952345</v>
      </c>
      <c r="R7" s="61">
        <f>(F34-$J$4)^2</f>
        <v>119.06660899654155</v>
      </c>
      <c r="S7" s="77"/>
    </row>
    <row r="8" spans="6:19" ht="15.75" thickBot="1">
      <c r="F8" s="85">
        <v>2263</v>
      </c>
      <c r="G8" s="85">
        <v>2250</v>
      </c>
      <c r="H8" s="77"/>
      <c r="I8" s="109" t="s">
        <v>41</v>
      </c>
      <c r="J8" s="78">
        <v>0.05</v>
      </c>
      <c r="K8" s="77"/>
      <c r="L8" s="77"/>
      <c r="M8" s="77"/>
      <c r="N8" s="77"/>
      <c r="O8" s="61">
        <f>(F9-$J$4)^2</f>
        <v>1231.1842560553578</v>
      </c>
      <c r="P8" s="61">
        <f>(F18-$J$4)^2</f>
        <v>3374.2430795847658</v>
      </c>
      <c r="Q8" s="61">
        <f>(F27-$J$4)^2</f>
        <v>1928.2430795847822</v>
      </c>
      <c r="R8" s="61">
        <f>(F35-$J$4)^2</f>
        <v>444.71366782006584</v>
      </c>
      <c r="S8" s="77"/>
    </row>
    <row r="9" spans="6:19" ht="15.75" thickBot="1">
      <c r="F9" s="115">
        <v>2295</v>
      </c>
      <c r="G9" s="85">
        <v>2250</v>
      </c>
      <c r="H9" s="77"/>
      <c r="I9" s="85" t="s">
        <v>98</v>
      </c>
      <c r="J9" s="78">
        <f>0.5-J8</f>
        <v>0.45</v>
      </c>
      <c r="K9" s="10" t="s">
        <v>99</v>
      </c>
      <c r="L9" s="77"/>
      <c r="M9" s="77"/>
      <c r="N9" s="77"/>
      <c r="O9" s="61">
        <f>(F10-$J$4)^2</f>
        <v>1928.2430795847822</v>
      </c>
      <c r="P9" s="61">
        <f>(F19-$J$4)^2</f>
        <v>1928.2430795847822</v>
      </c>
      <c r="Q9" s="61">
        <f>(F28-$J$4)^2</f>
        <v>1218.8313148788984</v>
      </c>
      <c r="R9" s="61">
        <f>(F36-$J$4)^2</f>
        <v>227.65484429065501</v>
      </c>
      <c r="S9" s="77"/>
    </row>
    <row r="10" spans="6:19" ht="15.75" thickBot="1">
      <c r="F10" s="85">
        <v>2216</v>
      </c>
      <c r="G10" s="85">
        <v>2250</v>
      </c>
      <c r="H10" s="77"/>
      <c r="K10" s="77"/>
      <c r="L10" s="77"/>
      <c r="M10" s="77"/>
      <c r="N10" s="77"/>
      <c r="O10" s="61">
        <f>(F11-$J$4)^2</f>
        <v>1218.8313148788984</v>
      </c>
      <c r="P10" s="61">
        <f>(F20-$J$4)^2</f>
        <v>1218.8313148788984</v>
      </c>
      <c r="Q10" s="61">
        <f>(F29-$J$4)^2</f>
        <v>3374.2430795847658</v>
      </c>
      <c r="R10" s="61">
        <f>(F37-$J$4)^2</f>
        <v>101.77249134947935</v>
      </c>
      <c r="S10" s="77"/>
    </row>
    <row r="11" spans="6:19" ht="15.75" thickBot="1">
      <c r="F11" s="85">
        <v>2225</v>
      </c>
      <c r="G11" s="85">
        <v>2250</v>
      </c>
      <c r="H11" s="77"/>
      <c r="I11" s="116" t="s">
        <v>63</v>
      </c>
      <c r="J11" s="83">
        <v>1.64</v>
      </c>
      <c r="K11" s="77"/>
      <c r="L11" s="77"/>
      <c r="M11" s="77" t="s">
        <v>89</v>
      </c>
      <c r="N11" s="77"/>
      <c r="O11" s="61">
        <f>(F12-$J$4)^2</f>
        <v>3374.2430795847658</v>
      </c>
      <c r="P11" s="61">
        <f>(F21-$J$4)^2</f>
        <v>3374.2430795847658</v>
      </c>
      <c r="Q11" s="77"/>
      <c r="R11" s="77"/>
      <c r="S11" s="77"/>
    </row>
    <row r="12" spans="6:19" ht="15.75" thickBot="1">
      <c r="F12" s="85">
        <v>2318</v>
      </c>
      <c r="G12" s="85">
        <v>2250</v>
      </c>
      <c r="H12" s="77"/>
      <c r="I12" s="112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6:19" ht="15.75" thickBot="1">
      <c r="F13" s="85">
        <v>2237</v>
      </c>
      <c r="G13" s="85">
        <v>2250</v>
      </c>
      <c r="H13" s="77"/>
      <c r="I13" s="117" t="s">
        <v>62</v>
      </c>
      <c r="J13" s="98">
        <f>(J4-J2)/(J6/SQRT(M2))</f>
        <v>1.5182360084655961</v>
      </c>
      <c r="K13" s="77"/>
      <c r="L13" s="77"/>
      <c r="M13" s="77"/>
      <c r="N13" s="77"/>
      <c r="O13" s="61">
        <f>O3+O4+O5+O6+O7+O8+O9+O10+O11</f>
        <v>17409.481833910046</v>
      </c>
      <c r="P13" s="61">
        <f>P3+P4+P5+P6+P7+P8+P9+P10+P11</f>
        <v>15279.952422145332</v>
      </c>
      <c r="Q13" s="61">
        <f>Q3+Q4+Q5+Q6+Q7+Q8+Q9+Q10</f>
        <v>9025.12110726643</v>
      </c>
      <c r="R13" s="61">
        <f>R3+R4+R5+R6+R7+R8+R9+R10</f>
        <v>6106.1799307958408</v>
      </c>
      <c r="S13" s="77"/>
    </row>
    <row r="14" spans="6:19" ht="15.75" thickBot="1">
      <c r="F14" s="85">
        <v>2301</v>
      </c>
      <c r="G14" s="113">
        <v>2250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6:19" ht="15.75" thickBot="1">
      <c r="F15" s="85">
        <v>2255</v>
      </c>
      <c r="G15" s="85">
        <v>2250</v>
      </c>
      <c r="H15" s="77"/>
      <c r="I15" s="77"/>
      <c r="J15" s="77"/>
      <c r="K15" s="77"/>
      <c r="L15" s="77"/>
      <c r="M15" s="77"/>
      <c r="N15" s="77"/>
      <c r="O15" s="77" t="s">
        <v>90</v>
      </c>
      <c r="P15" s="77"/>
      <c r="Q15" s="77"/>
      <c r="R15" s="77"/>
      <c r="S15" s="77"/>
    </row>
    <row r="16" spans="6:19" ht="15.75" thickBot="1">
      <c r="F16" s="85">
        <v>2216</v>
      </c>
      <c r="G16" s="85">
        <v>2250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</row>
    <row r="17" spans="6:19" ht="15.75" thickBot="1">
      <c r="F17" s="85">
        <v>2225</v>
      </c>
      <c r="G17" s="85">
        <v>2250</v>
      </c>
      <c r="H17" s="77"/>
      <c r="I17" s="77"/>
      <c r="J17" s="77"/>
      <c r="K17" s="77"/>
      <c r="L17" s="77"/>
      <c r="M17" s="77"/>
      <c r="N17" s="77"/>
      <c r="O17" s="118"/>
      <c r="P17" s="118" t="s">
        <v>84</v>
      </c>
      <c r="Q17" s="118" t="s">
        <v>85</v>
      </c>
      <c r="R17" s="77"/>
    </row>
    <row r="18" spans="6:19" ht="15.75" thickBot="1">
      <c r="F18" s="85">
        <v>2318</v>
      </c>
      <c r="G18" s="85">
        <v>2250</v>
      </c>
      <c r="H18" s="77"/>
      <c r="I18" s="77"/>
      <c r="J18" s="77"/>
      <c r="K18" s="77"/>
      <c r="L18" s="77"/>
      <c r="M18" s="77"/>
      <c r="N18" s="77"/>
      <c r="O18" s="77" t="s">
        <v>15</v>
      </c>
      <c r="P18" s="61">
        <v>2259.9117647058824</v>
      </c>
      <c r="Q18" s="77">
        <v>2250</v>
      </c>
      <c r="R18" s="77"/>
    </row>
    <row r="19" spans="6:19" ht="15.75" thickBot="1">
      <c r="F19" s="85">
        <v>2216</v>
      </c>
      <c r="G19" s="85">
        <v>2250</v>
      </c>
      <c r="H19" s="77"/>
      <c r="I19" s="77"/>
      <c r="J19" s="77"/>
      <c r="K19" s="77"/>
      <c r="L19" s="77"/>
      <c r="M19" s="77"/>
      <c r="N19" s="77"/>
      <c r="O19" s="77" t="s">
        <v>91</v>
      </c>
      <c r="P19" s="61">
        <v>1449.1132</v>
      </c>
      <c r="Q19" s="77">
        <v>1E-4</v>
      </c>
      <c r="R19" s="77"/>
    </row>
    <row r="20" spans="6:19" ht="15.75" thickBot="1">
      <c r="F20" s="85">
        <v>2225</v>
      </c>
      <c r="G20" s="85">
        <v>2250</v>
      </c>
      <c r="H20" s="77"/>
      <c r="I20" s="77"/>
      <c r="J20" s="77"/>
      <c r="K20" s="77"/>
      <c r="L20" s="77"/>
      <c r="M20" s="77"/>
      <c r="N20" s="77"/>
      <c r="O20" s="77" t="s">
        <v>45</v>
      </c>
      <c r="P20" s="77">
        <v>34</v>
      </c>
      <c r="Q20" s="77">
        <v>34</v>
      </c>
      <c r="R20" s="77"/>
    </row>
    <row r="21" spans="6:19" ht="15.75" thickBot="1">
      <c r="F21" s="85">
        <v>2318</v>
      </c>
      <c r="G21" s="85">
        <v>2250</v>
      </c>
      <c r="H21" s="77"/>
      <c r="I21" s="77"/>
      <c r="J21" s="77"/>
      <c r="K21" s="77"/>
      <c r="L21" s="77"/>
      <c r="M21" s="77"/>
      <c r="N21" s="77"/>
      <c r="O21" s="77" t="s">
        <v>47</v>
      </c>
      <c r="P21" s="77">
        <v>0</v>
      </c>
      <c r="Q21" s="77"/>
      <c r="R21" s="77"/>
    </row>
    <row r="22" spans="6:19" ht="15.75" thickBot="1">
      <c r="F22" s="85">
        <v>2249</v>
      </c>
      <c r="G22" s="85">
        <v>2250</v>
      </c>
      <c r="H22" s="77"/>
      <c r="I22" s="77"/>
      <c r="J22" s="77"/>
      <c r="K22" s="77"/>
      <c r="L22" s="77"/>
      <c r="M22" s="77"/>
      <c r="N22" s="77"/>
      <c r="O22" s="77" t="s">
        <v>92</v>
      </c>
      <c r="P22" s="61">
        <v>1.5182359512249446</v>
      </c>
      <c r="Q22" s="77"/>
      <c r="R22" s="77"/>
    </row>
    <row r="23" spans="6:19" ht="15.75" thickBot="1">
      <c r="F23" s="85">
        <v>2281</v>
      </c>
      <c r="G23" s="85">
        <v>2250</v>
      </c>
      <c r="H23" s="77"/>
      <c r="I23" s="77"/>
      <c r="J23" s="77"/>
      <c r="K23" s="77"/>
      <c r="L23" s="77"/>
      <c r="M23" s="77"/>
      <c r="N23" s="77"/>
      <c r="O23" s="77" t="s">
        <v>93</v>
      </c>
      <c r="P23" s="61">
        <v>6.4477463717484751E-2</v>
      </c>
      <c r="Q23" s="77"/>
      <c r="R23" s="77"/>
    </row>
    <row r="24" spans="6:19" ht="15.75" thickBot="1">
      <c r="F24" s="85">
        <v>2275</v>
      </c>
      <c r="G24" s="85">
        <v>2250</v>
      </c>
      <c r="H24" s="77"/>
      <c r="I24" s="77"/>
      <c r="J24" s="77"/>
      <c r="K24" s="77"/>
      <c r="L24" s="77"/>
      <c r="M24" s="77"/>
      <c r="N24" s="77"/>
      <c r="O24" s="77" t="s">
        <v>94</v>
      </c>
      <c r="P24" s="61">
        <v>1.6448536269514715</v>
      </c>
      <c r="Q24" s="77"/>
      <c r="R24" s="77"/>
    </row>
    <row r="25" spans="6:19" ht="15.75" thickBot="1">
      <c r="F25" s="85">
        <v>2301</v>
      </c>
      <c r="G25" s="85">
        <v>2250</v>
      </c>
      <c r="H25" s="77"/>
      <c r="I25" s="77"/>
      <c r="J25" s="77"/>
      <c r="K25" s="77"/>
      <c r="L25" s="77"/>
      <c r="M25" s="77"/>
      <c r="N25" s="77"/>
      <c r="O25" s="77" t="s">
        <v>95</v>
      </c>
      <c r="P25" s="61">
        <v>0.1289549274349695</v>
      </c>
      <c r="Q25" s="77"/>
      <c r="R25" s="77"/>
    </row>
    <row r="26" spans="6:19" ht="15.75" thickBot="1">
      <c r="F26" s="85">
        <v>2255</v>
      </c>
      <c r="G26" s="85">
        <v>2250</v>
      </c>
      <c r="H26" s="77"/>
      <c r="I26" s="77"/>
      <c r="J26" s="77"/>
      <c r="K26" s="77"/>
      <c r="L26" s="77"/>
      <c r="M26" s="77"/>
      <c r="N26" s="77"/>
      <c r="O26" s="60" t="s">
        <v>96</v>
      </c>
      <c r="P26" s="119">
        <v>1.9599639845400536</v>
      </c>
      <c r="Q26" s="60"/>
      <c r="R26" s="77"/>
    </row>
    <row r="27" spans="6:19" ht="15.75" thickBot="1">
      <c r="F27" s="85">
        <v>2216</v>
      </c>
      <c r="G27" s="85">
        <v>2250</v>
      </c>
      <c r="H27" s="77"/>
      <c r="I27" s="77"/>
      <c r="J27" s="77"/>
      <c r="K27" s="77"/>
      <c r="L27" s="77"/>
      <c r="M27" s="77"/>
      <c r="N27" s="77"/>
    </row>
    <row r="28" spans="6:19" ht="15.75" thickBot="1">
      <c r="F28" s="85">
        <v>2225</v>
      </c>
      <c r="G28" s="85">
        <v>2250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6:19" ht="15.75" thickBot="1">
      <c r="F29" s="85">
        <v>2318</v>
      </c>
      <c r="G29" s="120">
        <v>2250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6:19" ht="15.75" thickBot="1">
      <c r="F30" s="85">
        <v>2204</v>
      </c>
      <c r="G30" s="85">
        <v>2250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6:19" ht="15.75" thickBot="1">
      <c r="F31" s="85">
        <v>2263</v>
      </c>
      <c r="G31" s="85">
        <v>2250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6:19" ht="15.75" thickBot="1">
      <c r="F32" s="85">
        <v>2295</v>
      </c>
      <c r="G32" s="85">
        <v>2250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6:19" ht="15.75" thickBot="1">
      <c r="F33" s="85">
        <v>2289</v>
      </c>
      <c r="G33" s="85">
        <v>2250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6:19" ht="15.75" thickBot="1">
      <c r="F34" s="85">
        <v>2249</v>
      </c>
      <c r="G34" s="85">
        <v>2250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6:19" ht="15.75" thickBot="1">
      <c r="F35" s="85">
        <v>2281</v>
      </c>
      <c r="G35" s="85">
        <v>2250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6:19" ht="15.75" thickBot="1">
      <c r="F36" s="85">
        <v>2275</v>
      </c>
      <c r="G36" s="85">
        <v>2250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6:19" ht="15.75" thickBot="1">
      <c r="F37" s="85">
        <v>2270</v>
      </c>
      <c r="G37" s="85">
        <v>2250</v>
      </c>
      <c r="H37" s="77"/>
      <c r="I37" s="77"/>
      <c r="J37" s="77"/>
      <c r="K37" s="77"/>
      <c r="L37" s="77"/>
      <c r="M37" s="77" t="s">
        <v>97</v>
      </c>
      <c r="N37" s="77"/>
      <c r="O37" s="77"/>
      <c r="P37" s="77"/>
      <c r="Q37" s="77"/>
      <c r="R37" s="77"/>
      <c r="S37" s="77"/>
    </row>
  </sheetData>
  <mergeCells count="1"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0B90-4C03-402C-A982-9277B338875B}">
  <dimension ref="C3:U31"/>
  <sheetViews>
    <sheetView topLeftCell="A4" zoomScaleNormal="100" workbookViewId="0">
      <selection activeCell="H33" sqref="H33"/>
    </sheetView>
  </sheetViews>
  <sheetFormatPr defaultRowHeight="15"/>
  <cols>
    <col min="12" max="12" width="39.5703125" bestFit="1" customWidth="1"/>
    <col min="13" max="13" width="12.5703125" customWidth="1"/>
  </cols>
  <sheetData>
    <row r="3" spans="3:21" ht="15.75" thickBot="1"/>
    <row r="4" spans="3:21" ht="15.75" thickBot="1">
      <c r="C4" s="51" t="s">
        <v>54</v>
      </c>
      <c r="D4" s="51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O4" s="61">
        <f t="shared" ref="O4:U4" si="0">(D8-$D$10)^2</f>
        <v>1.6530612244897955</v>
      </c>
      <c r="P4" s="61">
        <f t="shared" si="0"/>
        <v>2.9387755102040822</v>
      </c>
      <c r="Q4" s="61">
        <f t="shared" si="0"/>
        <v>8.1632653061224414E-2</v>
      </c>
      <c r="R4" s="61">
        <f t="shared" si="0"/>
        <v>39.510204081632651</v>
      </c>
      <c r="S4" s="61">
        <f t="shared" si="0"/>
        <v>7.3673469387755111</v>
      </c>
      <c r="T4" s="61">
        <f t="shared" si="0"/>
        <v>0.51020408163265329</v>
      </c>
      <c r="U4" s="61">
        <f t="shared" si="0"/>
        <v>7.3673469387755111</v>
      </c>
    </row>
    <row r="5" spans="3:21" ht="15.75" thickBot="1">
      <c r="C5" s="51" t="s">
        <v>55</v>
      </c>
      <c r="D5" s="67">
        <v>16</v>
      </c>
      <c r="E5" s="68">
        <v>24</v>
      </c>
      <c r="F5" s="68">
        <v>18</v>
      </c>
      <c r="G5" s="68">
        <v>14</v>
      </c>
      <c r="H5" s="68">
        <v>26</v>
      </c>
      <c r="I5" s="68">
        <v>17</v>
      </c>
      <c r="J5" s="69">
        <v>29</v>
      </c>
      <c r="O5" s="74">
        <f>SUM(O4:U4)/6</f>
        <v>9.9047619047619051</v>
      </c>
    </row>
    <row r="6" spans="3:21" ht="15.75" thickBot="1">
      <c r="C6" s="51" t="s">
        <v>56</v>
      </c>
      <c r="D6" s="70">
        <v>13</v>
      </c>
      <c r="E6" s="60">
        <v>18</v>
      </c>
      <c r="F6" s="60">
        <v>14</v>
      </c>
      <c r="G6" s="60">
        <v>16</v>
      </c>
      <c r="H6" s="60">
        <v>19</v>
      </c>
      <c r="I6" s="60">
        <v>12</v>
      </c>
      <c r="J6" s="71">
        <v>22</v>
      </c>
    </row>
    <row r="7" spans="3:21" ht="15.75" thickBot="1"/>
    <row r="8" spans="3:21" ht="15.75" thickBot="1">
      <c r="C8" s="51" t="s">
        <v>37</v>
      </c>
      <c r="D8" s="52">
        <f>D5-D6</f>
        <v>3</v>
      </c>
      <c r="E8" s="53">
        <f>E5-E6</f>
        <v>6</v>
      </c>
      <c r="F8" s="53">
        <f t="shared" ref="F8:J8" si="1">F5-F6</f>
        <v>4</v>
      </c>
      <c r="G8" s="53">
        <f t="shared" si="1"/>
        <v>-2</v>
      </c>
      <c r="H8" s="53">
        <f t="shared" si="1"/>
        <v>7</v>
      </c>
      <c r="I8" s="53">
        <f t="shared" si="1"/>
        <v>5</v>
      </c>
      <c r="J8" s="54">
        <f t="shared" si="1"/>
        <v>7</v>
      </c>
    </row>
    <row r="9" spans="3:21" ht="15.75" thickBot="1"/>
    <row r="10" spans="3:21" ht="19.5" thickBot="1">
      <c r="C10" s="56" t="s">
        <v>57</v>
      </c>
      <c r="D10" s="57">
        <f>(H10)/J4</f>
        <v>4.2857142857142856</v>
      </c>
      <c r="G10" s="51" t="s">
        <v>58</v>
      </c>
      <c r="H10" s="54">
        <f>D8+E8+F8+G8+H8+I8+J8</f>
        <v>30</v>
      </c>
    </row>
    <row r="11" spans="3:21" ht="15.75" thickBot="1">
      <c r="C11" s="75" t="s">
        <v>53</v>
      </c>
      <c r="D11" s="57">
        <f>O5</f>
        <v>9.9047619047619051</v>
      </c>
    </row>
    <row r="12" spans="3:21" ht="19.5" thickBot="1">
      <c r="C12" s="51" t="s">
        <v>40</v>
      </c>
      <c r="D12" s="57">
        <f>SQRT(D11)</f>
        <v>3.1471831698777728</v>
      </c>
      <c r="G12" s="56" t="s">
        <v>41</v>
      </c>
      <c r="H12" s="51">
        <v>0.05</v>
      </c>
    </row>
    <row r="13" spans="3:21" ht="15.75" thickBot="1"/>
    <row r="14" spans="3:21" ht="15.75" thickBot="1">
      <c r="C14" s="72" t="s">
        <v>29</v>
      </c>
      <c r="D14" s="103">
        <f>(D10*SQRT(J4))/D12</f>
        <v>3.6028834606144602</v>
      </c>
      <c r="G14" s="51" t="s">
        <v>42</v>
      </c>
      <c r="H14" s="51">
        <f>J4-1</f>
        <v>6</v>
      </c>
    </row>
    <row r="15" spans="3:21" ht="15.75" thickBot="1"/>
    <row r="16" spans="3:21" ht="15.75" thickBot="1">
      <c r="C16" s="73" t="s">
        <v>43</v>
      </c>
      <c r="D16" s="99">
        <v>1.9430000000000001</v>
      </c>
      <c r="G16" s="62"/>
      <c r="H16" s="62"/>
    </row>
    <row r="17" spans="12:15">
      <c r="L17" t="s">
        <v>44</v>
      </c>
    </row>
    <row r="18" spans="12:15" ht="15.75" thickBot="1"/>
    <row r="19" spans="12:15">
      <c r="L19" s="66"/>
      <c r="M19" s="66" t="s">
        <v>55</v>
      </c>
      <c r="N19" s="66" t="s">
        <v>56</v>
      </c>
      <c r="O19" s="62"/>
    </row>
    <row r="20" spans="12:15">
      <c r="L20" s="64" t="s">
        <v>15</v>
      </c>
      <c r="M20" s="102">
        <v>20.571428571428573</v>
      </c>
      <c r="N20" s="102">
        <v>16.285714285714285</v>
      </c>
      <c r="O20" s="63"/>
    </row>
    <row r="21" spans="12:15">
      <c r="L21" s="64" t="s">
        <v>19</v>
      </c>
      <c r="M21" s="102">
        <v>32.619047619047628</v>
      </c>
      <c r="N21" s="102">
        <v>12.904761904761889</v>
      </c>
    </row>
    <row r="22" spans="12:15">
      <c r="L22" s="64" t="s">
        <v>45</v>
      </c>
      <c r="M22" s="64">
        <v>7</v>
      </c>
      <c r="N22" s="64">
        <v>7</v>
      </c>
    </row>
    <row r="23" spans="12:15">
      <c r="L23" s="64" t="s">
        <v>46</v>
      </c>
      <c r="M23" s="102">
        <v>0.86804386302776626</v>
      </c>
      <c r="N23" s="64"/>
    </row>
    <row r="24" spans="12:15">
      <c r="L24" s="64" t="s">
        <v>47</v>
      </c>
      <c r="M24" s="64">
        <v>0</v>
      </c>
      <c r="N24" s="64"/>
    </row>
    <row r="25" spans="12:15">
      <c r="L25" s="64" t="s">
        <v>31</v>
      </c>
      <c r="M25" s="64">
        <v>6</v>
      </c>
      <c r="N25" s="64"/>
    </row>
    <row r="26" spans="12:15">
      <c r="L26" s="64" t="s">
        <v>48</v>
      </c>
      <c r="M26" s="102">
        <v>3.6028834606144602</v>
      </c>
      <c r="N26" s="64"/>
    </row>
    <row r="27" spans="12:15">
      <c r="L27" s="64" t="s">
        <v>49</v>
      </c>
      <c r="M27" s="101">
        <v>5.6636169567697552E-3</v>
      </c>
      <c r="N27" s="64"/>
    </row>
    <row r="28" spans="12:15">
      <c r="L28" s="64" t="s">
        <v>50</v>
      </c>
      <c r="M28" s="102">
        <v>1.9431802805153031</v>
      </c>
      <c r="N28" s="64"/>
    </row>
    <row r="29" spans="12:15">
      <c r="L29" s="64" t="s">
        <v>51</v>
      </c>
      <c r="M29" s="102">
        <v>1.132723391353951E-2</v>
      </c>
      <c r="N29" s="64"/>
    </row>
    <row r="30" spans="12:15" ht="15.75" thickBot="1">
      <c r="L30" s="65" t="s">
        <v>52</v>
      </c>
      <c r="M30" s="100">
        <v>2.4469118511449697</v>
      </c>
      <c r="N30" s="65"/>
    </row>
    <row r="31" spans="12:15">
      <c r="M31" s="62"/>
      <c r="N31" s="62"/>
      <c r="O31" s="6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D60E-CE15-4BB4-996D-AE25C90300C3}">
  <dimension ref="C3:O30"/>
  <sheetViews>
    <sheetView topLeftCell="A16" workbookViewId="0">
      <selection activeCell="F33" sqref="F33"/>
    </sheetView>
  </sheetViews>
  <sheetFormatPr defaultRowHeight="15"/>
  <cols>
    <col min="11" max="11" width="39.5703125" bestFit="1" customWidth="1"/>
  </cols>
  <sheetData>
    <row r="3" spans="3:15" ht="15.75" thickBot="1"/>
    <row r="4" spans="3:15" ht="15.75" thickBot="1">
      <c r="C4" s="51" t="s">
        <v>33</v>
      </c>
      <c r="D4" s="51">
        <v>1</v>
      </c>
      <c r="E4" s="51">
        <v>2</v>
      </c>
      <c r="F4" s="51">
        <v>3</v>
      </c>
      <c r="G4" s="51">
        <v>4</v>
      </c>
      <c r="H4" s="51">
        <v>5</v>
      </c>
      <c r="K4">
        <f>(D8-$D$10)^2</f>
        <v>0</v>
      </c>
      <c r="L4">
        <f t="shared" ref="L4:O4" si="0">(E8-$D$10)^2</f>
        <v>9</v>
      </c>
      <c r="M4">
        <f t="shared" si="0"/>
        <v>0</v>
      </c>
      <c r="N4">
        <f t="shared" si="0"/>
        <v>1</v>
      </c>
      <c r="O4">
        <f t="shared" si="0"/>
        <v>4</v>
      </c>
    </row>
    <row r="5" spans="3:15" ht="15.75" thickBot="1">
      <c r="C5" s="51" t="s">
        <v>34</v>
      </c>
      <c r="D5" s="52">
        <v>80</v>
      </c>
      <c r="E5" s="53">
        <v>72</v>
      </c>
      <c r="F5" s="53">
        <v>65</v>
      </c>
      <c r="G5" s="53">
        <v>78</v>
      </c>
      <c r="H5" s="54">
        <v>85</v>
      </c>
      <c r="I5" t="s">
        <v>35</v>
      </c>
      <c r="K5">
        <f>SUM(K4:O4)/(5-1)</f>
        <v>3.5</v>
      </c>
    </row>
    <row r="6" spans="3:15" ht="15.75" thickBot="1">
      <c r="C6" s="51" t="s">
        <v>36</v>
      </c>
      <c r="D6" s="52">
        <v>75</v>
      </c>
      <c r="E6" s="53">
        <v>70</v>
      </c>
      <c r="F6" s="53">
        <v>60</v>
      </c>
      <c r="G6" s="53">
        <v>72</v>
      </c>
      <c r="H6" s="54">
        <v>78</v>
      </c>
      <c r="I6" t="s">
        <v>35</v>
      </c>
    </row>
    <row r="7" spans="3:15" ht="15.75" thickBot="1"/>
    <row r="8" spans="3:15" ht="15.75" thickBot="1">
      <c r="C8" s="51" t="s">
        <v>37</v>
      </c>
      <c r="D8" s="52">
        <f>D5-D6</f>
        <v>5</v>
      </c>
      <c r="E8" s="53">
        <f>E5-E6</f>
        <v>2</v>
      </c>
      <c r="F8" s="53">
        <f>F5-F6</f>
        <v>5</v>
      </c>
      <c r="G8" s="53">
        <f>G5-G6</f>
        <v>6</v>
      </c>
      <c r="H8" s="54">
        <f>H5-H6</f>
        <v>7</v>
      </c>
    </row>
    <row r="9" spans="3:15" ht="15.75" thickBot="1"/>
    <row r="10" spans="3:15" ht="19.5" thickBot="1">
      <c r="C10" s="55" t="s">
        <v>38</v>
      </c>
      <c r="D10" s="51">
        <f>H10/H4</f>
        <v>5</v>
      </c>
      <c r="G10" s="56" t="s">
        <v>39</v>
      </c>
      <c r="H10" s="51">
        <f>D8+E8+F8+G8+H8</f>
        <v>25</v>
      </c>
    </row>
    <row r="11" spans="3:15" ht="15.75" thickBot="1">
      <c r="C11" s="52" t="s">
        <v>53</v>
      </c>
      <c r="D11" s="51">
        <f>K5</f>
        <v>3.5</v>
      </c>
    </row>
    <row r="12" spans="3:15" ht="19.5" thickBot="1">
      <c r="C12" s="51" t="s">
        <v>40</v>
      </c>
      <c r="D12" s="57">
        <f>SQRT(D11)</f>
        <v>1.8708286933869707</v>
      </c>
      <c r="F12" s="56" t="s">
        <v>41</v>
      </c>
      <c r="G12" s="51">
        <v>0.05</v>
      </c>
    </row>
    <row r="13" spans="3:15" ht="15.75" thickBot="1"/>
    <row r="14" spans="3:15" ht="15.75" thickBot="1">
      <c r="C14" s="58" t="s">
        <v>29</v>
      </c>
      <c r="D14" s="98">
        <f>(D10*SQRT(H4))/(D12)</f>
        <v>5.9761430466719689</v>
      </c>
      <c r="G14" s="52" t="s">
        <v>42</v>
      </c>
      <c r="H14" s="51">
        <f>H4-1</f>
        <v>4</v>
      </c>
    </row>
    <row r="15" spans="3:15" ht="15.75" thickBot="1"/>
    <row r="16" spans="3:15" ht="15.75" thickBot="1">
      <c r="C16" s="59" t="s">
        <v>43</v>
      </c>
      <c r="D16" s="99">
        <v>2.1320000000000001</v>
      </c>
      <c r="G16" s="62"/>
      <c r="H16" s="62"/>
    </row>
    <row r="17" spans="11:13">
      <c r="K17" t="s">
        <v>44</v>
      </c>
    </row>
    <row r="18" spans="11:13" ht="15.75" thickBot="1"/>
    <row r="19" spans="11:13">
      <c r="K19" s="66"/>
      <c r="L19" s="66" t="s">
        <v>34</v>
      </c>
      <c r="M19" s="66" t="s">
        <v>36</v>
      </c>
    </row>
    <row r="20" spans="11:13">
      <c r="K20" s="64" t="s">
        <v>15</v>
      </c>
      <c r="L20" s="64">
        <v>76</v>
      </c>
      <c r="M20" s="64">
        <v>71</v>
      </c>
    </row>
    <row r="21" spans="11:13">
      <c r="K21" s="64" t="s">
        <v>19</v>
      </c>
      <c r="L21" s="64">
        <v>59.5</v>
      </c>
      <c r="M21" s="64">
        <v>47</v>
      </c>
    </row>
    <row r="22" spans="11:13">
      <c r="K22" s="64" t="s">
        <v>45</v>
      </c>
      <c r="L22" s="64">
        <v>5</v>
      </c>
      <c r="M22" s="64">
        <v>5</v>
      </c>
    </row>
    <row r="23" spans="11:13">
      <c r="K23" s="64" t="s">
        <v>46</v>
      </c>
      <c r="L23" s="102">
        <v>0.97386737543585256</v>
      </c>
      <c r="M23" s="64"/>
    </row>
    <row r="24" spans="11:13">
      <c r="K24" s="64" t="s">
        <v>47</v>
      </c>
      <c r="L24" s="64">
        <v>0</v>
      </c>
      <c r="M24" s="64"/>
    </row>
    <row r="25" spans="11:13">
      <c r="K25" s="64" t="s">
        <v>31</v>
      </c>
      <c r="L25" s="64">
        <v>4</v>
      </c>
      <c r="M25" s="64"/>
    </row>
    <row r="26" spans="11:13">
      <c r="K26" s="64" t="s">
        <v>48</v>
      </c>
      <c r="L26" s="102">
        <v>5.9761430466719689</v>
      </c>
      <c r="M26" s="64"/>
    </row>
    <row r="27" spans="11:13">
      <c r="K27" s="64" t="s">
        <v>49</v>
      </c>
      <c r="L27" s="101">
        <v>1.9698142788277398E-3</v>
      </c>
      <c r="M27" s="64"/>
    </row>
    <row r="28" spans="11:13">
      <c r="K28" s="64" t="s">
        <v>50</v>
      </c>
      <c r="L28" s="102">
        <v>2.1318467863266499</v>
      </c>
      <c r="M28" s="64"/>
    </row>
    <row r="29" spans="11:13">
      <c r="K29" s="64" t="s">
        <v>51</v>
      </c>
      <c r="L29" s="101">
        <v>3.9396285576554797E-3</v>
      </c>
      <c r="M29" s="64"/>
    </row>
    <row r="30" spans="11:13" ht="15.75" thickBot="1">
      <c r="K30" s="65" t="s">
        <v>52</v>
      </c>
      <c r="L30" s="100">
        <v>2.7764451051977934</v>
      </c>
      <c r="M30" s="6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1761-BB9E-4B4C-B62F-956B3326A246}">
  <dimension ref="A1:J35"/>
  <sheetViews>
    <sheetView topLeftCell="A28" zoomScaleNormal="100" workbookViewId="0">
      <selection activeCell="D40" sqref="D40"/>
    </sheetView>
  </sheetViews>
  <sheetFormatPr defaultRowHeight="15"/>
  <cols>
    <col min="1" max="1" width="22.28515625" style="1" customWidth="1"/>
    <col min="2" max="2" width="27.85546875" style="1" customWidth="1"/>
    <col min="3" max="3" width="15.7109375" style="1" bestFit="1" customWidth="1"/>
    <col min="4" max="4" width="18.140625" style="1" bestFit="1" customWidth="1"/>
    <col min="5" max="5" width="15.140625" style="1" customWidth="1"/>
    <col min="6" max="6" width="16.7109375" bestFit="1" customWidth="1"/>
  </cols>
  <sheetData>
    <row r="1" spans="1:10" ht="15.75" thickBot="1">
      <c r="A1" s="8" t="s">
        <v>13</v>
      </c>
      <c r="B1" s="8" t="s">
        <v>14</v>
      </c>
      <c r="C1" s="8" t="s">
        <v>15</v>
      </c>
      <c r="D1" s="17" t="s">
        <v>16</v>
      </c>
      <c r="E1" s="19" t="s">
        <v>19</v>
      </c>
    </row>
    <row r="2" spans="1:10" ht="15.75" thickBot="1">
      <c r="A2" s="9" t="s">
        <v>17</v>
      </c>
      <c r="B2" s="9">
        <v>15</v>
      </c>
      <c r="C2" s="9">
        <v>48</v>
      </c>
      <c r="D2" s="18">
        <v>10</v>
      </c>
      <c r="E2" s="21">
        <f>D2^2</f>
        <v>100</v>
      </c>
    </row>
    <row r="3" spans="1:10" ht="15.75" thickBot="1">
      <c r="A3" s="9" t="s">
        <v>18</v>
      </c>
      <c r="B3" s="9">
        <v>12</v>
      </c>
      <c r="C3" s="9">
        <v>52</v>
      </c>
      <c r="D3" s="18">
        <v>15</v>
      </c>
      <c r="E3" s="20">
        <f>D3^2</f>
        <v>225</v>
      </c>
      <c r="F3" s="10" t="s">
        <v>22</v>
      </c>
    </row>
    <row r="4" spans="1:10" ht="15.75">
      <c r="A4" s="11" t="s">
        <v>24</v>
      </c>
      <c r="B4" s="9">
        <v>0.05</v>
      </c>
    </row>
    <row r="6" spans="1:10" ht="15.75" thickBot="1"/>
    <row r="7" spans="1:10" ht="15.75" thickBot="1">
      <c r="A7" s="30" t="s">
        <v>20</v>
      </c>
      <c r="B7" s="22">
        <f>E3/E2</f>
        <v>2.25</v>
      </c>
      <c r="C7" s="16" t="s">
        <v>21</v>
      </c>
    </row>
    <row r="9" spans="1:10" ht="15.75" thickBot="1"/>
    <row r="10" spans="1:10" ht="15.75" thickBot="1">
      <c r="A10" s="30" t="s">
        <v>31</v>
      </c>
      <c r="B10" s="22" t="s">
        <v>23</v>
      </c>
      <c r="C10" s="16">
        <f>12+15-2</f>
        <v>25</v>
      </c>
    </row>
    <row r="11" spans="1:10" ht="15.75" thickBot="1"/>
    <row r="12" spans="1:10" ht="16.5" thickBot="1">
      <c r="A12" s="32" t="s">
        <v>27</v>
      </c>
      <c r="B12" s="23" t="s">
        <v>32</v>
      </c>
      <c r="C12" s="24">
        <f>((B3-1)*E3+(B2-1)*E2)/C10</f>
        <v>155</v>
      </c>
      <c r="D12" s="13"/>
      <c r="E12" s="14"/>
    </row>
    <row r="13" spans="1:10" ht="15.75" thickBot="1">
      <c r="A13" s="30" t="s">
        <v>28</v>
      </c>
      <c r="B13" s="22">
        <f>SQRT(C12)</f>
        <v>12.449899597988733</v>
      </c>
      <c r="C13" s="25" t="s">
        <v>8</v>
      </c>
      <c r="D13" s="97">
        <v>12.449899597988733</v>
      </c>
      <c r="F13" s="12"/>
      <c r="G13" s="12"/>
      <c r="H13" s="12"/>
      <c r="I13" s="13"/>
      <c r="J13" s="14"/>
    </row>
    <row r="14" spans="1:10" ht="15.75" thickBot="1"/>
    <row r="15" spans="1:10" ht="16.5" thickBot="1">
      <c r="A15" s="33" t="s">
        <v>25</v>
      </c>
      <c r="B15" s="22">
        <v>2.5000000000000001E-2</v>
      </c>
    </row>
    <row r="16" spans="1:10" ht="15.75" thickBot="1">
      <c r="A16" s="30" t="s">
        <v>26</v>
      </c>
      <c r="B16" s="26">
        <v>2.06</v>
      </c>
    </row>
    <row r="31" spans="1:4" ht="15.75" thickBot="1"/>
    <row r="32" spans="1:4" ht="15.75" thickBot="1">
      <c r="A32" s="30" t="s">
        <v>29</v>
      </c>
      <c r="B32" s="22">
        <f>(C3-C2)/(D13*(SQRT(1/B3+1/B2)))</f>
        <v>0.8295613557843402</v>
      </c>
      <c r="C32" s="25" t="s">
        <v>8</v>
      </c>
      <c r="D32" s="97">
        <v>0.8295613557843402</v>
      </c>
    </row>
    <row r="34" spans="5:6">
      <c r="F34" t="s">
        <v>30</v>
      </c>
    </row>
    <row r="35" spans="5:6" ht="189.75" customHeight="1">
      <c r="E35" s="15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workbookViewId="0">
      <selection activeCell="N33" sqref="N33"/>
    </sheetView>
  </sheetViews>
  <sheetFormatPr defaultRowHeight="15"/>
  <cols>
    <col min="1" max="1" width="18.85546875" style="1" customWidth="1"/>
    <col min="2" max="2" width="16.140625" style="1" customWidth="1"/>
    <col min="3" max="3" width="9.140625" style="1"/>
    <col min="4" max="4" width="11.42578125" style="1" customWidth="1"/>
    <col min="5" max="5" width="9.140625" style="1"/>
    <col min="8" max="8" width="9.5703125" bestFit="1" customWidth="1"/>
  </cols>
  <sheetData>
    <row r="1" spans="1:8" ht="27.75" customHeight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8" ht="30.75" customHeight="1">
      <c r="A2" s="2">
        <v>10</v>
      </c>
      <c r="B2" s="2">
        <v>1003</v>
      </c>
      <c r="C2" s="2">
        <f>A2^2</f>
        <v>100</v>
      </c>
      <c r="D2" s="2">
        <f>B2^2</f>
        <v>1006009</v>
      </c>
      <c r="E2" s="2">
        <f>A2*B2</f>
        <v>10030</v>
      </c>
    </row>
    <row r="3" spans="1:8">
      <c r="A3" s="2">
        <v>15</v>
      </c>
      <c r="B3" s="2">
        <v>1005</v>
      </c>
      <c r="C3" s="2">
        <f t="shared" ref="C3:C6" si="0">A3^2</f>
        <v>225</v>
      </c>
      <c r="D3" s="2">
        <f t="shared" ref="D3:D6" si="1">B3^2</f>
        <v>1010025</v>
      </c>
      <c r="E3" s="2">
        <f t="shared" ref="E3:E5" si="2">A3*B3</f>
        <v>15075</v>
      </c>
    </row>
    <row r="4" spans="1:8">
      <c r="A4" s="2">
        <v>20</v>
      </c>
      <c r="B4" s="2">
        <v>1010</v>
      </c>
      <c r="C4" s="2">
        <f t="shared" si="0"/>
        <v>400</v>
      </c>
      <c r="D4" s="2">
        <f t="shared" si="1"/>
        <v>1020100</v>
      </c>
      <c r="E4" s="2">
        <f t="shared" si="2"/>
        <v>20200</v>
      </c>
      <c r="G4" t="s">
        <v>5</v>
      </c>
      <c r="H4">
        <v>5</v>
      </c>
    </row>
    <row r="5" spans="1:8">
      <c r="A5" s="2">
        <v>25</v>
      </c>
      <c r="B5" s="2">
        <v>1011</v>
      </c>
      <c r="C5" s="2">
        <f t="shared" si="0"/>
        <v>625</v>
      </c>
      <c r="D5" s="2">
        <f t="shared" si="1"/>
        <v>1022121</v>
      </c>
      <c r="E5" s="2">
        <f t="shared" si="2"/>
        <v>25275</v>
      </c>
      <c r="G5" t="s">
        <v>6</v>
      </c>
      <c r="H5" s="61">
        <f>(H4*E7-B7*A7)/(SQRT(H4*C7-A7^2)*SQRT(H4*D7-B7^2))</f>
        <v>0.98260736888103495</v>
      </c>
    </row>
    <row r="6" spans="1:8">
      <c r="A6" s="7">
        <v>30</v>
      </c>
      <c r="B6" s="7">
        <v>1014</v>
      </c>
      <c r="C6" s="7">
        <f t="shared" si="0"/>
        <v>900</v>
      </c>
      <c r="D6" s="7">
        <f t="shared" si="1"/>
        <v>1028196</v>
      </c>
      <c r="E6" s="7">
        <f>A6*B6</f>
        <v>30420</v>
      </c>
    </row>
    <row r="7" spans="1:8">
      <c r="A7" s="6">
        <f>SUM(A2:A6)</f>
        <v>100</v>
      </c>
      <c r="B7" s="6">
        <f t="shared" ref="B7:E7" si="3">SUM(B2:B6)</f>
        <v>5043</v>
      </c>
      <c r="C7" s="6">
        <f t="shared" si="3"/>
        <v>2250</v>
      </c>
      <c r="D7" s="6">
        <f t="shared" si="3"/>
        <v>5086451</v>
      </c>
      <c r="E7" s="6">
        <f t="shared" si="3"/>
        <v>101000</v>
      </c>
    </row>
    <row r="8" spans="1:8" ht="15.75" thickBot="1"/>
    <row r="9" spans="1:8" ht="15.75" thickBot="1">
      <c r="A9" s="30" t="s">
        <v>7</v>
      </c>
      <c r="B9" s="27"/>
      <c r="C9" s="28"/>
      <c r="D9" s="28"/>
    </row>
    <row r="10" spans="1:8" ht="15.75" thickBot="1">
      <c r="A10" s="31" t="s">
        <v>6</v>
      </c>
      <c r="B10" s="95">
        <v>0.98260736888103495</v>
      </c>
      <c r="C10" s="29" t="s">
        <v>8</v>
      </c>
      <c r="D10" s="94">
        <v>0.98260000000000003</v>
      </c>
    </row>
    <row r="11" spans="1:8" ht="15.75" thickBot="1">
      <c r="A11" s="30" t="s">
        <v>9</v>
      </c>
      <c r="B11" s="96">
        <f>D10^2</f>
        <v>0.96550276000000002</v>
      </c>
      <c r="C11" s="29" t="s">
        <v>8</v>
      </c>
      <c r="D11" s="94">
        <v>0.96550000000000002</v>
      </c>
    </row>
    <row r="12" spans="1:8" ht="15.75" thickBot="1"/>
    <row r="13" spans="1:8">
      <c r="A13" s="38" t="s">
        <v>10</v>
      </c>
      <c r="B13" s="39"/>
      <c r="C13" s="39"/>
      <c r="D13" s="39"/>
      <c r="E13" s="39"/>
      <c r="F13" s="40"/>
      <c r="G13" s="41"/>
    </row>
    <row r="14" spans="1:8">
      <c r="A14" s="42"/>
      <c r="B14" s="36"/>
      <c r="C14" s="36"/>
      <c r="D14" s="36"/>
      <c r="E14" s="36"/>
      <c r="F14" s="37"/>
      <c r="G14" s="43"/>
    </row>
    <row r="15" spans="1:8">
      <c r="A15" s="42"/>
      <c r="B15" s="36"/>
      <c r="C15" s="36"/>
      <c r="D15" s="36"/>
      <c r="E15" s="36"/>
      <c r="F15" s="37"/>
      <c r="G15" s="43"/>
    </row>
    <row r="16" spans="1:8">
      <c r="A16" s="42"/>
      <c r="B16" s="36"/>
      <c r="C16" s="36"/>
      <c r="D16" s="36"/>
      <c r="E16" s="36"/>
      <c r="F16" s="37"/>
      <c r="G16" s="43"/>
    </row>
    <row r="17" spans="1:13" ht="15.75">
      <c r="A17" s="44"/>
      <c r="B17" s="36"/>
      <c r="C17" s="36"/>
      <c r="D17" s="36"/>
      <c r="E17" s="36"/>
      <c r="F17" s="37"/>
      <c r="G17" s="43"/>
      <c r="M17" s="62"/>
    </row>
    <row r="18" spans="1:13" ht="15.75">
      <c r="A18" s="45"/>
      <c r="B18" s="36"/>
      <c r="C18" s="36"/>
      <c r="D18" s="36"/>
      <c r="E18" s="36"/>
      <c r="F18" s="37"/>
      <c r="G18" s="43"/>
    </row>
    <row r="19" spans="1:13">
      <c r="A19" s="42"/>
      <c r="B19" s="36"/>
      <c r="C19" s="36"/>
      <c r="D19" s="36"/>
      <c r="E19" s="36"/>
      <c r="F19" s="37"/>
      <c r="G19" s="43"/>
    </row>
    <row r="20" spans="1:13">
      <c r="A20" s="42"/>
      <c r="B20" s="36"/>
      <c r="C20" s="36"/>
      <c r="D20" s="36"/>
      <c r="E20" s="36"/>
      <c r="F20" s="37"/>
      <c r="G20" s="43"/>
    </row>
    <row r="21" spans="1:13">
      <c r="A21" s="42"/>
      <c r="B21" s="36"/>
      <c r="C21" s="36"/>
      <c r="D21" s="36"/>
      <c r="E21" s="36"/>
      <c r="F21" s="37"/>
      <c r="G21" s="43"/>
    </row>
    <row r="22" spans="1:13">
      <c r="A22" s="42"/>
      <c r="B22" s="36"/>
      <c r="C22" s="36"/>
      <c r="D22" s="36"/>
      <c r="E22" s="36"/>
      <c r="F22" s="37"/>
      <c r="G22" s="43"/>
    </row>
    <row r="23" spans="1:13">
      <c r="A23" s="42"/>
      <c r="B23" s="36"/>
      <c r="C23" s="36"/>
      <c r="D23" s="36"/>
      <c r="E23" s="36"/>
      <c r="F23" s="37"/>
      <c r="G23" s="43"/>
    </row>
    <row r="24" spans="1:13">
      <c r="A24" s="42"/>
      <c r="B24" s="36"/>
      <c r="C24" s="36"/>
      <c r="D24" s="36"/>
      <c r="E24" s="36"/>
      <c r="F24" s="37"/>
      <c r="G24" s="43"/>
    </row>
    <row r="25" spans="1:13">
      <c r="A25" s="42"/>
      <c r="B25" s="36"/>
      <c r="C25" s="36"/>
      <c r="D25" s="36"/>
      <c r="E25" s="36"/>
      <c r="F25" s="37"/>
      <c r="G25" s="43"/>
    </row>
    <row r="26" spans="1:13">
      <c r="A26" s="42"/>
      <c r="B26" s="36"/>
      <c r="C26" s="36"/>
      <c r="D26" s="36"/>
      <c r="E26" s="36"/>
      <c r="F26" s="37"/>
      <c r="G26" s="43"/>
    </row>
    <row r="27" spans="1:13">
      <c r="A27" s="42"/>
      <c r="B27" s="36"/>
      <c r="C27" s="36"/>
      <c r="D27" s="36"/>
      <c r="E27" s="36"/>
      <c r="F27" s="37"/>
      <c r="G27" s="43"/>
    </row>
    <row r="28" spans="1:13">
      <c r="A28" s="42"/>
      <c r="B28" s="36"/>
      <c r="C28" s="36"/>
      <c r="D28" s="36"/>
      <c r="E28" s="36"/>
      <c r="F28" s="37"/>
      <c r="G28" s="43"/>
    </row>
    <row r="29" spans="1:13" ht="15.75" thickBot="1">
      <c r="A29" s="46"/>
      <c r="B29" s="47"/>
      <c r="C29" s="47"/>
      <c r="D29" s="47"/>
      <c r="E29" s="47"/>
      <c r="F29" s="48"/>
      <c r="G29" s="49"/>
    </row>
    <row r="31" spans="1:13">
      <c r="A31" s="50" t="s">
        <v>11</v>
      </c>
      <c r="B31" s="50" t="s">
        <v>12</v>
      </c>
      <c r="C31" s="34"/>
      <c r="D31" s="34"/>
      <c r="E31" s="34"/>
      <c r="F31" s="35"/>
      <c r="G31" s="35"/>
      <c r="H31" s="35"/>
      <c r="I31" s="35"/>
      <c r="J31" s="35"/>
      <c r="K31" s="35"/>
    </row>
    <row r="32" spans="1:13">
      <c r="A32" s="34"/>
      <c r="B32" s="34"/>
      <c r="C32" s="34"/>
      <c r="D32" s="34"/>
      <c r="E32" s="34"/>
      <c r="F32" s="35"/>
      <c r="G32" s="35"/>
      <c r="H32" s="35"/>
      <c r="I32" s="35"/>
      <c r="J32" s="35"/>
      <c r="K32" s="35"/>
    </row>
    <row r="33" spans="1:11">
      <c r="A33" s="34"/>
      <c r="B33" s="34"/>
      <c r="C33" s="34"/>
      <c r="D33" s="34"/>
      <c r="E33" s="34"/>
      <c r="F33" s="35"/>
      <c r="G33" s="35"/>
      <c r="H33" s="35"/>
      <c r="I33" s="35"/>
      <c r="J33" s="35"/>
      <c r="K33" s="35"/>
    </row>
    <row r="34" spans="1:11">
      <c r="A34" s="34"/>
      <c r="B34" s="34"/>
      <c r="C34" s="34"/>
      <c r="D34" s="34"/>
      <c r="E34" s="34"/>
      <c r="F34" s="35"/>
      <c r="G34" s="35"/>
      <c r="H34" s="35"/>
      <c r="I34" s="35"/>
      <c r="J34" s="35"/>
      <c r="K34" s="35"/>
    </row>
    <row r="35" spans="1:11">
      <c r="A35" s="34"/>
      <c r="B35" s="34"/>
      <c r="C35" s="34"/>
      <c r="D35" s="34"/>
      <c r="E35" s="34"/>
      <c r="F35" s="35"/>
      <c r="G35" s="35"/>
      <c r="H35" s="35"/>
      <c r="I35" s="35"/>
      <c r="J35" s="35"/>
      <c r="K35" s="35"/>
    </row>
    <row r="36" spans="1:11">
      <c r="A36" s="34"/>
      <c r="B36" s="34"/>
      <c r="C36" s="34"/>
      <c r="D36" s="34"/>
      <c r="E36" s="34"/>
      <c r="F36" s="35"/>
      <c r="G36" s="35"/>
      <c r="H36" s="35"/>
      <c r="I36" s="35"/>
      <c r="J36" s="35"/>
      <c r="K36" s="35"/>
    </row>
    <row r="37" spans="1:11">
      <c r="A37" s="34"/>
      <c r="B37" s="34"/>
      <c r="C37" s="34"/>
      <c r="D37" s="34"/>
      <c r="E37" s="34"/>
      <c r="F37" s="35"/>
      <c r="G37" s="35"/>
      <c r="H37" s="35"/>
      <c r="I37" s="35"/>
      <c r="J37" s="35"/>
      <c r="K37" s="35"/>
    </row>
    <row r="38" spans="1:11">
      <c r="A38" s="34"/>
      <c r="B38" s="34"/>
      <c r="C38" s="34"/>
      <c r="D38" s="34"/>
      <c r="E38" s="34"/>
      <c r="F38" s="35"/>
      <c r="G38" s="35"/>
      <c r="H38" s="35"/>
      <c r="I38" s="35"/>
      <c r="J38" s="35"/>
      <c r="K38" s="35"/>
    </row>
    <row r="39" spans="1:11">
      <c r="A39" s="34"/>
      <c r="B39" s="34"/>
      <c r="C39" s="34"/>
      <c r="D39" s="34"/>
      <c r="E39" s="34"/>
      <c r="F39" s="35"/>
      <c r="G39" s="35"/>
      <c r="H39" s="35"/>
      <c r="I39" s="35"/>
      <c r="J39" s="35"/>
      <c r="K39" s="35"/>
    </row>
    <row r="40" spans="1:11">
      <c r="A40" s="34"/>
      <c r="B40" s="34"/>
      <c r="C40" s="34"/>
      <c r="D40" s="34"/>
      <c r="E40" s="34"/>
      <c r="F40" s="35"/>
      <c r="G40" s="35"/>
      <c r="H40" s="35"/>
      <c r="I40" s="35"/>
      <c r="J40" s="35"/>
      <c r="K40" s="35"/>
    </row>
    <row r="41" spans="1:11">
      <c r="A41" s="34"/>
      <c r="B41" s="34"/>
      <c r="C41" s="34"/>
      <c r="D41" s="34"/>
      <c r="E41" s="34"/>
      <c r="F41" s="35"/>
      <c r="G41" s="35"/>
      <c r="H41" s="35"/>
      <c r="I41" s="35"/>
      <c r="J41" s="35"/>
      <c r="K41" s="35"/>
    </row>
    <row r="42" spans="1:11">
      <c r="A42" s="34"/>
      <c r="B42" s="34"/>
      <c r="C42" s="34"/>
      <c r="D42" s="34"/>
      <c r="E42" s="34"/>
      <c r="F42" s="35"/>
      <c r="G42" s="35"/>
      <c r="H42" s="35"/>
      <c r="I42" s="35"/>
      <c r="J42" s="35"/>
      <c r="K42" s="35"/>
    </row>
    <row r="43" spans="1:11">
      <c r="A43" s="34"/>
      <c r="B43" s="34"/>
      <c r="C43" s="34"/>
      <c r="D43" s="34"/>
      <c r="E43" s="34"/>
      <c r="F43" s="35"/>
      <c r="G43" s="35"/>
      <c r="H43" s="35"/>
      <c r="I43" s="35"/>
      <c r="J43" s="35"/>
      <c r="K43" s="35"/>
    </row>
    <row r="44" spans="1:11">
      <c r="A44" s="34"/>
      <c r="B44" s="34"/>
      <c r="C44" s="34"/>
      <c r="D44" s="34"/>
      <c r="E44" s="34"/>
      <c r="F44" s="35"/>
      <c r="G44" s="35"/>
      <c r="H44" s="35"/>
      <c r="I44" s="35"/>
      <c r="J44" s="35"/>
      <c r="K44" s="35"/>
    </row>
    <row r="45" spans="1:11">
      <c r="A45" s="34"/>
      <c r="B45" s="34"/>
      <c r="C45" s="34"/>
      <c r="D45" s="34"/>
      <c r="E45" s="34"/>
      <c r="F45" s="35"/>
      <c r="G45" s="35"/>
      <c r="H45" s="35"/>
      <c r="I45" s="35"/>
      <c r="J45" s="35"/>
      <c r="K45" s="35"/>
    </row>
    <row r="46" spans="1:11">
      <c r="A46" s="34"/>
      <c r="B46" s="34"/>
      <c r="C46" s="34"/>
      <c r="D46" s="34"/>
      <c r="E46" s="34"/>
      <c r="F46" s="35"/>
      <c r="G46" s="35"/>
      <c r="H46" s="35"/>
      <c r="I46" s="35"/>
      <c r="J46" s="35"/>
      <c r="K46" s="35"/>
    </row>
    <row r="47" spans="1:11">
      <c r="A47" s="34"/>
      <c r="B47" s="34"/>
      <c r="C47" s="34"/>
      <c r="D47" s="34"/>
      <c r="E47" s="34"/>
      <c r="F47" s="35"/>
      <c r="G47" s="35"/>
      <c r="H47" s="35"/>
      <c r="I47" s="35"/>
      <c r="J47" s="35"/>
      <c r="K47" s="35"/>
    </row>
    <row r="48" spans="1:11">
      <c r="A48" s="34"/>
      <c r="B48" s="34"/>
      <c r="C48" s="34"/>
      <c r="D48" s="34"/>
      <c r="E48" s="34"/>
      <c r="F48" s="35"/>
      <c r="G48" s="35"/>
      <c r="H48" s="35"/>
      <c r="I48" s="35"/>
      <c r="J48" s="35"/>
      <c r="K48" s="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Questão 1</vt:lpstr>
      <vt:lpstr>Questão 2</vt:lpstr>
      <vt:lpstr>Questão 3</vt:lpstr>
      <vt:lpstr>Questão 4</vt:lpstr>
      <vt:lpstr>Questão 5</vt:lpstr>
      <vt:lpstr>Questão 6</vt:lpstr>
      <vt:lpstr>Questão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Ellen junker</cp:lastModifiedBy>
  <cp:revision/>
  <dcterms:created xsi:type="dcterms:W3CDTF">2021-07-06T00:23:23Z</dcterms:created>
  <dcterms:modified xsi:type="dcterms:W3CDTF">2021-07-08T20:03:56Z</dcterms:modified>
  <cp:category/>
  <cp:contentStatus/>
</cp:coreProperties>
</file>