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hgazure-my.sharepoint.com/personal/luigi_neri_optum_com/Documents/Courses/10. AI for Trading/Simulation/"/>
    </mc:Choice>
  </mc:AlternateContent>
  <xr:revisionPtr revIDLastSave="3766" documentId="8_{9F1C2FFF-7A99-48FE-8F09-68C2B335E8AD}" xr6:coauthVersionLast="44" xr6:coauthVersionMax="44" xr10:uidLastSave="{391BA144-1E10-4996-B87C-4E3824264A3A}"/>
  <bookViews>
    <workbookView xWindow="-108" yWindow="-108" windowWidth="23256" windowHeight="12576" xr2:uid="{5DD9C039-E5D3-452A-9029-4DE8FE75E73A}"/>
  </bookViews>
  <sheets>
    <sheet name="Data" sheetId="2" r:id="rId1"/>
    <sheet name="Charts" sheetId="3" r:id="rId2"/>
  </sheets>
  <definedNames>
    <definedName name="solver_adj" localSheetId="0" hidden="1">Data!$K$5:$K$18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Data!$K$5:$K$18</definedName>
    <definedName name="solver_lhs2" localSheetId="0" hidden="1">Data!$K$5:$K$18</definedName>
    <definedName name="solver_lhs3" localSheetId="0" hidden="1">Data!$M$20</definedName>
    <definedName name="solver_lhs4" localSheetId="0" hidden="1">Data!$N$5:$N$18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Data!$R$20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hs1" localSheetId="0" hidden="1">integer</definedName>
    <definedName name="solver_rhs2" localSheetId="0" hidden="1">0</definedName>
    <definedName name="solver_rhs3" localSheetId="0" hidden="1">50000</definedName>
    <definedName name="solver_rhs4" localSheetId="0" hidden="1">Data!$P$5:$P$18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2" i="2" l="1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32" i="2" l="1"/>
  <c r="E37" i="2"/>
  <c r="E29" i="2"/>
  <c r="E31" i="2"/>
  <c r="E35" i="2"/>
  <c r="E28" i="2"/>
  <c r="E34" i="2"/>
  <c r="E27" i="2"/>
  <c r="E33" i="2"/>
  <c r="E36" i="2"/>
  <c r="E30" i="2"/>
  <c r="U18" i="2"/>
  <c r="AB18" i="2" s="1"/>
  <c r="AC18" i="2" s="1"/>
  <c r="U17" i="2"/>
  <c r="AB17" i="2" s="1"/>
  <c r="AC17" i="2" s="1"/>
  <c r="U16" i="2"/>
  <c r="AB16" i="2" s="1"/>
  <c r="AC16" i="2" s="1"/>
  <c r="U15" i="2"/>
  <c r="U14" i="2"/>
  <c r="U13" i="2"/>
  <c r="AB13" i="2" s="1"/>
  <c r="AC13" i="2" s="1"/>
  <c r="U12" i="2"/>
  <c r="AB12" i="2" s="1"/>
  <c r="AC12" i="2" s="1"/>
  <c r="U11" i="2"/>
  <c r="AB11" i="2" s="1"/>
  <c r="AC11" i="2" s="1"/>
  <c r="U10" i="2"/>
  <c r="U9" i="2"/>
  <c r="AB9" i="2" s="1"/>
  <c r="AC9" i="2" s="1"/>
  <c r="U8" i="2"/>
  <c r="AB8" i="2" s="1"/>
  <c r="AC8" i="2" s="1"/>
  <c r="U7" i="2"/>
  <c r="AB7" i="2" s="1"/>
  <c r="AC7" i="2" s="1"/>
  <c r="U6" i="2"/>
  <c r="AB6" i="2" s="1"/>
  <c r="AC6" i="2" s="1"/>
  <c r="U5" i="2"/>
  <c r="AB5" i="2" s="1"/>
  <c r="AC5" i="2" s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K20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E18" i="2"/>
  <c r="E17" i="2"/>
  <c r="E7" i="2"/>
  <c r="E12" i="2"/>
  <c r="E9" i="2"/>
  <c r="E15" i="2"/>
  <c r="E11" i="2"/>
  <c r="E10" i="2"/>
  <c r="E16" i="2"/>
  <c r="E6" i="2"/>
  <c r="E14" i="2"/>
  <c r="E5" i="2"/>
  <c r="E13" i="2"/>
  <c r="E8" i="2"/>
  <c r="E20" i="2" l="1"/>
  <c r="E39" i="2"/>
  <c r="F27" i="2" s="1"/>
  <c r="W14" i="2"/>
  <c r="W15" i="2"/>
  <c r="AB14" i="2"/>
  <c r="AC14" i="2" s="1"/>
  <c r="AB15" i="2"/>
  <c r="AC15" i="2" s="1"/>
  <c r="W17" i="2"/>
  <c r="W11" i="2"/>
  <c r="W6" i="2"/>
  <c r="W18" i="2"/>
  <c r="W12" i="2"/>
  <c r="W16" i="2"/>
  <c r="W10" i="2"/>
  <c r="W7" i="2"/>
  <c r="W13" i="2"/>
  <c r="AB10" i="2"/>
  <c r="AC10" i="2" s="1"/>
  <c r="W8" i="2"/>
  <c r="W9" i="2"/>
  <c r="W5" i="2"/>
  <c r="M20" i="2"/>
  <c r="F13" i="2" l="1"/>
  <c r="F50" i="2"/>
  <c r="F60" i="2"/>
  <c r="F51" i="2"/>
  <c r="F54" i="2"/>
  <c r="F57" i="2"/>
  <c r="F53" i="2"/>
  <c r="F55" i="2"/>
  <c r="F58" i="2"/>
  <c r="F52" i="2"/>
  <c r="F56" i="2"/>
  <c r="F48" i="2"/>
  <c r="F61" i="2"/>
  <c r="F59" i="2"/>
  <c r="F49" i="2"/>
  <c r="F62" i="2"/>
  <c r="F28" i="2"/>
  <c r="I28" i="2" s="1"/>
  <c r="F29" i="2"/>
  <c r="I29" i="2" s="1"/>
  <c r="F33" i="2"/>
  <c r="F36" i="2"/>
  <c r="F32" i="2"/>
  <c r="I32" i="2" s="1"/>
  <c r="F37" i="2"/>
  <c r="I27" i="2"/>
  <c r="F30" i="2"/>
  <c r="I30" i="2" s="1"/>
  <c r="F35" i="2"/>
  <c r="I37" i="2" s="1"/>
  <c r="F34" i="2"/>
  <c r="W20" i="2"/>
  <c r="X10" i="2" s="1"/>
  <c r="Z10" i="2" s="1"/>
  <c r="F31" i="2"/>
  <c r="I31" i="2" s="1"/>
  <c r="X6" i="2"/>
  <c r="Z6" i="2" s="1"/>
  <c r="F8" i="2"/>
  <c r="F7" i="2"/>
  <c r="F11" i="2"/>
  <c r="N9" i="2"/>
  <c r="R9" i="2" s="1"/>
  <c r="N8" i="2"/>
  <c r="R8" i="2" s="1"/>
  <c r="N7" i="2"/>
  <c r="R7" i="2" s="1"/>
  <c r="N10" i="2"/>
  <c r="R10" i="2" s="1"/>
  <c r="N16" i="2"/>
  <c r="R16" i="2" s="1"/>
  <c r="N12" i="2"/>
  <c r="R12" i="2" s="1"/>
  <c r="N18" i="2"/>
  <c r="R18" i="2" s="1"/>
  <c r="N17" i="2"/>
  <c r="R17" i="2" s="1"/>
  <c r="N5" i="2"/>
  <c r="R5" i="2" s="1"/>
  <c r="N15" i="2"/>
  <c r="R15" i="2" s="1"/>
  <c r="N14" i="2"/>
  <c r="R14" i="2" s="1"/>
  <c r="N13" i="2"/>
  <c r="R13" i="2" s="1"/>
  <c r="N11" i="2"/>
  <c r="R11" i="2" s="1"/>
  <c r="N6" i="2"/>
  <c r="R6" i="2" s="1"/>
  <c r="F6" i="2"/>
  <c r="F15" i="2"/>
  <c r="F16" i="2"/>
  <c r="F12" i="2"/>
  <c r="F9" i="2"/>
  <c r="F10" i="2"/>
  <c r="F14" i="2"/>
  <c r="F5" i="2"/>
  <c r="F18" i="2"/>
  <c r="F17" i="2"/>
  <c r="X13" i="2" l="1"/>
  <c r="Z13" i="2" s="1"/>
  <c r="X5" i="2"/>
  <c r="Z5" i="2" s="1"/>
  <c r="X17" i="2"/>
  <c r="Z17" i="2" s="1"/>
  <c r="X11" i="2"/>
  <c r="Z11" i="2" s="1"/>
  <c r="X9" i="2"/>
  <c r="Z9" i="2" s="1"/>
  <c r="X12" i="2"/>
  <c r="Z12" i="2" s="1"/>
  <c r="I36" i="2"/>
  <c r="I35" i="2"/>
  <c r="X15" i="2"/>
  <c r="Z15" i="2" s="1"/>
  <c r="X16" i="2"/>
  <c r="Z16" i="2" s="1"/>
  <c r="I34" i="2"/>
  <c r="I33" i="2"/>
  <c r="X14" i="2"/>
  <c r="Z14" i="2" s="1"/>
  <c r="X7" i="2"/>
  <c r="Z7" i="2" s="1"/>
  <c r="X8" i="2"/>
  <c r="Z8" i="2" s="1"/>
  <c r="X18" i="2"/>
  <c r="Z18" i="2" s="1"/>
  <c r="R20" i="2"/>
  <c r="I43" i="2" l="1"/>
  <c r="Z20" i="2"/>
</calcChain>
</file>

<file path=xl/sharedStrings.xml><?xml version="1.0" encoding="utf-8"?>
<sst xmlns="http://schemas.openxmlformats.org/spreadsheetml/2006/main" count="142" uniqueCount="71">
  <si>
    <t>Shares</t>
  </si>
  <si>
    <t>NVDA</t>
  </si>
  <si>
    <t>GIS</t>
  </si>
  <si>
    <t>KMB</t>
  </si>
  <si>
    <t>DLTR</t>
  </si>
  <si>
    <t>T</t>
  </si>
  <si>
    <t>BOXL</t>
  </si>
  <si>
    <t>AIMC</t>
  </si>
  <si>
    <t>RH</t>
  </si>
  <si>
    <t>JNJ</t>
  </si>
  <si>
    <t>IMV</t>
  </si>
  <si>
    <t>WMT</t>
  </si>
  <si>
    <t>GOOG</t>
  </si>
  <si>
    <t>PG</t>
  </si>
  <si>
    <t>INO</t>
  </si>
  <si>
    <t>BAC</t>
  </si>
  <si>
    <t>$1,431.58</t>
  </si>
  <si>
    <t>$24.14</t>
  </si>
  <si>
    <t>$30.04</t>
  </si>
  <si>
    <t>$90.58</t>
  </si>
  <si>
    <t>$118.90</t>
  </si>
  <si>
    <t>$142.31</t>
  </si>
  <si>
    <t>$62.23</t>
  </si>
  <si>
    <t>$397.85</t>
  </si>
  <si>
    <t>$27.38</t>
  </si>
  <si>
    <t>$2.74</t>
  </si>
  <si>
    <t>$116.54</t>
  </si>
  <si>
    <t>$137.81</t>
  </si>
  <si>
    <t>$250.75</t>
  </si>
  <si>
    <t>$29.18</t>
  </si>
  <si>
    <t>$0.82</t>
  </si>
  <si>
    <t>Ticker</t>
  </si>
  <si>
    <t>Purchase Pr</t>
  </si>
  <si>
    <t>Total Value</t>
  </si>
  <si>
    <t>% Comp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</si>
  <si>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: Optimisation of current portfolio keeping starting assets</t>
    </r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</si>
  <si>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 xml:space="preserve">: Current portfolio </t>
    </r>
  </si>
  <si>
    <t>Table 2: Max sharp ratio portfolio keeping all assets</t>
  </si>
  <si>
    <t>Allocation</t>
  </si>
  <si>
    <t>Price</t>
  </si>
  <si>
    <t>Actual</t>
  </si>
  <si>
    <t>Target</t>
  </si>
  <si>
    <t>=</t>
  </si>
  <si>
    <t>Error</t>
  </si>
  <si>
    <t>% Alloc</t>
  </si>
  <si>
    <t>Action</t>
  </si>
  <si>
    <t>Qty</t>
  </si>
  <si>
    <t>Delta</t>
  </si>
  <si>
    <t>Date: 07/07/2020</t>
  </si>
  <si>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: Optimal Fronteer</t>
    </r>
  </si>
  <si>
    <t>The object of the optimisation was to maximise</t>
  </si>
  <si>
    <t>the return minimising the risk (volatility).</t>
  </si>
  <si>
    <t>The solution found was to build a portfolio with</t>
  </si>
  <si>
    <t xml:space="preserve">12% volatility giving a return that span in the </t>
  </si>
  <si>
    <t>range [14.53% - 75.22%]</t>
  </si>
  <si>
    <t>Optimal %</t>
  </si>
  <si>
    <t>@ min vol</t>
  </si>
  <si>
    <t>Date: 03/07/2020</t>
  </si>
  <si>
    <t>$ 23.45</t>
  </si>
  <si>
    <t>$ 25.94</t>
  </si>
  <si>
    <t>$121.21</t>
  </si>
  <si>
    <t>$258.24</t>
  </si>
  <si>
    <t>$30.09</t>
  </si>
  <si>
    <t>$120.85</t>
  </si>
  <si>
    <t>$142.70</t>
  </si>
  <si>
    <t>PPBI</t>
  </si>
  <si>
    <t>$19.20</t>
  </si>
  <si>
    <t>BFST</t>
  </si>
  <si>
    <t>$13.60</t>
  </si>
  <si>
    <t>SSB</t>
  </si>
  <si>
    <t>$44.25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</si>
</sst>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* #,##0.00_-;\-&quot;€&quot;* #,##0.00_-;_-&quot;€&quot;* &quot;-&quot;??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4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0" fontId="0" fillId="0" borderId="0" xfId="2" applyNumberFormat="1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9" fontId="0" fillId="3" borderId="3" xfId="0" applyNumberFormat="1" applyFill="1" applyBorder="1"/>
    <xf numFmtId="9" fontId="0" fillId="3" borderId="4" xfId="0" applyNumberFormat="1" applyFill="1" applyBorder="1"/>
    <xf numFmtId="0" fontId="0" fillId="0" borderId="5" xfId="0" applyBorder="1"/>
    <xf numFmtId="164" fontId="0" fillId="0" borderId="0" xfId="1" applyNumberFormat="1" applyFont="1"/>
    <xf numFmtId="0" fontId="0" fillId="4" borderId="0" xfId="0" applyFill="1"/>
    <xf numFmtId="0" fontId="2" fillId="0" borderId="0" xfId="3"/>
    <xf numFmtId="0" fontId="0" fillId="0" borderId="0" xfId="0" quotePrefix="1"/>
    <xf numFmtId="0" fontId="0" fillId="0" borderId="0" xfId="0" applyFill="1"/>
    <xf numFmtId="0" fontId="0" fillId="0" borderId="0" xfId="0" applyAlignment="1">
      <alignment horizontal="center"/>
    </xf>
  </cellXfs>
  <cellStyles count="4">
    <cellStyle name="Currency" xfId="1" builtinId="4"/>
    <cellStyle name="Explanatory Text" xfId="3" builtinId="53"/>
    <cellStyle name="Normal" xfId="0" builtinId="0"/>
    <cellStyle name="Percent" xfId="2" builtinId="5"/>
  </cellStyles>
  <dxfs count="8">
    <dxf>
      <numFmt numFmtId="14" formatCode="0.00%"/>
    </dxf>
    <dxf>
      <numFmt numFmtId="164" formatCode="_-[$$-409]* #,##0.00_ ;_-[$$-409]* \-#,##0.00\ ;_-[$$-409]* &quot;-&quot;??_ ;_-@_ "/>
    </dxf>
    <dxf>
      <numFmt numFmtId="14" formatCode="0.00%"/>
    </dxf>
    <dxf>
      <numFmt numFmtId="164" formatCode="_-[$$-409]* #,##0.00_ ;_-[$$-409]* \-#,##0.00\ ;_-[$$-409]* &quot;-&quot;??_ ;_-@_ "/>
    </dxf>
    <dxf>
      <numFmt numFmtId="14" formatCode="0.0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7621</xdr:colOff>
      <xdr:row>2</xdr:row>
      <xdr:rowOff>38100</xdr:rowOff>
    </xdr:from>
    <xdr:to>
      <xdr:col>13</xdr:col>
      <xdr:colOff>104698</xdr:colOff>
      <xdr:row>21</xdr:row>
      <xdr:rowOff>163380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A9F152-860C-4A03-BABC-358276CFE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821" y="403860"/>
          <a:ext cx="6802677" cy="36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7621</xdr:colOff>
      <xdr:row>22</xdr:row>
      <xdr:rowOff>15239</xdr:rowOff>
    </xdr:from>
    <xdr:to>
      <xdr:col>13</xdr:col>
      <xdr:colOff>116528</xdr:colOff>
      <xdr:row>41</xdr:row>
      <xdr:rowOff>140519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A77CF7-BC9D-42AE-8677-73F59AAD9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6821" y="4038599"/>
          <a:ext cx="6814507" cy="36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14</xdr:col>
      <xdr:colOff>1</xdr:colOff>
      <xdr:row>22</xdr:row>
      <xdr:rowOff>99060</xdr:rowOff>
    </xdr:from>
    <xdr:to>
      <xdr:col>25</xdr:col>
      <xdr:colOff>330632</xdr:colOff>
      <xdr:row>42</xdr:row>
      <xdr:rowOff>41460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CDBD8E-70D3-481F-BF59-2A3A2FE567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44200" r="41492"/>
        <a:stretch/>
      </xdr:blipFill>
      <xdr:spPr>
        <a:xfrm>
          <a:off x="8534401" y="4122420"/>
          <a:ext cx="7036231" cy="36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21</xdr:col>
      <xdr:colOff>547470</xdr:colOff>
      <xdr:row>21</xdr:row>
      <xdr:rowOff>125280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EE7F235-9B62-4165-B550-152AD3EA4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365760"/>
          <a:ext cx="4814670" cy="36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21E19-A441-497B-A0EC-584D46408E74}" name="Table1" displayName="Table1" ref="B4:F18" totalsRowShown="0">
  <autoFilter ref="B4:F18" xr:uid="{6C370554-54F3-45F1-8F0C-F33979897296}"/>
  <sortState xmlns:xlrd2="http://schemas.microsoft.com/office/spreadsheetml/2017/richdata2" ref="B5:F18">
    <sortCondition descending="1" ref="F5"/>
  </sortState>
  <tableColumns count="5">
    <tableColumn id="1" xr3:uid="{B3D9478D-CAED-494F-ABEF-28236475D695}" name="Ticker"/>
    <tableColumn id="2" xr3:uid="{B9EC2DB7-5BF1-4EEF-833B-E1B317294091}" name="Shares"/>
    <tableColumn id="3" xr3:uid="{91ACE5DC-A35F-4443-B0F6-AF38EC402401}" name="Purchase Pr"/>
    <tableColumn id="4" xr3:uid="{D0FA6149-9846-4210-AF1F-8DBD125DF94D}" name="Total Value" dataDxfId="1">
      <calculatedColumnFormula>C5*VALUE(SUBSTITUTE(D5,"$",""))</calculatedColumnFormula>
    </tableColumn>
    <tableColumn id="5" xr3:uid="{438A7486-94E6-4F8B-A470-CA35F183DFF9}" name="% Comp" dataDxfId="0">
      <calculatedColumnFormula>Table1[[#This Row],[Total Value]]/$E$20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AE1C01-C962-45C2-B4FB-AB585E728AD5}" name="Table13" displayName="Table13" ref="B26:F37" totalsRowShown="0">
  <autoFilter ref="B26:F37" xr:uid="{83964626-8D66-4394-9937-609FBF9B3D14}"/>
  <sortState xmlns:xlrd2="http://schemas.microsoft.com/office/spreadsheetml/2017/richdata2" ref="B27:F37">
    <sortCondition descending="1" ref="F27"/>
  </sortState>
  <tableColumns count="5">
    <tableColumn id="1" xr3:uid="{F7C36C78-0B95-4ECE-ACEA-38FB1CAC3986}" name="Ticker" dataDxfId="7"/>
    <tableColumn id="2" xr3:uid="{D00F1CF3-62AD-4272-B28C-8F594F83CBE9}" name="Shares"/>
    <tableColumn id="3" xr3:uid="{C575A46B-C43E-4340-AA2A-F3645BA85656}" name="Purchase Pr" dataDxfId="6" dataCellStyle="Currency"/>
    <tableColumn id="4" xr3:uid="{172BA009-C3B4-479F-89C7-32A54B9B098A}" name="Total Value" dataDxfId="5">
      <calculatedColumnFormula>C27*VALUE(SUBSTITUTE(D27,"$",""))</calculatedColumnFormula>
    </tableColumn>
    <tableColumn id="5" xr3:uid="{D1ABBA58-B9BB-4947-8483-9211EBBE5B6B}" name="% Comp" dataDxfId="4">
      <calculatedColumnFormula>Table13[[#This Row],[Total Value]]/$E$39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72C439-9145-484E-9E24-2B8A5761B193}" name="Table14" displayName="Table14" ref="B47:F62" totalsRowShown="0">
  <autoFilter ref="B47:F62" xr:uid="{AD0AAB15-1061-4A0A-91A9-9782A3E3D30D}"/>
  <sortState xmlns:xlrd2="http://schemas.microsoft.com/office/spreadsheetml/2017/richdata2" ref="B48:E62">
    <sortCondition descending="1" ref="E6"/>
  </sortState>
  <tableColumns count="5">
    <tableColumn id="1" xr3:uid="{26992C10-E934-49C2-8B10-33538375920A}" name="Ticker"/>
    <tableColumn id="2" xr3:uid="{1B5B0A34-3789-4E19-B92C-41F3FC3496AA}" name="Shares"/>
    <tableColumn id="3" xr3:uid="{A8589A7A-93BA-4312-B8C4-7E6A658150DA}" name="Purchase Pr"/>
    <tableColumn id="4" xr3:uid="{20B78704-B4E0-49DB-AD89-D5ED96EC87ED}" name="Total Value" dataDxfId="3">
      <calculatedColumnFormula>C48*VALUE(SUBSTITUTE(D48,"$",""))</calculatedColumnFormula>
    </tableColumn>
    <tableColumn id="5" xr3:uid="{739C61B8-4649-4E4C-B5A8-9619F66DCD66}" name="% Comp" dataDxfId="2">
      <calculatedColumnFormula>Table14[[#This Row],[Total Value]]/$E$20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0D29-AAF5-4C2D-9493-E8839D86EFA1}">
  <dimension ref="B1:AC6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8" sqref="F5:F18"/>
    </sheetView>
  </sheetViews>
  <sheetFormatPr defaultRowHeight="14.4" x14ac:dyDescent="0.3"/>
  <cols>
    <col min="4" max="4" width="12.77734375" customWidth="1"/>
    <col min="5" max="5" width="12.33203125" customWidth="1"/>
    <col min="13" max="13" width="15" bestFit="1" customWidth="1"/>
    <col min="18" max="18" width="10.77734375" customWidth="1"/>
    <col min="23" max="23" width="11.44140625" bestFit="1" customWidth="1"/>
    <col min="26" max="26" width="12" bestFit="1" customWidth="1"/>
  </cols>
  <sheetData>
    <row r="1" spans="2:29" x14ac:dyDescent="0.3">
      <c r="B1" s="6" t="s">
        <v>36</v>
      </c>
      <c r="C1" s="6"/>
      <c r="D1" s="6"/>
      <c r="J1" t="s">
        <v>37</v>
      </c>
    </row>
    <row r="3" spans="2:29" x14ac:dyDescent="0.3">
      <c r="N3" s="18" t="s">
        <v>38</v>
      </c>
      <c r="O3" s="18"/>
    </row>
    <row r="4" spans="2:29" ht="15" thickBot="1" x14ac:dyDescent="0.35">
      <c r="B4" t="s">
        <v>31</v>
      </c>
      <c r="C4" t="s">
        <v>0</v>
      </c>
      <c r="D4" t="s">
        <v>32</v>
      </c>
      <c r="E4" t="s">
        <v>33</v>
      </c>
      <c r="F4" t="s">
        <v>34</v>
      </c>
      <c r="J4" t="s">
        <v>31</v>
      </c>
      <c r="K4" t="s">
        <v>0</v>
      </c>
      <c r="L4" t="s">
        <v>39</v>
      </c>
      <c r="M4" t="s">
        <v>33</v>
      </c>
      <c r="N4" t="s">
        <v>40</v>
      </c>
      <c r="P4" t="s">
        <v>41</v>
      </c>
      <c r="R4" t="s">
        <v>43</v>
      </c>
      <c r="U4" t="s">
        <v>0</v>
      </c>
      <c r="V4" t="s">
        <v>39</v>
      </c>
      <c r="W4" t="s">
        <v>33</v>
      </c>
      <c r="X4" t="s">
        <v>44</v>
      </c>
      <c r="Y4" t="s">
        <v>41</v>
      </c>
      <c r="Z4" t="s">
        <v>43</v>
      </c>
      <c r="AB4" t="s">
        <v>45</v>
      </c>
      <c r="AC4" t="s">
        <v>46</v>
      </c>
    </row>
    <row r="5" spans="2:29" ht="15" thickTop="1" x14ac:dyDescent="0.3">
      <c r="B5" t="s">
        <v>13</v>
      </c>
      <c r="C5">
        <v>137</v>
      </c>
      <c r="D5" t="s">
        <v>60</v>
      </c>
      <c r="E5" s="3">
        <f>C5*VALUE(SUBSTITUTE(D5,"$",""))</f>
        <v>16605.77</v>
      </c>
      <c r="F5" s="1">
        <f>Table1[[#This Row],[Total Value]]/$E$20</f>
        <v>0.35011672124621868</v>
      </c>
      <c r="I5" s="5"/>
      <c r="J5" t="s">
        <v>12</v>
      </c>
      <c r="K5" s="8">
        <v>2.5205476704093503</v>
      </c>
      <c r="L5">
        <v>1507.61</v>
      </c>
      <c r="M5">
        <f t="shared" ref="M5:M18" si="0">L5*K5</f>
        <v>3800.0028733858403</v>
      </c>
      <c r="N5" s="10">
        <f>M5/$M$20</f>
        <v>7.7337958515759378E-2</v>
      </c>
      <c r="O5" s="7" t="s">
        <v>42</v>
      </c>
      <c r="P5" s="1">
        <v>7.5999999999999998E-2</v>
      </c>
      <c r="R5" s="2">
        <f>(N5-P5)^2</f>
        <v>1.7901329898930427E-6</v>
      </c>
      <c r="U5" s="8">
        <f>ROUND(K5,0)</f>
        <v>3</v>
      </c>
      <c r="V5">
        <f>L5</f>
        <v>1507.61</v>
      </c>
      <c r="W5">
        <f t="shared" ref="W5:W18" si="1">V5*U5</f>
        <v>4522.83</v>
      </c>
      <c r="X5" s="1">
        <f>W5/$W$20</f>
        <v>9.0895479734349333E-2</v>
      </c>
      <c r="Y5" s="1">
        <f t="shared" ref="Y5:Y18" si="2">P5</f>
        <v>7.5999999999999998E-2</v>
      </c>
      <c r="Z5">
        <f>(X5-Y5)^2</f>
        <v>2.2187531651641173E-4</v>
      </c>
      <c r="AB5" t="str">
        <f>IF(U5&lt;Table1[[#This Row],[Shares]],"Short","Long")</f>
        <v>Short</v>
      </c>
      <c r="AC5">
        <f>IF(AB5="Short",Table1[[#This Row],[Shares]]-U5,U5-Table1[[#This Row],[Shares]])</f>
        <v>134</v>
      </c>
    </row>
    <row r="6" spans="2:29" x14ac:dyDescent="0.3">
      <c r="B6" t="s">
        <v>8</v>
      </c>
      <c r="C6">
        <v>42</v>
      </c>
      <c r="D6" t="s">
        <v>61</v>
      </c>
      <c r="E6" s="3">
        <f>C6*VALUE(SUBSTITUTE(D6,"$",""))</f>
        <v>10846.08</v>
      </c>
      <c r="F6" s="1">
        <f>Table1[[#This Row],[Total Value]]/$E$20</f>
        <v>0.22867918608858168</v>
      </c>
      <c r="I6" s="5"/>
      <c r="J6" t="s">
        <v>9</v>
      </c>
      <c r="K6" s="9">
        <v>7.3221822858103316</v>
      </c>
      <c r="L6">
        <v>143.4</v>
      </c>
      <c r="M6">
        <f t="shared" si="0"/>
        <v>1050.0009397852016</v>
      </c>
      <c r="N6" s="11">
        <f>M6/$M$20</f>
        <v>2.1369702031372909E-2</v>
      </c>
      <c r="O6" s="7" t="s">
        <v>42</v>
      </c>
      <c r="P6" s="1">
        <v>2.1000000000000001E-2</v>
      </c>
      <c r="R6" s="2">
        <f t="shared" ref="R6:R18" si="3">(N6-P6)^2</f>
        <v>1.3667959200125412E-7</v>
      </c>
      <c r="U6" s="9">
        <f t="shared" ref="U6:U18" si="4">ROUND(K6,0)</f>
        <v>7</v>
      </c>
      <c r="V6">
        <f t="shared" ref="V6:V18" si="5">L6</f>
        <v>143.4</v>
      </c>
      <c r="W6">
        <f t="shared" si="1"/>
        <v>1003.8000000000001</v>
      </c>
      <c r="X6" s="1">
        <f>W6/$W$20</f>
        <v>2.0173405270005697E-2</v>
      </c>
      <c r="Y6" s="1">
        <f t="shared" si="2"/>
        <v>2.1000000000000001E-2</v>
      </c>
      <c r="Z6">
        <f t="shared" ref="Z6:Z18" si="6">(X6-Y6)^2</f>
        <v>6.8325884765435719E-7</v>
      </c>
      <c r="AB6" t="str">
        <f>IF(U6&lt;Table1[[#This Row],[Shares]],"Short","Long")</f>
        <v>Short</v>
      </c>
      <c r="AC6">
        <f>IF(AB6="Short",Table1[[#This Row],[Shares]]-U6,U6-Table1[[#This Row],[Shares]])</f>
        <v>35</v>
      </c>
    </row>
    <row r="7" spans="2:29" x14ac:dyDescent="0.3">
      <c r="B7" t="s">
        <v>3</v>
      </c>
      <c r="C7">
        <v>35</v>
      </c>
      <c r="D7" t="s">
        <v>64</v>
      </c>
      <c r="E7" s="3">
        <f>C7*VALUE(SUBSTITUTE(D7,"$",""))</f>
        <v>4994.5</v>
      </c>
      <c r="F7" s="1">
        <f>Table1[[#This Row],[Total Value]]/$E$20</f>
        <v>0.10530423848242142</v>
      </c>
      <c r="I7" s="5"/>
      <c r="J7" t="s">
        <v>1</v>
      </c>
      <c r="K7" s="9">
        <v>5.9030004086765109</v>
      </c>
      <c r="L7">
        <v>398.95</v>
      </c>
      <c r="M7">
        <f t="shared" si="0"/>
        <v>2355.0020130414941</v>
      </c>
      <c r="N7" s="11">
        <f>M7/$M$20</f>
        <v>4.7929186913180495E-2</v>
      </c>
      <c r="O7" s="7" t="s">
        <v>42</v>
      </c>
      <c r="P7" s="1">
        <v>4.7100000000000003E-2</v>
      </c>
      <c r="R7" s="2">
        <f t="shared" si="3"/>
        <v>6.8755093698979304E-7</v>
      </c>
      <c r="U7" s="9">
        <f t="shared" si="4"/>
        <v>6</v>
      </c>
      <c r="V7">
        <f t="shared" si="5"/>
        <v>398.95</v>
      </c>
      <c r="W7">
        <f t="shared" si="1"/>
        <v>2393.6999999999998</v>
      </c>
      <c r="X7" s="1">
        <f>W7/$W$20</f>
        <v>4.8106276344702756E-2</v>
      </c>
      <c r="Y7" s="1">
        <f t="shared" si="2"/>
        <v>4.7100000000000003E-2</v>
      </c>
      <c r="Z7">
        <f t="shared" si="6"/>
        <v>1.0125920819083334E-6</v>
      </c>
      <c r="AB7" t="str">
        <f>IF(U7&lt;Table1[[#This Row],[Shares]],"Short","Long")</f>
        <v>Short</v>
      </c>
      <c r="AC7">
        <f>IF(AB7="Short",Table1[[#This Row],[Shares]]-U7,U7-Table1[[#This Row],[Shares]])</f>
        <v>29</v>
      </c>
    </row>
    <row r="8" spans="2:29" x14ac:dyDescent="0.3">
      <c r="B8" t="s">
        <v>12</v>
      </c>
      <c r="C8">
        <v>3</v>
      </c>
      <c r="D8" t="s">
        <v>16</v>
      </c>
      <c r="E8" s="3">
        <f>C8*VALUE(SUBSTITUTE(D8,"$",""))</f>
        <v>4294.74</v>
      </c>
      <c r="F8" s="1">
        <f>Table1[[#This Row],[Total Value]]/$E$20</f>
        <v>9.0550470553607876E-2</v>
      </c>
      <c r="I8" s="5"/>
      <c r="J8" t="s">
        <v>8</v>
      </c>
      <c r="K8" s="9">
        <v>42.055734422993375</v>
      </c>
      <c r="L8">
        <v>259.18</v>
      </c>
      <c r="M8">
        <f t="shared" si="0"/>
        <v>10900.005247751424</v>
      </c>
      <c r="N8" s="11">
        <f>M8/$M$20</f>
        <v>0.22183776743333139</v>
      </c>
      <c r="O8" s="7" t="s">
        <v>42</v>
      </c>
      <c r="P8" s="1">
        <v>0.218</v>
      </c>
      <c r="R8" s="2">
        <f t="shared" si="3"/>
        <v>1.4728458872339008E-5</v>
      </c>
      <c r="U8" s="9">
        <f t="shared" si="4"/>
        <v>42</v>
      </c>
      <c r="V8">
        <f t="shared" si="5"/>
        <v>259.18</v>
      </c>
      <c r="W8">
        <f t="shared" si="1"/>
        <v>10885.56</v>
      </c>
      <c r="X8" s="1">
        <f>W8/$W$20</f>
        <v>0.21876749698242995</v>
      </c>
      <c r="Y8" s="1">
        <f t="shared" si="2"/>
        <v>0.218</v>
      </c>
      <c r="Z8">
        <f t="shared" si="6"/>
        <v>5.8905161803907801E-7</v>
      </c>
      <c r="AB8" t="str">
        <f>IF(U8&lt;Table1[[#This Row],[Shares]],"Short","Long")</f>
        <v>Long</v>
      </c>
      <c r="AC8">
        <f>IF(AB8="Short",Table1[[#This Row],[Shares]]-U8,U8-Table1[[#This Row],[Shares]])</f>
        <v>39</v>
      </c>
    </row>
    <row r="9" spans="2:29" x14ac:dyDescent="0.3">
      <c r="B9" t="s">
        <v>11</v>
      </c>
      <c r="C9">
        <v>26</v>
      </c>
      <c r="D9" t="s">
        <v>63</v>
      </c>
      <c r="E9" s="3">
        <f>C9*VALUE(SUBSTITUTE(D9,"$",""))</f>
        <v>3142.1</v>
      </c>
      <c r="F9" s="1">
        <f>Table1[[#This Row],[Total Value]]/$E$20</f>
        <v>6.6248162525901752E-2</v>
      </c>
      <c r="I9" s="5"/>
      <c r="J9" t="s">
        <v>11</v>
      </c>
      <c r="K9" s="9">
        <v>25.636901193726345</v>
      </c>
      <c r="L9">
        <v>123.65</v>
      </c>
      <c r="M9">
        <f t="shared" si="0"/>
        <v>3170.0028326042625</v>
      </c>
      <c r="N9" s="11">
        <f>M9/$M$20</f>
        <v>6.4516147942895313E-2</v>
      </c>
      <c r="O9" s="7" t="s">
        <v>42</v>
      </c>
      <c r="P9" s="1">
        <v>6.3399999999999998E-2</v>
      </c>
      <c r="R9" s="2">
        <f t="shared" si="3"/>
        <v>1.245786230429444E-6</v>
      </c>
      <c r="U9" s="9">
        <f t="shared" si="4"/>
        <v>26</v>
      </c>
      <c r="V9">
        <f t="shared" si="5"/>
        <v>123.65</v>
      </c>
      <c r="W9">
        <f t="shared" si="1"/>
        <v>3214.9</v>
      </c>
      <c r="X9" s="1">
        <f>W9/$W$20</f>
        <v>6.460996274411368E-2</v>
      </c>
      <c r="Y9" s="1">
        <f t="shared" si="2"/>
        <v>6.3399999999999998E-2</v>
      </c>
      <c r="Z9">
        <f t="shared" si="6"/>
        <v>1.4640098421431124E-6</v>
      </c>
      <c r="AB9" t="str">
        <f>IF(U9&lt;Table1[[#This Row],[Shares]],"Short","Long")</f>
        <v>Long</v>
      </c>
      <c r="AC9">
        <f>IF(AB9="Short",Table1[[#This Row],[Shares]]-U9,U9-Table1[[#This Row],[Shares]])</f>
        <v>0</v>
      </c>
    </row>
    <row r="10" spans="2:29" x14ac:dyDescent="0.3">
      <c r="B10" t="s">
        <v>1</v>
      </c>
      <c r="C10">
        <v>6</v>
      </c>
      <c r="D10" t="s">
        <v>23</v>
      </c>
      <c r="E10" s="3">
        <f>C10*VALUE(SUBSTITUTE(D10,"$",""))</f>
        <v>2387.1000000000004</v>
      </c>
      <c r="F10" s="1">
        <f>Table1[[#This Row],[Total Value]]/$E$20</f>
        <v>5.0329712219719332E-2</v>
      </c>
      <c r="I10" s="5"/>
      <c r="J10" t="s">
        <v>13</v>
      </c>
      <c r="K10" s="9">
        <v>137.11338144680914</v>
      </c>
      <c r="L10">
        <v>121.87</v>
      </c>
      <c r="M10">
        <f t="shared" si="0"/>
        <v>16710.007796922629</v>
      </c>
      <c r="N10" s="11">
        <f>M10/$M$20</f>
        <v>0.34008339805410459</v>
      </c>
      <c r="O10" s="7" t="s">
        <v>42</v>
      </c>
      <c r="P10" s="1">
        <v>0.3342</v>
      </c>
      <c r="R10" s="2">
        <f t="shared" si="3"/>
        <v>3.461437266304172E-5</v>
      </c>
      <c r="U10" s="9">
        <f t="shared" si="4"/>
        <v>137</v>
      </c>
      <c r="V10">
        <f t="shared" si="5"/>
        <v>121.87</v>
      </c>
      <c r="W10">
        <f t="shared" si="1"/>
        <v>16696.190000000002</v>
      </c>
      <c r="X10" s="1">
        <f>W10/$W$20</f>
        <v>0.3355439403616422</v>
      </c>
      <c r="Y10" s="1">
        <f t="shared" si="2"/>
        <v>0.3342</v>
      </c>
      <c r="Z10">
        <f t="shared" si="6"/>
        <v>1.8061756956509783E-6</v>
      </c>
      <c r="AB10" t="str">
        <f>IF(U10&lt;Table1[[#This Row],[Shares]],"Short","Long")</f>
        <v>Long</v>
      </c>
      <c r="AC10">
        <f>IF(AB10="Short",Table1[[#This Row],[Shares]]-U10,U10-Table1[[#This Row],[Shares]])</f>
        <v>131</v>
      </c>
    </row>
    <row r="11" spans="2:29" x14ac:dyDescent="0.3">
      <c r="B11" t="s">
        <v>14</v>
      </c>
      <c r="C11">
        <v>47</v>
      </c>
      <c r="D11" t="s">
        <v>59</v>
      </c>
      <c r="E11" s="3">
        <f>C11*VALUE(SUBSTITUTE(D11,"$",""))</f>
        <v>1219.18</v>
      </c>
      <c r="F11" s="1">
        <f>Table1[[#This Row],[Total Value]]/$E$20</f>
        <v>2.5705240058664241E-2</v>
      </c>
      <c r="I11" s="5"/>
      <c r="J11" t="s">
        <v>7</v>
      </c>
      <c r="K11" s="9">
        <v>17.624038776907849</v>
      </c>
      <c r="L11">
        <v>30.64</v>
      </c>
      <c r="M11">
        <f t="shared" si="0"/>
        <v>540.00054812445649</v>
      </c>
      <c r="N11" s="11">
        <f>M11/$M$20</f>
        <v>1.0990133792221505E-2</v>
      </c>
      <c r="O11" s="7" t="s">
        <v>42</v>
      </c>
      <c r="P11" s="1">
        <v>1.0800000000000001E-2</v>
      </c>
      <c r="R11" s="2">
        <f t="shared" si="3"/>
        <v>3.6150858944530051E-8</v>
      </c>
      <c r="U11" s="9">
        <f t="shared" si="4"/>
        <v>18</v>
      </c>
      <c r="V11">
        <f t="shared" si="5"/>
        <v>30.64</v>
      </c>
      <c r="W11">
        <f t="shared" si="1"/>
        <v>551.52</v>
      </c>
      <c r="X11" s="1">
        <f>W11/$W$20</f>
        <v>1.1083917587680354E-2</v>
      </c>
      <c r="Y11" s="1">
        <f t="shared" si="2"/>
        <v>1.0800000000000001E-2</v>
      </c>
      <c r="Z11">
        <f t="shared" si="6"/>
        <v>8.0609196594231438E-8</v>
      </c>
      <c r="AB11" t="str">
        <f>IF(U11&lt;Table1[[#This Row],[Shares]],"Short","Long")</f>
        <v>Short</v>
      </c>
      <c r="AC11">
        <f>IF(AB11="Short",Table1[[#This Row],[Shares]]-U11,U11-Table1[[#This Row],[Shares]])</f>
        <v>29</v>
      </c>
    </row>
    <row r="12" spans="2:29" x14ac:dyDescent="0.3">
      <c r="B12" t="s">
        <v>9</v>
      </c>
      <c r="C12">
        <v>7</v>
      </c>
      <c r="D12" t="s">
        <v>27</v>
      </c>
      <c r="E12" s="3">
        <f>C12*VALUE(SUBSTITUTE(D12,"$",""))</f>
        <v>964.67000000000007</v>
      </c>
      <c r="F12" s="1">
        <f>Table1[[#This Row],[Total Value]]/$E$20</f>
        <v>2.0339141002470213E-2</v>
      </c>
      <c r="I12" s="5"/>
      <c r="J12" t="s">
        <v>3</v>
      </c>
      <c r="K12" s="9">
        <v>35.466968474153312</v>
      </c>
      <c r="L12">
        <v>142.94999999999999</v>
      </c>
      <c r="M12">
        <f t="shared" si="0"/>
        <v>5070.0031433802151</v>
      </c>
      <c r="N12" s="11">
        <f>M12/$M$20</f>
        <v>0.10318510428602398</v>
      </c>
      <c r="O12" s="7" t="s">
        <v>42</v>
      </c>
      <c r="P12" s="1">
        <v>0.1014</v>
      </c>
      <c r="R12" s="2">
        <f t="shared" si="3"/>
        <v>3.1865973119811761E-6</v>
      </c>
      <c r="U12" s="9">
        <f t="shared" si="4"/>
        <v>35</v>
      </c>
      <c r="V12">
        <f t="shared" si="5"/>
        <v>142.94999999999999</v>
      </c>
      <c r="W12">
        <f t="shared" si="1"/>
        <v>5003.25</v>
      </c>
      <c r="X12" s="1">
        <f>W12/$W$20</f>
        <v>0.10055049802466227</v>
      </c>
      <c r="Y12" s="1">
        <f t="shared" si="2"/>
        <v>0.1014</v>
      </c>
      <c r="Z12">
        <f t="shared" si="6"/>
        <v>7.2165360610270482E-7</v>
      </c>
      <c r="AB12" t="str">
        <f>IF(U12&lt;Table1[[#This Row],[Shares]],"Short","Long")</f>
        <v>Long</v>
      </c>
      <c r="AC12">
        <f>IF(AB12="Short",Table1[[#This Row],[Shares]]-U12,U12-Table1[[#This Row],[Shares]])</f>
        <v>28</v>
      </c>
    </row>
    <row r="13" spans="2:29" x14ac:dyDescent="0.3">
      <c r="B13" t="s">
        <v>5</v>
      </c>
      <c r="C13">
        <v>24</v>
      </c>
      <c r="D13" t="s">
        <v>62</v>
      </c>
      <c r="E13" s="3">
        <f>C13*VALUE(SUBSTITUTE(D13,"$",""))</f>
        <v>722.16</v>
      </c>
      <c r="F13" s="1">
        <f>Table1[[#This Row],[Total Value]]/$E$20</f>
        <v>1.522605042796385E-2</v>
      </c>
      <c r="I13" s="5"/>
      <c r="J13" t="s">
        <v>4</v>
      </c>
      <c r="K13" s="9">
        <v>10.488343887388712</v>
      </c>
      <c r="L13">
        <v>90.1</v>
      </c>
      <c r="M13">
        <f t="shared" si="0"/>
        <v>944.99978425372296</v>
      </c>
      <c r="N13" s="11">
        <f>M13/$M$20</f>
        <v>1.923271022342599E-2</v>
      </c>
      <c r="O13" s="7" t="s">
        <v>42</v>
      </c>
      <c r="P13" s="1">
        <v>1.8800000000000001E-2</v>
      </c>
      <c r="R13" s="2">
        <f t="shared" si="3"/>
        <v>1.872381374573692E-7</v>
      </c>
      <c r="U13" s="9">
        <f t="shared" si="4"/>
        <v>10</v>
      </c>
      <c r="V13">
        <f t="shared" si="5"/>
        <v>90.1</v>
      </c>
      <c r="W13">
        <f t="shared" si="1"/>
        <v>901</v>
      </c>
      <c r="X13" s="1">
        <f>W13/$W$20</f>
        <v>1.8107429914599651E-2</v>
      </c>
      <c r="Y13" s="1">
        <f t="shared" si="2"/>
        <v>1.8800000000000001E-2</v>
      </c>
      <c r="Z13">
        <f t="shared" si="6"/>
        <v>4.796533231914481E-7</v>
      </c>
      <c r="AB13" t="str">
        <f>IF(U13&lt;Table1[[#This Row],[Shares]],"Short","Long")</f>
        <v>Short</v>
      </c>
      <c r="AC13">
        <f>IF(AB13="Short",Table1[[#This Row],[Shares]]-U13,U13-Table1[[#This Row],[Shares]])</f>
        <v>14</v>
      </c>
    </row>
    <row r="14" spans="2:29" x14ac:dyDescent="0.3">
      <c r="B14" t="s">
        <v>15</v>
      </c>
      <c r="C14">
        <v>28</v>
      </c>
      <c r="D14" t="s">
        <v>58</v>
      </c>
      <c r="E14" s="3">
        <f>C14*VALUE(SUBSTITUTE(D14,"$",""))</f>
        <v>656.6</v>
      </c>
      <c r="F14" s="1">
        <f>Table1[[#This Row],[Total Value]]/$E$20</f>
        <v>1.3843780756343559E-2</v>
      </c>
      <c r="I14" s="5"/>
      <c r="J14" t="s">
        <v>2</v>
      </c>
      <c r="K14" s="9">
        <v>7.9783070511170049</v>
      </c>
      <c r="L14">
        <v>62.67</v>
      </c>
      <c r="M14">
        <f t="shared" si="0"/>
        <v>500.0005028935027</v>
      </c>
      <c r="N14" s="11">
        <f>M14/$M$20</f>
        <v>1.0176049713399837E-2</v>
      </c>
      <c r="O14" s="7" t="s">
        <v>42</v>
      </c>
      <c r="P14" s="1">
        <v>0.01</v>
      </c>
      <c r="R14" s="2">
        <f t="shared" si="3"/>
        <v>3.0993501588164666E-8</v>
      </c>
      <c r="U14" s="9">
        <f t="shared" si="4"/>
        <v>8</v>
      </c>
      <c r="V14">
        <f t="shared" si="5"/>
        <v>62.67</v>
      </c>
      <c r="W14">
        <f t="shared" si="1"/>
        <v>501.36</v>
      </c>
      <c r="X14" s="1">
        <f>W14/$W$20</f>
        <v>1.0075850235276006E-2</v>
      </c>
      <c r="Y14" s="1">
        <f t="shared" si="2"/>
        <v>0.01</v>
      </c>
      <c r="Z14">
        <f t="shared" si="6"/>
        <v>5.7532581914254415E-9</v>
      </c>
      <c r="AB14" t="str">
        <f>IF(U14&lt;Table1[[#This Row],[Shares]],"Short","Long")</f>
        <v>Short</v>
      </c>
      <c r="AC14">
        <f>IF(AB14="Short",Table1[[#This Row],[Shares]]-U14,U14-Table1[[#This Row],[Shares]])</f>
        <v>20</v>
      </c>
    </row>
    <row r="15" spans="2:29" x14ac:dyDescent="0.3">
      <c r="B15" t="s">
        <v>2</v>
      </c>
      <c r="C15">
        <v>8</v>
      </c>
      <c r="D15" t="s">
        <v>22</v>
      </c>
      <c r="E15" s="3">
        <f>C15*VALUE(SUBSTITUTE(D15,"$",""))</f>
        <v>497.84</v>
      </c>
      <c r="F15" s="1">
        <f>Table1[[#This Row],[Total Value]]/$E$20</f>
        <v>1.0496478543615712E-2</v>
      </c>
      <c r="I15" s="5"/>
      <c r="J15" t="s">
        <v>14</v>
      </c>
      <c r="K15" s="9">
        <v>47.20662508167549</v>
      </c>
      <c r="L15">
        <v>23.09</v>
      </c>
      <c r="M15">
        <f t="shared" si="0"/>
        <v>1090.0009731358871</v>
      </c>
      <c r="N15" s="11">
        <f>M15/$M$20</f>
        <v>2.2183785868406417E-2</v>
      </c>
      <c r="O15" s="7" t="s">
        <v>42</v>
      </c>
      <c r="P15" s="1">
        <v>2.18E-2</v>
      </c>
      <c r="R15" s="2">
        <f t="shared" si="3"/>
        <v>1.4729159278846784E-7</v>
      </c>
      <c r="U15" s="9">
        <f t="shared" si="4"/>
        <v>47</v>
      </c>
      <c r="V15">
        <f t="shared" si="5"/>
        <v>23.09</v>
      </c>
      <c r="W15">
        <f t="shared" si="1"/>
        <v>1085.23</v>
      </c>
      <c r="X15" s="1">
        <f>W15/$W$20</f>
        <v>2.1809906954740266E-2</v>
      </c>
      <c r="Y15" s="1">
        <f t="shared" si="2"/>
        <v>2.18E-2</v>
      </c>
      <c r="Z15">
        <f t="shared" si="6"/>
        <v>9.8147752225689082E-11</v>
      </c>
      <c r="AB15" t="str">
        <f>IF(U15&lt;Table1[[#This Row],[Shares]],"Short","Long")</f>
        <v>Long</v>
      </c>
      <c r="AC15">
        <f>IF(AB15="Short",Table1[[#This Row],[Shares]]-U15,U15-Table1[[#This Row],[Shares]])</f>
        <v>39</v>
      </c>
    </row>
    <row r="16" spans="2:29" x14ac:dyDescent="0.3">
      <c r="B16" t="s">
        <v>69</v>
      </c>
      <c r="C16">
        <v>10</v>
      </c>
      <c r="D16" t="s">
        <v>70</v>
      </c>
      <c r="E16" s="3">
        <f>C16*VALUE(SUBSTITUTE(D16,"$",""))</f>
        <v>442.5</v>
      </c>
      <c r="F16" s="1">
        <f>Table1[[#This Row],[Total Value]]/$E$20</f>
        <v>9.3296877622327506E-3</v>
      </c>
      <c r="I16" s="5"/>
      <c r="J16" t="s">
        <v>5</v>
      </c>
      <c r="K16" s="9">
        <v>24.044819302107722</v>
      </c>
      <c r="L16">
        <v>30.36</v>
      </c>
      <c r="M16">
        <f t="shared" si="0"/>
        <v>730.00071401199045</v>
      </c>
      <c r="N16" s="11">
        <f>M16/$M$20</f>
        <v>1.4857032170196887E-2</v>
      </c>
      <c r="O16" s="7" t="s">
        <v>42</v>
      </c>
      <c r="P16" s="1">
        <v>1.46E-2</v>
      </c>
      <c r="R16" s="2">
        <f t="shared" si="3"/>
        <v>6.6065536516121423E-8</v>
      </c>
      <c r="U16" s="9">
        <f t="shared" si="4"/>
        <v>24</v>
      </c>
      <c r="V16">
        <f t="shared" si="5"/>
        <v>30.36</v>
      </c>
      <c r="W16">
        <f t="shared" si="1"/>
        <v>728.64</v>
      </c>
      <c r="X16" s="1">
        <f>W16/$W$20</f>
        <v>1.4643504698084229E-2</v>
      </c>
      <c r="Y16" s="1">
        <f t="shared" si="2"/>
        <v>1.46E-2</v>
      </c>
      <c r="Z16">
        <f t="shared" si="6"/>
        <v>1.8926587553999252E-9</v>
      </c>
      <c r="AB16" t="str">
        <f>IF(U16&lt;Table1[[#This Row],[Shares]],"Short","Long")</f>
        <v>Long</v>
      </c>
      <c r="AC16">
        <f>IF(AB16="Short",Table1[[#This Row],[Shares]]-U16,U16-Table1[[#This Row],[Shares]])</f>
        <v>14</v>
      </c>
    </row>
    <row r="17" spans="2:29" x14ac:dyDescent="0.3">
      <c r="B17" t="s">
        <v>65</v>
      </c>
      <c r="C17">
        <v>20</v>
      </c>
      <c r="D17" t="s">
        <v>66</v>
      </c>
      <c r="E17" s="3">
        <f>C17*VALUE(SUBSTITUTE(D17,"$",""))</f>
        <v>384</v>
      </c>
      <c r="F17" s="1">
        <f>Table1[[#This Row],[Total Value]]/$E$20</f>
        <v>8.0962714140053703E-3</v>
      </c>
      <c r="I17" s="5"/>
      <c r="J17" t="s">
        <v>15</v>
      </c>
      <c r="K17" s="9">
        <v>28.150740938745237</v>
      </c>
      <c r="L17">
        <v>23.09</v>
      </c>
      <c r="M17">
        <f t="shared" si="0"/>
        <v>650.00060827562754</v>
      </c>
      <c r="N17" s="11">
        <f>M17/$M$20</f>
        <v>1.3228863701686631E-2</v>
      </c>
      <c r="O17" s="7" t="s">
        <v>42</v>
      </c>
      <c r="P17" s="1">
        <v>1.2999999999999999E-2</v>
      </c>
      <c r="R17" s="2">
        <f t="shared" si="3"/>
        <v>5.2378593949707543E-8</v>
      </c>
      <c r="U17" s="9">
        <f t="shared" si="4"/>
        <v>28</v>
      </c>
      <c r="V17">
        <f t="shared" si="5"/>
        <v>23.09</v>
      </c>
      <c r="W17">
        <f t="shared" si="1"/>
        <v>646.52</v>
      </c>
      <c r="X17" s="1">
        <f>W17/$W$20</f>
        <v>1.2993136058143137E-2</v>
      </c>
      <c r="Y17" s="1">
        <f t="shared" si="2"/>
        <v>1.2999999999999999E-2</v>
      </c>
      <c r="Z17">
        <f t="shared" si="6"/>
        <v>4.7113697814391064E-11</v>
      </c>
      <c r="AB17" t="str">
        <f>IF(U17&lt;Table1[[#This Row],[Shares]],"Short","Long")</f>
        <v>Long</v>
      </c>
      <c r="AC17">
        <f>IF(AB17="Short",Table1[[#This Row],[Shares]]-U17,U17-Table1[[#This Row],[Shares]])</f>
        <v>8</v>
      </c>
    </row>
    <row r="18" spans="2:29" x14ac:dyDescent="0.3">
      <c r="B18" t="s">
        <v>67</v>
      </c>
      <c r="C18">
        <v>20</v>
      </c>
      <c r="D18" t="s">
        <v>68</v>
      </c>
      <c r="E18" s="3">
        <f>C18*VALUE(SUBSTITUTE(D18,"$",""))</f>
        <v>272</v>
      </c>
      <c r="F18" s="1">
        <f>Table1[[#This Row],[Total Value]]/$E$20</f>
        <v>5.7348589182538044E-3</v>
      </c>
      <c r="I18" s="5"/>
      <c r="J18" t="s">
        <v>10</v>
      </c>
      <c r="K18" s="9">
        <v>536.30413385863358</v>
      </c>
      <c r="L18">
        <v>3.03</v>
      </c>
      <c r="M18">
        <f t="shared" si="0"/>
        <v>1625.0015255916596</v>
      </c>
      <c r="N18" s="11">
        <f>M18/$M$20</f>
        <v>3.307215935399449E-2</v>
      </c>
      <c r="O18" s="7" t="s">
        <v>42</v>
      </c>
      <c r="P18" s="1">
        <v>3.2500000000000001E-2</v>
      </c>
      <c r="R18" s="2">
        <f t="shared" si="3"/>
        <v>3.2736632636339112E-7</v>
      </c>
      <c r="U18" s="9">
        <f t="shared" si="4"/>
        <v>536</v>
      </c>
      <c r="V18">
        <f t="shared" si="5"/>
        <v>3.03</v>
      </c>
      <c r="W18">
        <f t="shared" si="1"/>
        <v>1624.08</v>
      </c>
      <c r="X18" s="1">
        <f>W18/$W$20</f>
        <v>3.2639195089570479E-2</v>
      </c>
      <c r="Y18" s="1">
        <f t="shared" si="2"/>
        <v>3.2500000000000001E-2</v>
      </c>
      <c r="Z18">
        <f t="shared" si="6"/>
        <v>1.9375272960533315E-8</v>
      </c>
      <c r="AB18" t="str">
        <f>IF(U18&lt;Table1[[#This Row],[Shares]],"Short","Long")</f>
        <v>Long</v>
      </c>
      <c r="AC18">
        <f>IF(AB18="Short",Table1[[#This Row],[Shares]]-U18,U18-Table1[[#This Row],[Shares]])</f>
        <v>516</v>
      </c>
    </row>
    <row r="19" spans="2:29" ht="15" thickBot="1" x14ac:dyDescent="0.35"/>
    <row r="20" spans="2:29" ht="15.6" thickTop="1" thickBot="1" x14ac:dyDescent="0.35">
      <c r="E20" s="4">
        <f>SUM(E5:E18)</f>
        <v>47429.239999999991</v>
      </c>
      <c r="K20">
        <f>SUM(K5:K18)</f>
        <v>927.81572479915394</v>
      </c>
      <c r="M20" s="2">
        <f>SUM(M5:M18)</f>
        <v>49135.029503157923</v>
      </c>
      <c r="R20" s="12">
        <f>SQRT(SUM(R5:R18))</f>
        <v>7.5655180354211827E-3</v>
      </c>
      <c r="W20" s="2">
        <f>SUM(W5:W18)</f>
        <v>49758.58</v>
      </c>
      <c r="Z20" s="12">
        <f>SQRT(SUM(Z5:Z18))</f>
        <v>1.5124135915121014E-2</v>
      </c>
    </row>
    <row r="21" spans="2:29" ht="15" thickTop="1" x14ac:dyDescent="0.3"/>
    <row r="23" spans="2:29" x14ac:dyDescent="0.3">
      <c r="B23" s="14" t="s">
        <v>48</v>
      </c>
      <c r="C23" s="14"/>
    </row>
    <row r="25" spans="2:29" x14ac:dyDescent="0.3">
      <c r="H25" s="16" t="s">
        <v>56</v>
      </c>
    </row>
    <row r="26" spans="2:29" x14ac:dyDescent="0.3">
      <c r="B26" t="s">
        <v>31</v>
      </c>
      <c r="C26" t="s">
        <v>0</v>
      </c>
      <c r="D26" t="s">
        <v>32</v>
      </c>
      <c r="E26" t="s">
        <v>33</v>
      </c>
      <c r="F26" t="s">
        <v>34</v>
      </c>
      <c r="H26" t="s">
        <v>55</v>
      </c>
      <c r="I26" t="s">
        <v>47</v>
      </c>
    </row>
    <row r="27" spans="2:29" x14ac:dyDescent="0.3">
      <c r="B27" s="17" t="s">
        <v>13</v>
      </c>
      <c r="C27">
        <v>137</v>
      </c>
      <c r="D27" s="13">
        <v>121.21</v>
      </c>
      <c r="E27" s="3">
        <f t="shared" ref="E27:E37" si="7">C27*VALUE(SUBSTITUTE(D27,"$",""))</f>
        <v>16605.77</v>
      </c>
      <c r="F27" s="1">
        <f>Table13[[#This Row],[Total Value]]/$E$39</f>
        <v>0.35841797476146514</v>
      </c>
      <c r="H27" s="1">
        <v>0.24390000000000001</v>
      </c>
      <c r="I27">
        <f>(Table13[[#This Row],[% Comp]]-H27)^2</f>
        <v>1.3114366543467565E-2</v>
      </c>
    </row>
    <row r="28" spans="2:29" x14ac:dyDescent="0.3">
      <c r="B28" s="17" t="s">
        <v>8</v>
      </c>
      <c r="C28">
        <v>42</v>
      </c>
      <c r="D28" s="13">
        <v>258.24</v>
      </c>
      <c r="E28" s="3">
        <f t="shared" si="7"/>
        <v>10846.08</v>
      </c>
      <c r="F28" s="1">
        <f>Table13[[#This Row],[Total Value]]/$E$39</f>
        <v>0.23410116048221985</v>
      </c>
      <c r="H28" s="1">
        <v>1.5599999999999999E-2</v>
      </c>
      <c r="I28">
        <f>(Table13[[#This Row],[% Comp]]-H28)^2</f>
        <v>4.7742757132076791E-2</v>
      </c>
    </row>
    <row r="29" spans="2:29" x14ac:dyDescent="0.3">
      <c r="B29" s="17" t="s">
        <v>3</v>
      </c>
      <c r="C29">
        <v>35</v>
      </c>
      <c r="D29" s="13">
        <v>142.69999999999999</v>
      </c>
      <c r="E29" s="3">
        <f t="shared" si="7"/>
        <v>4994.5</v>
      </c>
      <c r="F29" s="1">
        <f>Table13[[#This Row],[Total Value]]/$E$39</f>
        <v>0.10780099778246584</v>
      </c>
      <c r="H29" s="1">
        <v>0.1231</v>
      </c>
      <c r="I29">
        <f>(Table13[[#This Row],[% Comp]]-H29)^2</f>
        <v>2.3405946885211526E-4</v>
      </c>
    </row>
    <row r="30" spans="2:29" x14ac:dyDescent="0.3">
      <c r="B30" s="17" t="s">
        <v>12</v>
      </c>
      <c r="C30">
        <v>3</v>
      </c>
      <c r="D30" s="13">
        <v>1431.58</v>
      </c>
      <c r="E30" s="3">
        <f t="shared" si="7"/>
        <v>4294.74</v>
      </c>
      <c r="F30" s="1">
        <f>Table13[[#This Row],[Total Value]]/$E$39</f>
        <v>9.2697418603717552E-2</v>
      </c>
      <c r="H30" s="1">
        <v>0.1196</v>
      </c>
      <c r="I30">
        <f>(Table13[[#This Row],[% Comp]]-H30)^2</f>
        <v>7.2374888578360236E-4</v>
      </c>
    </row>
    <row r="31" spans="2:29" x14ac:dyDescent="0.3">
      <c r="B31" s="17" t="s">
        <v>11</v>
      </c>
      <c r="C31">
        <v>26</v>
      </c>
      <c r="D31" s="13">
        <v>120.85</v>
      </c>
      <c r="E31" s="3">
        <f t="shared" si="7"/>
        <v>3142.1</v>
      </c>
      <c r="F31" s="1">
        <f>Table13[[#This Row],[Total Value]]/$E$39</f>
        <v>6.7818903820659901E-2</v>
      </c>
      <c r="H31" s="1">
        <v>0.1673</v>
      </c>
      <c r="I31">
        <f>(Table13[[#This Row],[% Comp]]-H31)^2</f>
        <v>9.8964884970431169E-3</v>
      </c>
    </row>
    <row r="32" spans="2:29" x14ac:dyDescent="0.3">
      <c r="B32" s="17" t="s">
        <v>1</v>
      </c>
      <c r="C32">
        <v>6</v>
      </c>
      <c r="D32" s="13">
        <v>397.85</v>
      </c>
      <c r="E32" s="3">
        <f t="shared" si="7"/>
        <v>2387.1000000000004</v>
      </c>
      <c r="F32" s="1">
        <f>Table13[[#This Row],[Total Value]]/$E$39</f>
        <v>5.152302769176579E-2</v>
      </c>
      <c r="H32" s="1">
        <v>0.1153</v>
      </c>
      <c r="I32">
        <f>(Table13[[#This Row],[% Comp]]-H32)^2</f>
        <v>4.0675021968052723E-3</v>
      </c>
    </row>
    <row r="33" spans="2:9" x14ac:dyDescent="0.3">
      <c r="B33" s="17" t="s">
        <v>14</v>
      </c>
      <c r="C33">
        <v>47</v>
      </c>
      <c r="D33" s="13">
        <v>25.94</v>
      </c>
      <c r="E33" s="3">
        <f t="shared" si="7"/>
        <v>1219.18</v>
      </c>
      <c r="F33" s="1">
        <f>Table13[[#This Row],[Total Value]]/$E$39</f>
        <v>2.631471027658959E-2</v>
      </c>
      <c r="H33" s="1">
        <v>1.7500000000000002E-2</v>
      </c>
      <c r="I33">
        <f>(Table13[[#This Row],[% Comp]]-H33)^2</f>
        <v>7.7699117260214087E-5</v>
      </c>
    </row>
    <row r="34" spans="2:9" x14ac:dyDescent="0.3">
      <c r="B34" s="17" t="s">
        <v>9</v>
      </c>
      <c r="C34">
        <v>7</v>
      </c>
      <c r="D34" s="13">
        <v>137.81</v>
      </c>
      <c r="E34" s="3">
        <f t="shared" si="7"/>
        <v>964.67000000000007</v>
      </c>
      <c r="F34" s="1">
        <f>Table13[[#This Row],[Total Value]]/$E$39</f>
        <v>2.0821381225510326E-2</v>
      </c>
      <c r="H34" s="1">
        <v>8.0600000000000005E-2</v>
      </c>
      <c r="I34">
        <f>(Table13[[#This Row],[% Comp]]-H34)^2</f>
        <v>3.5734832625857701E-3</v>
      </c>
    </row>
    <row r="35" spans="2:9" x14ac:dyDescent="0.3">
      <c r="B35" s="17" t="s">
        <v>5</v>
      </c>
      <c r="C35">
        <v>24</v>
      </c>
      <c r="D35" s="13">
        <v>30.09</v>
      </c>
      <c r="E35" s="3">
        <f t="shared" si="7"/>
        <v>722.16</v>
      </c>
      <c r="F35" s="1">
        <f>Table13[[#This Row],[Total Value]]/$E$39</f>
        <v>1.558705947714196E-2</v>
      </c>
      <c r="H35" s="1">
        <v>7.8899999999999998E-2</v>
      </c>
      <c r="I35">
        <f>(Table13[[#This Row],[% Comp]]-H35)^2</f>
        <v>4.0085284376509588E-3</v>
      </c>
    </row>
    <row r="36" spans="2:9" x14ac:dyDescent="0.3">
      <c r="B36" s="17" t="s">
        <v>15</v>
      </c>
      <c r="C36">
        <v>28</v>
      </c>
      <c r="D36" s="13">
        <v>23.45</v>
      </c>
      <c r="E36" s="3">
        <f t="shared" si="7"/>
        <v>656.6</v>
      </c>
      <c r="F36" s="1">
        <f>Table13[[#This Row],[Total Value]]/$E$39</f>
        <v>1.4172016246664745E-2</v>
      </c>
      <c r="H36" s="1">
        <v>1.8200000000000001E-2</v>
      </c>
      <c r="I36">
        <f>(Table13[[#This Row],[% Comp]]-H36)^2</f>
        <v>1.6224653117132777E-5</v>
      </c>
    </row>
    <row r="37" spans="2:9" x14ac:dyDescent="0.3">
      <c r="B37" s="17" t="s">
        <v>2</v>
      </c>
      <c r="C37">
        <v>8</v>
      </c>
      <c r="D37" s="13">
        <v>62.23</v>
      </c>
      <c r="E37" s="3">
        <f t="shared" si="7"/>
        <v>497.84</v>
      </c>
      <c r="F37" s="1">
        <f>Table13[[#This Row],[Total Value]]/$E$39</f>
        <v>1.0745349631799538E-2</v>
      </c>
      <c r="H37" s="1">
        <v>0.02</v>
      </c>
      <c r="I37">
        <f>(Table13[[#This Row],[% Comp]]-H37)^2</f>
        <v>8.5648553437632965E-5</v>
      </c>
    </row>
    <row r="38" spans="2:9" x14ac:dyDescent="0.3">
      <c r="H38" s="1"/>
    </row>
    <row r="39" spans="2:9" x14ac:dyDescent="0.3">
      <c r="E39" s="4">
        <f>SUM(Table13[Total Value])</f>
        <v>46330.739999999991</v>
      </c>
      <c r="H39" s="1"/>
    </row>
    <row r="40" spans="2:9" x14ac:dyDescent="0.3">
      <c r="H40" s="1"/>
    </row>
    <row r="41" spans="2:9" x14ac:dyDescent="0.3">
      <c r="H41" s="1"/>
    </row>
    <row r="43" spans="2:9" x14ac:dyDescent="0.3">
      <c r="I43">
        <f>SQRT(SUM(I27:I41))</f>
        <v>0.28903374672878629</v>
      </c>
    </row>
    <row r="44" spans="2:9" x14ac:dyDescent="0.3">
      <c r="B44" s="14" t="s">
        <v>57</v>
      </c>
      <c r="C44" s="14"/>
    </row>
    <row r="47" spans="2:9" x14ac:dyDescent="0.3">
      <c r="B47" t="s">
        <v>31</v>
      </c>
      <c r="C47" t="s">
        <v>0</v>
      </c>
      <c r="D47" t="s">
        <v>32</v>
      </c>
      <c r="E47" t="s">
        <v>33</v>
      </c>
      <c r="F47" t="s">
        <v>34</v>
      </c>
    </row>
    <row r="48" spans="2:9" x14ac:dyDescent="0.3">
      <c r="B48" t="s">
        <v>12</v>
      </c>
      <c r="C48">
        <v>15</v>
      </c>
      <c r="D48" t="s">
        <v>16</v>
      </c>
      <c r="E48" s="3">
        <f t="shared" ref="E48:E62" si="8">C48*VALUE(SUBSTITUTE(D48,"$",""))</f>
        <v>21473.699999999997</v>
      </c>
      <c r="F48" s="1">
        <f>Table14[[#This Row],[Total Value]]/$E$20</f>
        <v>0.45275235276803932</v>
      </c>
    </row>
    <row r="49" spans="2:6" x14ac:dyDescent="0.3">
      <c r="B49" t="s">
        <v>9</v>
      </c>
      <c r="C49">
        <v>30</v>
      </c>
      <c r="D49" t="s">
        <v>27</v>
      </c>
      <c r="E49" s="3">
        <f t="shared" si="8"/>
        <v>4134.3</v>
      </c>
      <c r="F49" s="1">
        <f>Table14[[#This Row],[Total Value]]/$E$20</f>
        <v>8.7167747153443761E-2</v>
      </c>
    </row>
    <row r="50" spans="2:6" x14ac:dyDescent="0.3">
      <c r="B50" t="s">
        <v>1</v>
      </c>
      <c r="C50">
        <v>10</v>
      </c>
      <c r="D50" t="s">
        <v>23</v>
      </c>
      <c r="E50" s="3">
        <f t="shared" si="8"/>
        <v>3978.5</v>
      </c>
      <c r="F50" s="1">
        <f>Table14[[#This Row],[Total Value]]/$E$20</f>
        <v>8.3882853699532203E-2</v>
      </c>
    </row>
    <row r="51" spans="2:6" x14ac:dyDescent="0.3">
      <c r="B51" t="s">
        <v>8</v>
      </c>
      <c r="C51">
        <v>10</v>
      </c>
      <c r="D51" t="s">
        <v>28</v>
      </c>
      <c r="E51" s="3">
        <f t="shared" si="8"/>
        <v>2507.5</v>
      </c>
      <c r="F51" s="1">
        <f>Table14[[#This Row],[Total Value]]/$E$20</f>
        <v>5.2868230652652254E-2</v>
      </c>
    </row>
    <row r="52" spans="2:6" x14ac:dyDescent="0.3">
      <c r="B52" t="s">
        <v>11</v>
      </c>
      <c r="C52">
        <v>15</v>
      </c>
      <c r="D52" t="s">
        <v>20</v>
      </c>
      <c r="E52" s="3">
        <f t="shared" si="8"/>
        <v>1783.5</v>
      </c>
      <c r="F52" s="1">
        <f>Table14[[#This Row],[Total Value]]/$E$20</f>
        <v>3.7603385590829631E-2</v>
      </c>
    </row>
    <row r="53" spans="2:6" x14ac:dyDescent="0.3">
      <c r="B53" t="s">
        <v>13</v>
      </c>
      <c r="C53">
        <v>15</v>
      </c>
      <c r="D53" t="s">
        <v>26</v>
      </c>
      <c r="E53" s="3">
        <f t="shared" si="8"/>
        <v>1748.1000000000001</v>
      </c>
      <c r="F53" s="1">
        <f>Table14[[#This Row],[Total Value]]/$E$20</f>
        <v>3.6857010569851016E-2</v>
      </c>
    </row>
    <row r="54" spans="2:6" x14ac:dyDescent="0.3">
      <c r="B54" t="s">
        <v>7</v>
      </c>
      <c r="C54">
        <v>50</v>
      </c>
      <c r="D54" t="s">
        <v>29</v>
      </c>
      <c r="E54" s="3">
        <f t="shared" si="8"/>
        <v>1459</v>
      </c>
      <c r="F54" s="1">
        <f>Table14[[#This Row],[Total Value]]/$E$20</f>
        <v>3.0761614565192281E-2</v>
      </c>
    </row>
    <row r="55" spans="2:6" x14ac:dyDescent="0.3">
      <c r="B55" t="s">
        <v>3</v>
      </c>
      <c r="C55">
        <v>10</v>
      </c>
      <c r="D55" t="s">
        <v>21</v>
      </c>
      <c r="E55" s="3">
        <f t="shared" si="8"/>
        <v>1423.1</v>
      </c>
      <c r="F55" s="1">
        <f>Table14[[#This Row],[Total Value]]/$E$20</f>
        <v>3.0004697524143337E-2</v>
      </c>
    </row>
    <row r="56" spans="2:6" x14ac:dyDescent="0.3">
      <c r="B56" t="s">
        <v>4</v>
      </c>
      <c r="C56">
        <v>15</v>
      </c>
      <c r="D56" t="s">
        <v>19</v>
      </c>
      <c r="E56" s="3">
        <f t="shared" si="8"/>
        <v>1358.7</v>
      </c>
      <c r="F56" s="1">
        <f>Table14[[#This Row],[Total Value]]/$E$20</f>
        <v>2.864688533908619E-2</v>
      </c>
    </row>
    <row r="57" spans="2:6" x14ac:dyDescent="0.3">
      <c r="B57" t="s">
        <v>2</v>
      </c>
      <c r="C57">
        <v>20</v>
      </c>
      <c r="D57" t="s">
        <v>22</v>
      </c>
      <c r="E57" s="3">
        <f t="shared" si="8"/>
        <v>1244.5999999999999</v>
      </c>
      <c r="F57" s="1">
        <f>Table14[[#This Row],[Total Value]]/$E$20</f>
        <v>2.6241196359039279E-2</v>
      </c>
    </row>
    <row r="58" spans="2:6" x14ac:dyDescent="0.3">
      <c r="B58" t="s">
        <v>14</v>
      </c>
      <c r="C58">
        <v>30</v>
      </c>
      <c r="D58" t="s">
        <v>24</v>
      </c>
      <c r="E58" s="3">
        <f t="shared" si="8"/>
        <v>821.4</v>
      </c>
      <c r="F58" s="1">
        <f>Table14[[#This Row],[Total Value]]/$E$20</f>
        <v>1.7318430571520861E-2</v>
      </c>
    </row>
    <row r="59" spans="2:6" x14ac:dyDescent="0.3">
      <c r="B59" t="s">
        <v>5</v>
      </c>
      <c r="C59">
        <v>20</v>
      </c>
      <c r="D59" t="s">
        <v>18</v>
      </c>
      <c r="E59" s="3">
        <f t="shared" si="8"/>
        <v>600.79999999999995</v>
      </c>
      <c r="F59" s="1">
        <f>Table14[[#This Row],[Total Value]]/$E$20</f>
        <v>1.2667291316495901E-2</v>
      </c>
    </row>
    <row r="60" spans="2:6" x14ac:dyDescent="0.3">
      <c r="B60" t="s">
        <v>15</v>
      </c>
      <c r="C60">
        <v>10</v>
      </c>
      <c r="D60" t="s">
        <v>17</v>
      </c>
      <c r="E60" s="3">
        <f t="shared" si="8"/>
        <v>241.4</v>
      </c>
      <c r="F60" s="1">
        <f>Table14[[#This Row],[Total Value]]/$E$20</f>
        <v>5.0896872899502512E-3</v>
      </c>
    </row>
    <row r="61" spans="2:6" x14ac:dyDescent="0.3">
      <c r="B61" t="s">
        <v>10</v>
      </c>
      <c r="C61">
        <v>30</v>
      </c>
      <c r="D61" t="s">
        <v>25</v>
      </c>
      <c r="E61" s="3">
        <f t="shared" si="8"/>
        <v>82.2</v>
      </c>
      <c r="F61" s="1">
        <f>Table14[[#This Row],[Total Value]]/$E$20</f>
        <v>1.7331080995605247E-3</v>
      </c>
    </row>
    <row r="62" spans="2:6" x14ac:dyDescent="0.3">
      <c r="B62" t="s">
        <v>6</v>
      </c>
      <c r="C62">
        <v>100</v>
      </c>
      <c r="D62" t="s">
        <v>30</v>
      </c>
      <c r="E62" s="3">
        <f t="shared" si="8"/>
        <v>82</v>
      </c>
      <c r="F62" s="1">
        <f>Table14[[#This Row],[Total Value]]/$E$20</f>
        <v>1.7288912915323967E-3</v>
      </c>
    </row>
  </sheetData>
  <mergeCells count="1">
    <mergeCell ref="N3:O3"/>
  </mergeCells>
  <conditionalFormatting sqref="I27:I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90" verticalDpi="9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75C4-9582-4B06-A8E9-C56EDBFB4021}">
  <dimension ref="C1:W8"/>
  <sheetViews>
    <sheetView showGridLines="0" topLeftCell="J1" workbookViewId="0">
      <selection activeCell="W10" sqref="W10"/>
    </sheetView>
  </sheetViews>
  <sheetFormatPr defaultRowHeight="14.4" x14ac:dyDescent="0.3"/>
  <sheetData>
    <row r="1" spans="3:23" x14ac:dyDescent="0.3">
      <c r="C1" s="6" t="s">
        <v>35</v>
      </c>
      <c r="D1" s="6"/>
      <c r="E1" s="6"/>
      <c r="F1" s="6"/>
      <c r="G1" s="6"/>
      <c r="H1" s="6"/>
      <c r="O1" s="6" t="s">
        <v>49</v>
      </c>
      <c r="P1" s="6"/>
      <c r="Q1" s="6"/>
    </row>
    <row r="4" spans="3:23" x14ac:dyDescent="0.3">
      <c r="W4" s="15" t="s">
        <v>50</v>
      </c>
    </row>
    <row r="5" spans="3:23" x14ac:dyDescent="0.3">
      <c r="W5" s="15" t="s">
        <v>51</v>
      </c>
    </row>
    <row r="6" spans="3:23" x14ac:dyDescent="0.3">
      <c r="W6" s="15" t="s">
        <v>52</v>
      </c>
    </row>
    <row r="7" spans="3:23" x14ac:dyDescent="0.3">
      <c r="W7" s="15" t="s">
        <v>53</v>
      </c>
    </row>
    <row r="8" spans="3:23" x14ac:dyDescent="0.3">
      <c r="W8" s="15" t="s">
        <v>54</v>
      </c>
    </row>
  </sheetData>
  <pageMargins left="0.7" right="0.7" top="0.75" bottom="0.75" header="0.3" footer="0.3"/>
  <pageSetup orientation="portrait" horizontalDpi="90" verticalDpi="9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68E68D1CB96545A68821E2AF656126" ma:contentTypeVersion="11" ma:contentTypeDescription="Create a new document." ma:contentTypeScope="" ma:versionID="0543062503137616826202ff51d212e1">
  <xsd:schema xmlns:xsd="http://www.w3.org/2001/XMLSchema" xmlns:xs="http://www.w3.org/2001/XMLSchema" xmlns:p="http://schemas.microsoft.com/office/2006/metadata/properties" xmlns:ns3="b0e291c4-f1b1-45b4-8f69-4e5a0ba0a5aa" xmlns:ns4="1c0b0a40-91f8-45d9-a0ed-17fc98620c9a" targetNamespace="http://schemas.microsoft.com/office/2006/metadata/properties" ma:root="true" ma:fieldsID="6b75febf3e227a11e60c438fe0981452" ns3:_="" ns4:_="">
    <xsd:import namespace="b0e291c4-f1b1-45b4-8f69-4e5a0ba0a5aa"/>
    <xsd:import namespace="1c0b0a40-91f8-45d9-a0ed-17fc98620c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291c4-f1b1-45b4-8f69-4e5a0ba0a5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0b0a40-91f8-45d9-a0ed-17fc98620c9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DFB914-FE4C-4013-945C-567FFA65366E}">
  <ds:schemaRefs>
    <ds:schemaRef ds:uri="http://purl.org/dc/elements/1.1/"/>
    <ds:schemaRef ds:uri="http://schemas.microsoft.com/office/2006/metadata/properties"/>
    <ds:schemaRef ds:uri="b0e291c4-f1b1-45b4-8f69-4e5a0ba0a5aa"/>
    <ds:schemaRef ds:uri="http://purl.org/dc/terms/"/>
    <ds:schemaRef ds:uri="1c0b0a40-91f8-45d9-a0ed-17fc98620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2CA0EC5-04FD-4CDB-B4BC-9D0494C171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186DD-2B07-4936-893B-B82503A6B6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e291c4-f1b1-45b4-8f69-4e5a0ba0a5aa"/>
    <ds:schemaRef ds:uri="1c0b0a40-91f8-45d9-a0ed-17fc98620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Neri, Luigi</dc:creator>
  <cp:lastModifiedBy>Neri, Luigi</cp:lastModifiedBy>
  <dcterms:created xsi:type="dcterms:W3CDTF">2020-07-07T15:39:31Z</dcterms:created>
  <dcterms:modified xsi:type="dcterms:W3CDTF">2020-07-09T15:49:18Z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0x0101003A68E68D1CB96545A68821E2AF656126</vt:lpwstr>
  </property>
</Properties>
</file>