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8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G19" i="1"/>
  <c r="G20" i="1"/>
  <c r="G21" i="1"/>
  <c r="G22" i="1"/>
  <c r="G23" i="1"/>
  <c r="G24" i="1"/>
  <c r="G25" i="1"/>
  <c r="B4" i="1"/>
  <c r="B7" i="1"/>
  <c r="B5" i="1"/>
  <c r="B3" i="1"/>
  <c r="B6" i="1"/>
  <c r="B8" i="1"/>
  <c r="B11" i="1"/>
  <c r="B10" i="1"/>
  <c r="B13" i="1"/>
  <c r="B12" i="1"/>
  <c r="B18" i="1"/>
  <c r="C18" i="1"/>
  <c r="D18" i="1"/>
  <c r="E18" i="1"/>
  <c r="F15" i="1"/>
  <c r="F18" i="1"/>
  <c r="B14" i="1"/>
  <c r="B15" i="1"/>
  <c r="G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<sst xmlns="http://schemas.openxmlformats.org/spreadsheetml/2006/main" count="34" uniqueCount="30">
  <si>
    <t>Parameter Values</t>
  </si>
  <si>
    <t>k,e</t>
  </si>
  <si>
    <t>k,e*</t>
  </si>
  <si>
    <t>k,f</t>
  </si>
  <si>
    <t>k,r</t>
  </si>
  <si>
    <t>k,deg</t>
  </si>
  <si>
    <t>V,s</t>
  </si>
  <si>
    <t>q</t>
  </si>
  <si>
    <t>n,c</t>
  </si>
  <si>
    <t>Value</t>
  </si>
  <si>
    <t>Units</t>
  </si>
  <si>
    <t>Symbol</t>
  </si>
  <si>
    <t>s^-1</t>
  </si>
  <si>
    <t>m^3/s</t>
  </si>
  <si>
    <t>#/cell-s</t>
  </si>
  <si>
    <t>cell/m^2</t>
  </si>
  <si>
    <t>gamma</t>
  </si>
  <si>
    <t>D,L</t>
  </si>
  <si>
    <t>m^2/s</t>
  </si>
  <si>
    <t>z</t>
  </si>
  <si>
    <t>km(z) (m/s)</t>
  </si>
  <si>
    <t>R* Tot Num</t>
  </si>
  <si>
    <t>R* Tot Den</t>
  </si>
  <si>
    <t>K,ss</t>
  </si>
  <si>
    <t>Mitotic Activity</t>
  </si>
  <si>
    <t>Mitotic Rate Constant</t>
  </si>
  <si>
    <t>(s-cell)^-1</t>
  </si>
  <si>
    <t>R*Tot x 10^-3</t>
  </si>
  <si>
    <t>R* Tot (#/cell)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</si>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</sst>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Mitotic Activity</c:v>
                </c:pt>
              </c:strCache>
            </c:strRef>
          </c:tx>
          <c:xVal>
            <c:numRef>
              <c:f>Sheet1!$A$18:$A$29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</c:numCache>
            </c:numRef>
          </c:xVal>
          <c:yVal>
            <c:numRef>
              <c:f>Sheet1!$G$18:$G$29</c:f>
              <c:numCache>
                <c:formatCode>General</c:formatCode>
                <c:ptCount val="12"/>
                <c:pt idx="0">
                  <c:v>92.70852847284607</c:v>
                </c:pt>
                <c:pt idx="1">
                  <c:v>68.78785765198651</c:v>
                </c:pt>
                <c:pt idx="2">
                  <c:v>56.99349437103453</c:v>
                </c:pt>
                <c:pt idx="3">
                  <c:v>49.48621133709207</c:v>
                </c:pt>
                <c:pt idx="4">
                  <c:v>44.11302855575407</c:v>
                </c:pt>
                <c:pt idx="5">
                  <c:v>39.9952693420746</c:v>
                </c:pt>
                <c:pt idx="6">
                  <c:v>36.69453910670807</c:v>
                </c:pt>
                <c:pt idx="7">
                  <c:v>33.96304721785106</c:v>
                </c:pt>
                <c:pt idx="8">
                  <c:v>31.64818367402384</c:v>
                </c:pt>
                <c:pt idx="9">
                  <c:v>29.64985162170671</c:v>
                </c:pt>
                <c:pt idx="10">
                  <c:v>22.55801906614826</c:v>
                </c:pt>
                <c:pt idx="11">
                  <c:v>18.05742917752463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02984"/>
        <c:axId val="-2112623320"/>
      </c:scatterChart>
      <c:valAx>
        <c:axId val="204530298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623320"/>
        <c:crosses val="autoZero"/>
        <c:crossBetween val="midCat"/>
      </c:valAx>
      <c:valAx>
        <c:axId val="-211262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Mitotic Activity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30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10</xdr:row>
      <xdr:rowOff>184150</xdr:rowOff>
    </xdr:from>
    <xdr:to>
      <xdr:col>13</xdr:col>
      <xdr:colOff>698500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I7" sqref="I7"/>
    </sheetView>
  </sheetViews>
  <sheetFormatPr baseColWidth="10" defaultRowHeight="15" x14ac:dyDescent="0"/>
  <cols>
    <col min="2" max="2" width="12.1640625" bestFit="1" customWidth="1"/>
  </cols>
  <sheetData>
    <row r="1" spans="1:6">
      <c r="A1" s="1" t="s">
        <v>0</v>
      </c>
    </row>
    <row r="2" spans="1:6">
      <c r="A2" t="s">
        <v>11</v>
      </c>
      <c r="B2" t="s">
        <v>9</v>
      </c>
      <c r="C2" t="s">
        <v>10</v>
      </c>
    </row>
    <row r="3" spans="1:6">
      <c r="A3" t="s">
        <v>1</v>
      </c>
      <c r="B3">
        <f>10^-4</f>
        <v>1E-4</v>
      </c>
      <c r="C3" t="s">
        <v>12</v>
      </c>
    </row>
    <row r="4" spans="1:6">
      <c r="A4" t="s">
        <v>2</v>
      </c>
      <c r="B4">
        <f>5*10^-3</f>
        <v>5.0000000000000001E-3</v>
      </c>
      <c r="C4" t="s">
        <v>12</v>
      </c>
    </row>
    <row r="5" spans="1:6">
      <c r="A5" t="s">
        <v>3</v>
      </c>
      <c r="B5">
        <f>5.14*10^-21</f>
        <v>5.1399999999999996E-21</v>
      </c>
      <c r="C5" t="s">
        <v>13</v>
      </c>
    </row>
    <row r="6" spans="1:6">
      <c r="A6" t="s">
        <v>4</v>
      </c>
      <c r="B6">
        <f>2.5*10^-2</f>
        <v>2.5000000000000001E-2</v>
      </c>
      <c r="C6" t="s">
        <v>12</v>
      </c>
    </row>
    <row r="7" spans="1:6">
      <c r="A7" t="s">
        <v>5</v>
      </c>
      <c r="B7">
        <f>8*10^-4</f>
        <v>8.0000000000000004E-4</v>
      </c>
      <c r="C7" t="s">
        <v>12</v>
      </c>
    </row>
    <row r="8" spans="1:6">
      <c r="A8" t="s">
        <v>23</v>
      </c>
      <c r="B8">
        <f>B4*B5/(B3*(B4+B6))</f>
        <v>8.5666666666666642E-18</v>
      </c>
    </row>
    <row r="9" spans="1:6">
      <c r="A9" t="s">
        <v>6</v>
      </c>
      <c r="B9">
        <v>18</v>
      </c>
      <c r="C9" t="s">
        <v>26</v>
      </c>
    </row>
    <row r="10" spans="1:6">
      <c r="A10" t="s">
        <v>7</v>
      </c>
      <c r="B10">
        <f>10^3</f>
        <v>1000</v>
      </c>
      <c r="C10" t="s">
        <v>14</v>
      </c>
    </row>
    <row r="11" spans="1:6">
      <c r="A11" t="s">
        <v>8</v>
      </c>
      <c r="B11">
        <f>3*10^8</f>
        <v>300000000</v>
      </c>
      <c r="C11" t="s">
        <v>15</v>
      </c>
    </row>
    <row r="12" spans="1:6">
      <c r="A12" t="s">
        <v>16</v>
      </c>
      <c r="B12">
        <f>10^2</f>
        <v>100</v>
      </c>
      <c r="C12" t="s">
        <v>12</v>
      </c>
    </row>
    <row r="13" spans="1:6">
      <c r="A13" t="s">
        <v>17</v>
      </c>
      <c r="B13">
        <f>10^-10</f>
        <v>1E-10</v>
      </c>
      <c r="C13" t="s">
        <v>18</v>
      </c>
    </row>
    <row r="14" spans="1:6">
      <c r="A14" t="s">
        <v>25</v>
      </c>
      <c r="B14" s="2">
        <f>(100-10)/(68-20)</f>
        <v>1.875</v>
      </c>
    </row>
    <row r="15" spans="1:6">
      <c r="A15" t="s">
        <v>29</v>
      </c>
      <c r="B15">
        <f>10-B14*20</f>
        <v>-27.5</v>
      </c>
      <c r="F15">
        <f>10^-3</f>
        <v>1E-3</v>
      </c>
    </row>
    <row r="17" spans="1:7">
      <c r="A17" t="s">
        <v>19</v>
      </c>
      <c r="B17" t="s">
        <v>20</v>
      </c>
      <c r="C17" t="s">
        <v>21</v>
      </c>
      <c r="D17" t="s">
        <v>22</v>
      </c>
      <c r="E17" t="s">
        <v>28</v>
      </c>
      <c r="F17" t="s">
        <v>27</v>
      </c>
      <c r="G17" t="s">
        <v>24</v>
      </c>
    </row>
    <row r="18" spans="1:7">
      <c r="A18">
        <v>1</v>
      </c>
      <c r="B18">
        <f>($B$13^2*$B$12*A18)^(1/3)</f>
        <v>1.0000000000000004E-6</v>
      </c>
      <c r="C18">
        <f>(1/$B$4+1/$B$7)*($B$8*$B$9*$B$11*$B$10)/B18</f>
        <v>67076.999999999956</v>
      </c>
      <c r="D18">
        <f>1+($B$8*$B$9*$B$11/B18)</f>
        <v>1.04626</v>
      </c>
      <c r="E18">
        <f>C18/D18</f>
        <v>64111.215185517904</v>
      </c>
      <c r="F18">
        <f>E18*$F$15</f>
        <v>64.111215185517906</v>
      </c>
      <c r="G18">
        <f>F18*$B$14+$B$15</f>
        <v>92.708528472846069</v>
      </c>
    </row>
    <row r="19" spans="1:7">
      <c r="A19">
        <v>2</v>
      </c>
      <c r="B19">
        <f>($B$13^2*$B$12*A19)^(1/3)</f>
        <v>1.2599210498948744E-6</v>
      </c>
      <c r="C19">
        <f>(1/$B$4+1/$B$7)*($B$8*$B$9*$B$11*$B$10)/B19</f>
        <v>53239.050181435392</v>
      </c>
      <c r="D19">
        <f>1+($B$8*$B$9*$B$11/B19)</f>
        <v>1.0367165863320245</v>
      </c>
      <c r="E19">
        <f t="shared" ref="E19:E22" si="0">C19/D19</f>
        <v>51353.524081059477</v>
      </c>
      <c r="F19">
        <f t="shared" ref="F19:F29" si="1">E19*$F$15</f>
        <v>51.353524081059476</v>
      </c>
      <c r="G19">
        <f t="shared" ref="G19:G29" si="2">F19*$B$14+$B$15</f>
        <v>68.787857651986513</v>
      </c>
    </row>
    <row r="20" spans="1:7">
      <c r="A20">
        <v>3</v>
      </c>
      <c r="B20">
        <f>($B$13^2*$B$12*A20)^(1/3)</f>
        <v>1.4422495703074079E-6</v>
      </c>
      <c r="C20">
        <f>(1/$B$4+1/$B$7)*($B$8*$B$9*$B$11*$B$10)/B20</f>
        <v>46508.594199617532</v>
      </c>
      <c r="D20">
        <f>1+($B$8*$B$9*$B$11/B20)</f>
        <v>1.0320748925514605</v>
      </c>
      <c r="E20">
        <f t="shared" si="0"/>
        <v>45063.196997885076</v>
      </c>
      <c r="F20">
        <f t="shared" si="1"/>
        <v>45.063196997885079</v>
      </c>
      <c r="G20">
        <f t="shared" si="2"/>
        <v>56.993494371034529</v>
      </c>
    </row>
    <row r="21" spans="1:7">
      <c r="A21">
        <v>4</v>
      </c>
      <c r="B21">
        <f>($B$13^2*$B$12*A21)^(1/3)</f>
        <v>1.5874010519681995E-6</v>
      </c>
      <c r="C21">
        <f>(1/$B$4+1/$B$7)*($B$8*$B$9*$B$11*$B$10)/B21</f>
        <v>42255.862131899194</v>
      </c>
      <c r="D21">
        <f>1+($B$8*$B$9*$B$11/B21)</f>
        <v>1.0291419738840684</v>
      </c>
      <c r="E21">
        <f t="shared" si="0"/>
        <v>41059.312713115774</v>
      </c>
      <c r="F21">
        <f t="shared" si="1"/>
        <v>41.059312713115773</v>
      </c>
      <c r="G21">
        <f t="shared" si="2"/>
        <v>49.486211337092072</v>
      </c>
    </row>
    <row r="22" spans="1:7">
      <c r="A22">
        <v>5</v>
      </c>
      <c r="B22">
        <f>($B$13^2*$B$12*A22)^(1/3)</f>
        <v>1.7099759466766954E-6</v>
      </c>
      <c r="C22">
        <f>(1/$B$4+1/$B$7)*($B$8*$B$9*$B$11*$B$10)/B22</f>
        <v>39226.867565220913</v>
      </c>
      <c r="D22">
        <f>1+($B$8*$B$9*$B$11/B22)</f>
        <v>1.0270530121139454</v>
      </c>
      <c r="E22">
        <f t="shared" si="0"/>
        <v>38193.615229735507</v>
      </c>
      <c r="F22">
        <f t="shared" si="1"/>
        <v>38.193615229735506</v>
      </c>
      <c r="G22">
        <f t="shared" si="2"/>
        <v>44.11302855575407</v>
      </c>
    </row>
    <row r="23" spans="1:7">
      <c r="A23">
        <v>6</v>
      </c>
      <c r="B23">
        <f t="shared" ref="B23:B25" si="3">($B$13^2*$B$12*A23)^(1/3)</f>
        <v>1.8171205928321403E-6</v>
      </c>
      <c r="C23">
        <f>(1/$B$4+1/$B$7)*($B$8*$B$9*$B$11*$B$10)/B23</f>
        <v>36913.895679017456</v>
      </c>
      <c r="D23">
        <f>1+($B$8*$B$9*$B$11/B23)</f>
        <v>1.0254578590889776</v>
      </c>
      <c r="E23">
        <f t="shared" ref="E23:E25" si="4">C23/D23</f>
        <v>35997.476982439788</v>
      </c>
      <c r="F23">
        <f t="shared" si="1"/>
        <v>35.997476982439785</v>
      </c>
      <c r="G23">
        <f t="shared" si="2"/>
        <v>39.995269342074593</v>
      </c>
    </row>
    <row r="24" spans="1:7">
      <c r="A24">
        <v>7</v>
      </c>
      <c r="B24">
        <f t="shared" si="3"/>
        <v>1.9129311827723922E-6</v>
      </c>
      <c r="C24">
        <f>(1/$B$4+1/$B$7)*($B$8*$B$9*$B$11*$B$10)/B24</f>
        <v>35065.035587315775</v>
      </c>
      <c r="D24">
        <f>1+($B$8*$B$9*$B$11/B24)</f>
        <v>1.0241827831636661</v>
      </c>
      <c r="E24">
        <f t="shared" si="4"/>
        <v>34237.08752357764</v>
      </c>
      <c r="F24">
        <f t="shared" si="1"/>
        <v>34.237087523577642</v>
      </c>
      <c r="G24">
        <f t="shared" si="2"/>
        <v>36.694539106708078</v>
      </c>
    </row>
    <row r="25" spans="1:7">
      <c r="A25">
        <v>8</v>
      </c>
      <c r="B25">
        <f t="shared" si="3"/>
        <v>2.0000000000000012E-6</v>
      </c>
      <c r="C25">
        <f>(1/$B$4+1/$B$7)*($B$8*$B$9*$B$11*$B$10)/B25</f>
        <v>33538.499999999971</v>
      </c>
      <c r="D25">
        <f>1+($B$8*$B$9*$B$11/B25)</f>
        <v>1.0231299999999999</v>
      </c>
      <c r="E25">
        <f t="shared" si="4"/>
        <v>32780.291849520567</v>
      </c>
      <c r="F25">
        <f t="shared" si="1"/>
        <v>32.780291849520566</v>
      </c>
      <c r="G25">
        <f t="shared" si="2"/>
        <v>33.963047217851063</v>
      </c>
    </row>
    <row r="26" spans="1:7">
      <c r="A26">
        <v>9</v>
      </c>
      <c r="B26">
        <f t="shared" ref="B26:B29" si="5">($B$13^2*$B$12*A26)^(1/3)</f>
        <v>2.080083823051902E-6</v>
      </c>
      <c r="C26">
        <f t="shared" ref="C26:C29" si="6">(1/$B$4+1/$B$7)*($B$8*$B$9*$B$11*$B$10)/B26</f>
        <v>32247.258142503368</v>
      </c>
      <c r="D26">
        <f t="shared" ref="D26:D29" si="7">1+($B$8*$B$9*$B$11/B26)</f>
        <v>1.0222394883741404</v>
      </c>
      <c r="E26">
        <f t="shared" ref="E26:E29" si="8">C26/D26</f>
        <v>31545.697959479381</v>
      </c>
      <c r="F26">
        <f t="shared" si="1"/>
        <v>31.54569795947938</v>
      </c>
      <c r="G26">
        <f t="shared" si="2"/>
        <v>31.648183674023841</v>
      </c>
    </row>
    <row r="27" spans="1:7">
      <c r="A27">
        <v>10</v>
      </c>
      <c r="B27">
        <f t="shared" si="5"/>
        <v>2.1544346900318831E-6</v>
      </c>
      <c r="C27">
        <f t="shared" si="6"/>
        <v>31134.38541922444</v>
      </c>
      <c r="D27">
        <f t="shared" si="7"/>
        <v>1.0214719899442928</v>
      </c>
      <c r="E27">
        <f t="shared" si="8"/>
        <v>30479.920864910247</v>
      </c>
      <c r="F27">
        <f t="shared" si="1"/>
        <v>30.479920864910248</v>
      </c>
      <c r="G27">
        <f t="shared" si="2"/>
        <v>29.649851621706716</v>
      </c>
    </row>
    <row r="28" spans="1:7">
      <c r="A28">
        <v>15</v>
      </c>
      <c r="B28">
        <f t="shared" si="5"/>
        <v>2.4662120743304747E-6</v>
      </c>
      <c r="C28">
        <f t="shared" si="6"/>
        <v>27198.390883805074</v>
      </c>
      <c r="D28">
        <f t="shared" si="7"/>
        <v>1.0187575109543483</v>
      </c>
      <c r="E28">
        <f t="shared" si="8"/>
        <v>26697.610168612406</v>
      </c>
      <c r="F28">
        <f t="shared" si="1"/>
        <v>26.697610168612407</v>
      </c>
      <c r="G28">
        <f t="shared" si="2"/>
        <v>22.558019066148262</v>
      </c>
    </row>
    <row r="29" spans="1:7">
      <c r="A29">
        <v>20</v>
      </c>
      <c r="B29">
        <f t="shared" si="5"/>
        <v>2.7144176165949074E-6</v>
      </c>
      <c r="C29">
        <f t="shared" si="6"/>
        <v>24711.378083430107</v>
      </c>
      <c r="D29">
        <f t="shared" si="7"/>
        <v>1.0170423297127105</v>
      </c>
      <c r="E29">
        <f t="shared" si="8"/>
        <v>24297.295561346466</v>
      </c>
      <c r="F29">
        <f t="shared" si="1"/>
        <v>24.297295561346466</v>
      </c>
      <c r="G29">
        <f t="shared" si="2"/>
        <v>18.057429177524625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Park</dc:creator>
  <cp:lastModifiedBy>Ellen Park</cp:lastModifiedBy>
  <dcterms:created xsi:type="dcterms:W3CDTF">2020-05-19T15:45:44Z</dcterms:created>
  <dcterms:modified xsi:type="dcterms:W3CDTF">2020-05-20T14:28:59Z</dcterms:modified>
</cp:coreProperties>
</file>