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820" yWindow="0" windowWidth="15880" windowHeight="14560" tabRatio="500"/>
  </bookViews>
  <sheets>
    <sheet name="Part B &amp; C" sheetId="1" r:id="rId1"/>
    <sheet name="Calculating K,x" sheetId="3" r:id="rId2"/>
    <sheet name="Parameter Estimates and Sources" sheetId="4" r:id="rId3"/>
  </sheets>
  <definedNames>
    <definedName name="solver_adj" localSheetId="1" hidden="1">'Calculating K,x'!$C$15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itr" localSheetId="1" hidden="1">2147483647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opt" localSheetId="1" hidden="1">'Calculating K,x'!$G$48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6" i="3" l="1"/>
  <c r="B33" i="3"/>
  <c r="F28" i="3"/>
  <c r="C40" i="3"/>
  <c r="G40" i="3"/>
  <c r="C41" i="3"/>
  <c r="G41" i="3"/>
  <c r="C42" i="3"/>
  <c r="G42" i="3"/>
  <c r="C43" i="3"/>
  <c r="G43" i="3"/>
  <c r="C44" i="3"/>
  <c r="G44" i="3"/>
  <c r="C45" i="3"/>
  <c r="G45" i="3"/>
  <c r="C46" i="3"/>
  <c r="G46" i="3"/>
  <c r="G47" i="3"/>
  <c r="G48" i="3"/>
  <c r="C4" i="1"/>
  <c r="C42" i="1"/>
  <c r="B60" i="1"/>
  <c r="C33" i="1"/>
  <c r="C19" i="1"/>
  <c r="C20" i="1"/>
  <c r="J5" i="1"/>
  <c r="C39" i="1"/>
  <c r="J3" i="4"/>
  <c r="K3" i="4"/>
  <c r="L3" i="4"/>
  <c r="M3" i="4"/>
  <c r="N3" i="4"/>
  <c r="J4" i="4"/>
  <c r="K4" i="4"/>
  <c r="L4" i="4"/>
  <c r="M4" i="4"/>
  <c r="N4" i="4"/>
  <c r="J5" i="4"/>
  <c r="K5" i="4"/>
  <c r="L5" i="4"/>
  <c r="M5" i="4"/>
  <c r="N5" i="4"/>
  <c r="L6" i="4"/>
  <c r="M6" i="4"/>
  <c r="J7" i="4"/>
  <c r="K7" i="4"/>
  <c r="L7" i="4"/>
  <c r="M7" i="4"/>
  <c r="N7" i="4"/>
  <c r="J8" i="4"/>
  <c r="K8" i="4"/>
  <c r="L8" i="4"/>
  <c r="M8" i="4"/>
  <c r="N8" i="4"/>
  <c r="J9" i="4"/>
  <c r="K9" i="4"/>
  <c r="L9" i="4"/>
  <c r="M9" i="4"/>
  <c r="N9" i="4"/>
  <c r="J10" i="4"/>
  <c r="K10" i="4"/>
  <c r="L10" i="4"/>
  <c r="M10" i="4"/>
  <c r="N10" i="4"/>
  <c r="J11" i="4"/>
  <c r="K11" i="4"/>
  <c r="L11" i="4"/>
  <c r="M11" i="4"/>
  <c r="N11" i="4"/>
  <c r="L12" i="4"/>
  <c r="M12" i="4"/>
  <c r="J13" i="4"/>
  <c r="K13" i="4"/>
  <c r="L13" i="4"/>
  <c r="M13" i="4"/>
  <c r="L14" i="4"/>
  <c r="M14" i="4"/>
  <c r="K15" i="4"/>
  <c r="L15" i="4"/>
  <c r="M15" i="4"/>
  <c r="N15" i="4"/>
  <c r="K16" i="4"/>
  <c r="L16" i="4"/>
  <c r="M16" i="4"/>
  <c r="J17" i="4"/>
  <c r="K17" i="4"/>
  <c r="L17" i="4"/>
  <c r="M17" i="4"/>
  <c r="J18" i="4"/>
  <c r="K18" i="4"/>
  <c r="L18" i="4"/>
  <c r="M18" i="4"/>
  <c r="N18" i="4"/>
  <c r="L19" i="4"/>
  <c r="M19" i="4"/>
  <c r="L20" i="4"/>
  <c r="M20" i="4"/>
  <c r="N2" i="4"/>
  <c r="K2" i="4"/>
  <c r="L2" i="4"/>
  <c r="M2" i="4"/>
  <c r="J2" i="4"/>
  <c r="A3" i="4"/>
  <c r="B3" i="4"/>
  <c r="C3" i="4"/>
  <c r="D3" i="4"/>
  <c r="E3" i="4"/>
  <c r="A4" i="4"/>
  <c r="B4" i="4"/>
  <c r="C4" i="4"/>
  <c r="D4" i="4"/>
  <c r="E4" i="4"/>
  <c r="A5" i="4"/>
  <c r="B5" i="4"/>
  <c r="C5" i="4"/>
  <c r="D5" i="4"/>
  <c r="E5" i="4"/>
  <c r="A6" i="4"/>
  <c r="B6" i="4"/>
  <c r="C6" i="4"/>
  <c r="D6" i="4"/>
  <c r="E6" i="4"/>
  <c r="B7" i="4"/>
  <c r="C7" i="4"/>
  <c r="D7" i="4"/>
  <c r="E7" i="4"/>
  <c r="B8" i="4"/>
  <c r="C8" i="4"/>
  <c r="D8" i="4"/>
  <c r="E8" i="4"/>
  <c r="B9" i="4"/>
  <c r="C9" i="4"/>
  <c r="D9" i="4"/>
  <c r="E9" i="4"/>
  <c r="B10" i="4"/>
  <c r="C10" i="4"/>
  <c r="D10" i="4"/>
  <c r="A11" i="4"/>
  <c r="B11" i="4"/>
  <c r="C11" i="4"/>
  <c r="D11" i="4"/>
  <c r="E11" i="4"/>
  <c r="A12" i="4"/>
  <c r="B12" i="4"/>
  <c r="C12" i="4"/>
  <c r="D12" i="4"/>
  <c r="E12" i="4"/>
  <c r="B13" i="4"/>
  <c r="C13" i="4"/>
  <c r="D13" i="4"/>
  <c r="E13" i="4"/>
  <c r="B14" i="4"/>
  <c r="C14" i="4"/>
  <c r="D14" i="4"/>
  <c r="E14" i="4"/>
  <c r="B15" i="4"/>
  <c r="C15" i="4"/>
  <c r="D15" i="4"/>
  <c r="E15" i="4"/>
  <c r="A16" i="4"/>
  <c r="B16" i="4"/>
  <c r="C16" i="4"/>
  <c r="D16" i="4"/>
  <c r="E16" i="4"/>
  <c r="A17" i="4"/>
  <c r="B17" i="4"/>
  <c r="C17" i="4"/>
  <c r="E17" i="4"/>
  <c r="B18" i="4"/>
  <c r="C18" i="4"/>
  <c r="D18" i="4"/>
  <c r="E18" i="4"/>
  <c r="B19" i="4"/>
  <c r="C19" i="4"/>
  <c r="D19" i="4"/>
  <c r="E19" i="4"/>
  <c r="B20" i="4"/>
  <c r="C20" i="4"/>
  <c r="D20" i="4"/>
  <c r="E20" i="4"/>
  <c r="B21" i="4"/>
  <c r="C21" i="4"/>
  <c r="D21" i="4"/>
  <c r="E21" i="4"/>
  <c r="B22" i="4"/>
  <c r="C22" i="4"/>
  <c r="E22" i="4"/>
  <c r="B23" i="4"/>
  <c r="C23" i="4"/>
  <c r="D23" i="4"/>
  <c r="E23" i="4"/>
  <c r="B24" i="4"/>
  <c r="C24" i="4"/>
  <c r="D24" i="4"/>
  <c r="C25" i="4"/>
  <c r="D25" i="4"/>
  <c r="C26" i="4"/>
  <c r="D26" i="4"/>
  <c r="E2" i="4"/>
  <c r="B2" i="4"/>
  <c r="C2" i="4"/>
  <c r="D2" i="4"/>
  <c r="A2" i="4"/>
  <c r="B32" i="3"/>
  <c r="B31" i="3"/>
  <c r="B34" i="3"/>
  <c r="C22" i="3"/>
  <c r="C21" i="3"/>
  <c r="J31" i="3"/>
  <c r="J28" i="3"/>
  <c r="J29" i="3"/>
  <c r="J30" i="3"/>
  <c r="J27" i="3"/>
  <c r="J26" i="3"/>
  <c r="B29" i="3"/>
  <c r="C30" i="3"/>
  <c r="B30" i="3"/>
  <c r="C19" i="3"/>
  <c r="B28" i="3"/>
  <c r="B69" i="1"/>
  <c r="C60" i="1"/>
  <c r="C69" i="1"/>
  <c r="B61" i="1"/>
  <c r="B70" i="1"/>
  <c r="C61" i="1"/>
  <c r="C70" i="1"/>
  <c r="B62" i="1"/>
  <c r="B71" i="1"/>
  <c r="C62" i="1"/>
  <c r="C71" i="1"/>
  <c r="B63" i="1"/>
  <c r="B72" i="1"/>
  <c r="C63" i="1"/>
  <c r="C72" i="1"/>
  <c r="B64" i="1"/>
  <c r="B73" i="1"/>
  <c r="C64" i="1"/>
  <c r="C73" i="1"/>
  <c r="B65" i="1"/>
  <c r="B74" i="1"/>
  <c r="C65" i="1"/>
  <c r="C74" i="1"/>
  <c r="B66" i="1"/>
  <c r="B75" i="1"/>
  <c r="C66" i="1"/>
  <c r="C75" i="1"/>
  <c r="C68" i="1"/>
  <c r="B68" i="1"/>
  <c r="E28" i="3"/>
  <c r="C21" i="1"/>
  <c r="C18" i="3"/>
  <c r="B46" i="3"/>
  <c r="C10" i="3"/>
  <c r="C12" i="3"/>
  <c r="C7" i="3"/>
  <c r="C8" i="3"/>
  <c r="E32" i="3"/>
  <c r="E25" i="3"/>
  <c r="C14" i="3"/>
  <c r="D23" i="3"/>
  <c r="D25" i="3"/>
  <c r="B45" i="3"/>
  <c r="B44" i="3"/>
  <c r="B43" i="3"/>
  <c r="B42" i="3"/>
  <c r="B41" i="3"/>
  <c r="B40" i="3"/>
  <c r="D28" i="3"/>
  <c r="E26" i="3"/>
  <c r="D26" i="3"/>
  <c r="B51" i="1"/>
  <c r="A61" i="1"/>
  <c r="B52" i="1"/>
  <c r="A62" i="1"/>
  <c r="B53" i="1"/>
  <c r="A63" i="1"/>
  <c r="B54" i="1"/>
  <c r="A64" i="1"/>
  <c r="B55" i="1"/>
  <c r="A65" i="1"/>
  <c r="B56" i="1"/>
  <c r="A66" i="1"/>
  <c r="B50" i="1"/>
  <c r="A60" i="1"/>
  <c r="B42" i="1"/>
  <c r="C41" i="1"/>
  <c r="C40" i="1"/>
  <c r="D38" i="1"/>
  <c r="C38" i="1"/>
  <c r="D36" i="1"/>
  <c r="D37" i="1"/>
  <c r="C37" i="1"/>
  <c r="C36" i="1"/>
  <c r="B36" i="1"/>
  <c r="B37" i="1"/>
  <c r="B38" i="1"/>
  <c r="B39" i="1"/>
  <c r="B40" i="1"/>
  <c r="B41" i="1"/>
  <c r="A40" i="1"/>
  <c r="A41" i="1"/>
  <c r="A37" i="1"/>
  <c r="A38" i="1"/>
  <c r="A39" i="1"/>
  <c r="A36" i="1"/>
  <c r="D33" i="1"/>
  <c r="C32" i="1"/>
  <c r="C31" i="1"/>
  <c r="C24" i="1"/>
  <c r="C25" i="1"/>
  <c r="D30" i="1"/>
  <c r="C30" i="1"/>
  <c r="D28" i="1"/>
  <c r="D29" i="1"/>
  <c r="C29" i="1"/>
  <c r="C28" i="1"/>
  <c r="J6" i="1"/>
  <c r="J4" i="1"/>
  <c r="J3" i="1"/>
  <c r="C9" i="1"/>
  <c r="J2" i="1"/>
  <c r="C23" i="1"/>
  <c r="C13" i="1"/>
  <c r="C11" i="1"/>
  <c r="C3" i="1"/>
  <c r="C7" i="1"/>
</calcChain>
</file>

<file path=xl/sharedStrings.xml><?xml version="1.0" encoding="utf-8"?>
<sst xmlns="http://schemas.openxmlformats.org/spreadsheetml/2006/main" count="227" uniqueCount="154">
  <si>
    <t>Symbol</t>
  </si>
  <si>
    <t>Parameter</t>
  </si>
  <si>
    <t>Value</t>
  </si>
  <si>
    <t>Units</t>
  </si>
  <si>
    <t>Source</t>
  </si>
  <si>
    <t>Tau,d</t>
  </si>
  <si>
    <t>Doubling time</t>
  </si>
  <si>
    <t>min</t>
  </si>
  <si>
    <t>Problem Statement</t>
  </si>
  <si>
    <t>K,x</t>
  </si>
  <si>
    <t>Transcription Gain</t>
  </si>
  <si>
    <t>pº</t>
  </si>
  <si>
    <t>characteristic intracellulare enzyme concentration</t>
  </si>
  <si>
    <t>µM</t>
  </si>
  <si>
    <t>Cell volume</t>
  </si>
  <si>
    <t>µm^3</t>
  </si>
  <si>
    <t>Cell weight</t>
  </si>
  <si>
    <t>g</t>
  </si>
  <si>
    <t>% Water</t>
  </si>
  <si>
    <t>%</t>
  </si>
  <si>
    <t>Tau,p-1/2</t>
  </si>
  <si>
    <t>Protein half life</t>
  </si>
  <si>
    <t>hrs</t>
  </si>
  <si>
    <t>Translation initiation time</t>
  </si>
  <si>
    <t>s</t>
  </si>
  <si>
    <t>Characteristic protein length</t>
  </si>
  <si>
    <t>aa</t>
  </si>
  <si>
    <t>Translation saturation coefficint</t>
  </si>
  <si>
    <t>K,Li</t>
  </si>
  <si>
    <t>K,p</t>
  </si>
  <si>
    <t>polysome amplification constant</t>
  </si>
  <si>
    <t>Cell Dry Weight</t>
  </si>
  <si>
    <t>gDW</t>
  </si>
  <si>
    <t>Specific Growth Rate</t>
  </si>
  <si>
    <t>µ</t>
  </si>
  <si>
    <t>min^-1</t>
  </si>
  <si>
    <t>Theta, p</t>
  </si>
  <si>
    <t>Protein degredation time constant</t>
  </si>
  <si>
    <t>hrs^-1</t>
  </si>
  <si>
    <t>Calculated</t>
  </si>
  <si>
    <t>nmol/gDW</t>
  </si>
  <si>
    <t>Translation initiation rate</t>
  </si>
  <si>
    <t>s^-1</t>
  </si>
  <si>
    <t>Protein length</t>
  </si>
  <si>
    <t>Translation elongation rate</t>
  </si>
  <si>
    <t>aa/s</t>
  </si>
  <si>
    <t>https://bionumbers.hms.harvard.edu/bionumber.aspx?id=108487&amp;ver=5&amp;trm=Escherichia+coli+translation+elongation&amp;org=</t>
  </si>
  <si>
    <t>BIOID: 108487 (MG1655)</t>
  </si>
  <si>
    <t>Average translation elongation rate</t>
  </si>
  <si>
    <t>Translation Time Constant</t>
  </si>
  <si>
    <t>From Prelim 1, Question 3 solutions (see Calculating K,x)</t>
  </si>
  <si>
    <t>Ribosome density</t>
  </si>
  <si>
    <t>count/µm^3</t>
  </si>
  <si>
    <t>Ribosomes/cell</t>
  </si>
  <si>
    <t>count/cell</t>
  </si>
  <si>
    <t>BIOID: 108603</t>
  </si>
  <si>
    <t>https://bionumbers.hms.harvard.edu/bionumber.aspx?id=108603&amp;ver=0&amp;trm=Escherichia+coli+ribosome&amp;org=</t>
  </si>
  <si>
    <t>Avogadros's Number</t>
  </si>
  <si>
    <t>counts/mol</t>
  </si>
  <si>
    <t>gDW/µm^3</t>
  </si>
  <si>
    <t>gDW/m^3</t>
  </si>
  <si>
    <t>gDW/L</t>
  </si>
  <si>
    <t>gDW/mL</t>
  </si>
  <si>
    <t>Calculating K,L</t>
  </si>
  <si>
    <t>Specific growth rate</t>
  </si>
  <si>
    <t>Theta,p</t>
  </si>
  <si>
    <t>Protein degredation constant</t>
  </si>
  <si>
    <t>k,eL</t>
  </si>
  <si>
    <t>translation elongation rate</t>
  </si>
  <si>
    <t>Tau,L</t>
  </si>
  <si>
    <t>Translation time constant</t>
  </si>
  <si>
    <t>R,L,tot</t>
  </si>
  <si>
    <t>Ribosome concnetration</t>
  </si>
  <si>
    <t>K,L</t>
  </si>
  <si>
    <t>Translation saturation Coefficient</t>
  </si>
  <si>
    <t>M</t>
  </si>
  <si>
    <t>None</t>
  </si>
  <si>
    <t>Relevant Units</t>
  </si>
  <si>
    <t>µmol/gDW</t>
  </si>
  <si>
    <t>K,X</t>
  </si>
  <si>
    <t>w</t>
  </si>
  <si>
    <t>translational control function</t>
  </si>
  <si>
    <t>U Model</t>
  </si>
  <si>
    <t>I</t>
  </si>
  <si>
    <t>W1</t>
  </si>
  <si>
    <t>W2</t>
  </si>
  <si>
    <t>K</t>
  </si>
  <si>
    <t>n</t>
  </si>
  <si>
    <t>I (µmol/gDW)</t>
  </si>
  <si>
    <t>u</t>
  </si>
  <si>
    <t>p* (Kp=1)</t>
  </si>
  <si>
    <t>p* (Kp&gt;1)</t>
  </si>
  <si>
    <t>Kp</t>
  </si>
  <si>
    <t>Parameters for calculating r,x = K,x * u</t>
  </si>
  <si>
    <t>Parameters for calculating Kx</t>
  </si>
  <si>
    <t>Description</t>
  </si>
  <si>
    <t>e,x</t>
  </si>
  <si>
    <t>elongation rate of polymerase</t>
  </si>
  <si>
    <t>nt/s</t>
  </si>
  <si>
    <t>BIOnumbers: 108490</t>
  </si>
  <si>
    <t>https://bionumbers.hms.harvard.edu/bionumber.aspx?id=108490&amp;ver=4&amp;trm=Escherichia+coli+lacZ+transcription+elongation&amp;org=</t>
  </si>
  <si>
    <t>L,j</t>
  </si>
  <si>
    <t>length of encoding gene</t>
  </si>
  <si>
    <t>nt</t>
  </si>
  <si>
    <t>k,ex</t>
  </si>
  <si>
    <t>transcription elongation rate constant</t>
  </si>
  <si>
    <t>Cell doubling time</t>
  </si>
  <si>
    <t>specific growth rate</t>
  </si>
  <si>
    <t>Tau,1/2</t>
  </si>
  <si>
    <t>mRNA half life</t>
  </si>
  <si>
    <t>Theta</t>
  </si>
  <si>
    <t>mRNA degredation constant</t>
  </si>
  <si>
    <t>R,xt</t>
  </si>
  <si>
    <t>RNAP concentration</t>
  </si>
  <si>
    <t>nM</t>
  </si>
  <si>
    <t>BIOnumbers: 100194</t>
  </si>
  <si>
    <t>https://bionumbers.hms.harvard.edu/bionumber.aspx?id=100194&amp;ver=8&amp;trm=RNAP+concentration+Escherichia+coli&amp;org=</t>
  </si>
  <si>
    <t>Kx</t>
  </si>
  <si>
    <t>transcription saturation constant</t>
  </si>
  <si>
    <t>Tau,x</t>
  </si>
  <si>
    <t>G</t>
  </si>
  <si>
    <t>DNA geneconcentration</t>
  </si>
  <si>
    <t>copies/cell</t>
  </si>
  <si>
    <t>McClure</t>
  </si>
  <si>
    <t>Rx (µmol)</t>
  </si>
  <si>
    <t>Case</t>
  </si>
  <si>
    <t>Slope (µM/sec)</t>
  </si>
  <si>
    <t>Intercept (sec)</t>
  </si>
  <si>
    <t>Tau (s)</t>
  </si>
  <si>
    <t>Kx (µM)</t>
  </si>
  <si>
    <t>D promoter</t>
  </si>
  <si>
    <t>* Use D promoter</t>
  </si>
  <si>
    <t>A2 promoter</t>
  </si>
  <si>
    <t>1/(µ+theta)</t>
  </si>
  <si>
    <t>rx</t>
  </si>
  <si>
    <t>min^1</t>
  </si>
  <si>
    <t>Rx</t>
  </si>
  <si>
    <t>number/mol</t>
  </si>
  <si>
    <t>Taux</t>
  </si>
  <si>
    <t>m* (µmol)</t>
  </si>
  <si>
    <t>data (µmol/gDw)</t>
  </si>
  <si>
    <t>Positive</t>
  </si>
  <si>
    <t>Negative</t>
  </si>
  <si>
    <t>McClure paper</t>
  </si>
  <si>
    <t>Transcription elongation time constant</t>
  </si>
  <si>
    <t>Initiation Time</t>
  </si>
  <si>
    <t>Initiation Rate</t>
  </si>
  <si>
    <t>Dimesionless</t>
  </si>
  <si>
    <t>Kx (nmol/gDW)</t>
  </si>
  <si>
    <t>Cell Volume</t>
  </si>
  <si>
    <t>nmol/cell</t>
  </si>
  <si>
    <t>µm^3/cell</t>
  </si>
  <si>
    <t>Parameters for Calculating Protein Gain Function</t>
  </si>
  <si>
    <t>Parameters for Calculating mRNA Gain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</si>
</sst>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2" fillId="0" borderId="0" xfId="1"/>
    <xf numFmtId="0" fontId="0" fillId="0" borderId="0" xfId="0" applyAlignment="1">
      <alignment horizontal="left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Font="1" applyFill="1"/>
    <xf numFmtId="0" fontId="0" fillId="3" borderId="0" xfId="0" applyFill="1"/>
    <xf numFmtId="0" fontId="1" fillId="0" borderId="0" xfId="0" applyFont="1" applyAlignment="1">
      <alignment horizontal="left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'Part B &amp; C'!$B$59</c:f>
              <c:strCache>
                <c:ptCount val="1"/>
                <c:pt idx="0">
                  <c:v>p* (Kp=1)</c:v>
                </c:pt>
              </c:strCache>
            </c:strRef>
          </c:tx>
          <c:xVal>
            <c:numRef>
              <c:f>'Part B &amp; C'!$A$60:$A$66</c:f>
              <c:numCache>
                <c:formatCode>General</c:formatCode>
                <c:ptCount val="7"/>
                <c:pt idx="0">
                  <c:v>0.208608786541872</c:v>
                </c:pt>
                <c:pt idx="1">
                  <c:v>0.218429217713852</c:v>
                </c:pt>
                <c:pt idx="2">
                  <c:v>0.450424255540679</c:v>
                </c:pt>
                <c:pt idx="3">
                  <c:v>0.705802235121545</c:v>
                </c:pt>
                <c:pt idx="4">
                  <c:v>0.95187011966172</c:v>
                </c:pt>
                <c:pt idx="5">
                  <c:v>0.990254338667366</c:v>
                </c:pt>
                <c:pt idx="6">
                  <c:v>0.994992216110933</c:v>
                </c:pt>
              </c:numCache>
            </c:numRef>
          </c:xVal>
          <c:yVal>
            <c:numRef>
              <c:f>'Part B &amp; C'!$B$60:$B$66</c:f>
              <c:numCache>
                <c:formatCode>General</c:formatCode>
                <c:ptCount val="7"/>
                <c:pt idx="0">
                  <c:v>1.27914867458561E-5</c:v>
                </c:pt>
                <c:pt idx="1">
                  <c:v>1.33936565645744E-5</c:v>
                </c:pt>
                <c:pt idx="2">
                  <c:v>2.76191429434552E-5</c:v>
                </c:pt>
                <c:pt idx="3">
                  <c:v>4.32784260213349E-5</c:v>
                </c:pt>
                <c:pt idx="4">
                  <c:v>5.836683210362E-5</c:v>
                </c:pt>
                <c:pt idx="5">
                  <c:v>6.07204780683943E-5</c:v>
                </c:pt>
                <c:pt idx="6">
                  <c:v>6.10109955366541E-5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5140664"/>
        <c:axId val="-2115876280"/>
      </c:scatterChart>
      <c:valAx>
        <c:axId val="-2115140664"/>
        <c:scaling>
          <c:orientation val="minMax"/>
          <c:max val="1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5876280"/>
        <c:crosses val="autoZero"/>
        <c:crossBetween val="midCat"/>
      </c:valAx>
      <c:valAx>
        <c:axId val="-21158762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p* (µmol/gDW)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51406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'Part B &amp; C'!$B$59</c:f>
              <c:strCache>
                <c:ptCount val="1"/>
                <c:pt idx="0">
                  <c:v>p* (Kp=1)</c:v>
                </c:pt>
              </c:strCache>
            </c:strRef>
          </c:tx>
          <c:xVal>
            <c:numRef>
              <c:f>'Part B &amp; C'!$A$60:$A$66</c:f>
              <c:numCache>
                <c:formatCode>General</c:formatCode>
                <c:ptCount val="7"/>
                <c:pt idx="0">
                  <c:v>0.208608786541872</c:v>
                </c:pt>
                <c:pt idx="1">
                  <c:v>0.218429217713852</c:v>
                </c:pt>
                <c:pt idx="2">
                  <c:v>0.450424255540679</c:v>
                </c:pt>
                <c:pt idx="3">
                  <c:v>0.705802235121545</c:v>
                </c:pt>
                <c:pt idx="4">
                  <c:v>0.95187011966172</c:v>
                </c:pt>
                <c:pt idx="5">
                  <c:v>0.990254338667366</c:v>
                </c:pt>
                <c:pt idx="6">
                  <c:v>0.994992216110933</c:v>
                </c:pt>
              </c:numCache>
            </c:numRef>
          </c:xVal>
          <c:yVal>
            <c:numRef>
              <c:f>'Part B &amp; C'!$B$60:$B$66</c:f>
              <c:numCache>
                <c:formatCode>General</c:formatCode>
                <c:ptCount val="7"/>
                <c:pt idx="0">
                  <c:v>1.27914867458561E-5</c:v>
                </c:pt>
                <c:pt idx="1">
                  <c:v>1.33936565645744E-5</c:v>
                </c:pt>
                <c:pt idx="2">
                  <c:v>2.76191429434552E-5</c:v>
                </c:pt>
                <c:pt idx="3">
                  <c:v>4.32784260213349E-5</c:v>
                </c:pt>
                <c:pt idx="4">
                  <c:v>5.836683210362E-5</c:v>
                </c:pt>
                <c:pt idx="5">
                  <c:v>6.07204780683943E-5</c:v>
                </c:pt>
                <c:pt idx="6">
                  <c:v>6.10109955366541E-5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'Part B &amp; C'!$C$59</c:f>
              <c:strCache>
                <c:ptCount val="1"/>
                <c:pt idx="0">
                  <c:v>p* (Kp&gt;1)</c:v>
                </c:pt>
              </c:strCache>
            </c:strRef>
          </c:tx>
          <c:xVal>
            <c:numRef>
              <c:f>'Part B &amp; C'!$A$60:$A$66</c:f>
              <c:numCache>
                <c:formatCode>General</c:formatCode>
                <c:ptCount val="7"/>
                <c:pt idx="0">
                  <c:v>0.208608786541872</c:v>
                </c:pt>
                <c:pt idx="1">
                  <c:v>0.218429217713852</c:v>
                </c:pt>
                <c:pt idx="2">
                  <c:v>0.450424255540679</c:v>
                </c:pt>
                <c:pt idx="3">
                  <c:v>0.705802235121545</c:v>
                </c:pt>
                <c:pt idx="4">
                  <c:v>0.95187011966172</c:v>
                </c:pt>
                <c:pt idx="5">
                  <c:v>0.990254338667366</c:v>
                </c:pt>
                <c:pt idx="6">
                  <c:v>0.994992216110933</c:v>
                </c:pt>
              </c:numCache>
            </c:numRef>
          </c:xVal>
          <c:yVal>
            <c:numRef>
              <c:f>'Part B &amp; C'!$C$60:$C$66</c:f>
              <c:numCache>
                <c:formatCode>General</c:formatCode>
                <c:ptCount val="7"/>
                <c:pt idx="0">
                  <c:v>2.55829734917122E-5</c:v>
                </c:pt>
                <c:pt idx="1">
                  <c:v>2.67873131291488E-5</c:v>
                </c:pt>
                <c:pt idx="2">
                  <c:v>5.52382858869103E-5</c:v>
                </c:pt>
                <c:pt idx="3">
                  <c:v>8.65568520426698E-5</c:v>
                </c:pt>
                <c:pt idx="4">
                  <c:v>0.00011673366420724</c:v>
                </c:pt>
                <c:pt idx="5">
                  <c:v>0.000121440956136789</c:v>
                </c:pt>
                <c:pt idx="6">
                  <c:v>0.000122021991073308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4588296"/>
        <c:axId val="-2112197608"/>
      </c:scatterChart>
      <c:valAx>
        <c:axId val="-2114588296"/>
        <c:scaling>
          <c:orientation val="minMax"/>
          <c:max val="1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2197608"/>
        <c:crosses val="autoZero"/>
        <c:crossBetween val="midCat"/>
      </c:valAx>
      <c:valAx>
        <c:axId val="-21121976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p* (</a:t>
                </a:r>
                <a:r>
                  <a:rPr lang="en-US"/>
                  <a:t>µmol/gDW)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45882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'Part B &amp; C'!$B$68</c:f>
              <c:strCache>
                <c:ptCount val="1"/>
                <c:pt idx="0">
                  <c:v>p* (Kp=1)</c:v>
                </c:pt>
              </c:strCache>
            </c:strRef>
          </c:tx>
          <c:xVal>
            <c:numRef>
              <c:f>'Part B &amp; C'!$A$69:$A$75</c:f>
              <c:numCache>
                <c:formatCode>General</c:formatCode>
                <c:ptCount val="7"/>
                <c:pt idx="0">
                  <c:v>0.0</c:v>
                </c:pt>
                <c:pt idx="1">
                  <c:v>1.282051282</c:v>
                </c:pt>
                <c:pt idx="2">
                  <c:v>12.82051282</c:v>
                </c:pt>
                <c:pt idx="3">
                  <c:v>30.76923077</c:v>
                </c:pt>
                <c:pt idx="4">
                  <c:v>135.8974359</c:v>
                </c:pt>
                <c:pt idx="5">
                  <c:v>553.8461538</c:v>
                </c:pt>
                <c:pt idx="6">
                  <c:v>2564.102564</c:v>
                </c:pt>
              </c:numCache>
            </c:numRef>
          </c:xVal>
          <c:yVal>
            <c:numRef>
              <c:f>'Part B &amp; C'!$B$69:$B$75</c:f>
              <c:numCache>
                <c:formatCode>General</c:formatCode>
                <c:ptCount val="7"/>
                <c:pt idx="0">
                  <c:v>1.27914867458561E-5</c:v>
                </c:pt>
                <c:pt idx="1">
                  <c:v>1.33936565645744E-5</c:v>
                </c:pt>
                <c:pt idx="2">
                  <c:v>2.76191429434552E-5</c:v>
                </c:pt>
                <c:pt idx="3">
                  <c:v>4.32784260213349E-5</c:v>
                </c:pt>
                <c:pt idx="4">
                  <c:v>5.836683210362E-5</c:v>
                </c:pt>
                <c:pt idx="5">
                  <c:v>6.07204780683943E-5</c:v>
                </c:pt>
                <c:pt idx="6">
                  <c:v>6.10109955366541E-5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'Part B &amp; C'!$C$68</c:f>
              <c:strCache>
                <c:ptCount val="1"/>
                <c:pt idx="0">
                  <c:v>p* (Kp&gt;1)</c:v>
                </c:pt>
              </c:strCache>
            </c:strRef>
          </c:tx>
          <c:xVal>
            <c:numRef>
              <c:f>'Part B &amp; C'!$A$69:$A$75</c:f>
              <c:numCache>
                <c:formatCode>General</c:formatCode>
                <c:ptCount val="7"/>
                <c:pt idx="0">
                  <c:v>0.0</c:v>
                </c:pt>
                <c:pt idx="1">
                  <c:v>1.282051282</c:v>
                </c:pt>
                <c:pt idx="2">
                  <c:v>12.82051282</c:v>
                </c:pt>
                <c:pt idx="3">
                  <c:v>30.76923077</c:v>
                </c:pt>
                <c:pt idx="4">
                  <c:v>135.8974359</c:v>
                </c:pt>
                <c:pt idx="5">
                  <c:v>553.8461538</c:v>
                </c:pt>
                <c:pt idx="6">
                  <c:v>2564.102564</c:v>
                </c:pt>
              </c:numCache>
            </c:numRef>
          </c:xVal>
          <c:yVal>
            <c:numRef>
              <c:f>'Part B &amp; C'!$C$69:$C$75</c:f>
              <c:numCache>
                <c:formatCode>General</c:formatCode>
                <c:ptCount val="7"/>
                <c:pt idx="0">
                  <c:v>2.55829734917122E-5</c:v>
                </c:pt>
                <c:pt idx="1">
                  <c:v>2.67873131291488E-5</c:v>
                </c:pt>
                <c:pt idx="2">
                  <c:v>5.52382858869103E-5</c:v>
                </c:pt>
                <c:pt idx="3">
                  <c:v>8.65568520426698E-5</c:v>
                </c:pt>
                <c:pt idx="4">
                  <c:v>0.00011673366420724</c:v>
                </c:pt>
                <c:pt idx="5">
                  <c:v>0.000121440956136789</c:v>
                </c:pt>
                <c:pt idx="6">
                  <c:v>0.000122021991073308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9454616"/>
        <c:axId val="-2136957352"/>
      </c:scatterChart>
      <c:valAx>
        <c:axId val="-2109454616"/>
        <c:scaling>
          <c:logBase val="10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IPTG (µmol/gDW)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6957352"/>
        <c:crosses val="autoZero"/>
        <c:crossBetween val="midCat"/>
      </c:valAx>
      <c:valAx>
        <c:axId val="-21369573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p*( µmol/gDW)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94546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'Part B &amp; C'!$B$49</c:f>
              <c:strCache>
                <c:ptCount val="1"/>
                <c:pt idx="0">
                  <c:v>u</c:v>
                </c:pt>
              </c:strCache>
            </c:strRef>
          </c:tx>
          <c:xVal>
            <c:numRef>
              <c:f>'Part B &amp; C'!$A$50:$A$56</c:f>
              <c:numCache>
                <c:formatCode>General</c:formatCode>
                <c:ptCount val="7"/>
                <c:pt idx="0">
                  <c:v>0.0</c:v>
                </c:pt>
                <c:pt idx="1">
                  <c:v>1.282051282</c:v>
                </c:pt>
                <c:pt idx="2">
                  <c:v>12.82051282</c:v>
                </c:pt>
                <c:pt idx="3">
                  <c:v>30.76923077</c:v>
                </c:pt>
                <c:pt idx="4">
                  <c:v>135.8974359</c:v>
                </c:pt>
                <c:pt idx="5">
                  <c:v>553.8461538</c:v>
                </c:pt>
                <c:pt idx="6">
                  <c:v>2564.102564</c:v>
                </c:pt>
              </c:numCache>
            </c:numRef>
          </c:xVal>
          <c:yVal>
            <c:numRef>
              <c:f>'Part B &amp; C'!$B$50:$B$56</c:f>
              <c:numCache>
                <c:formatCode>General</c:formatCode>
                <c:ptCount val="7"/>
                <c:pt idx="0">
                  <c:v>0.208608786541872</c:v>
                </c:pt>
                <c:pt idx="1">
                  <c:v>0.218429217713852</c:v>
                </c:pt>
                <c:pt idx="2">
                  <c:v>0.450424255540679</c:v>
                </c:pt>
                <c:pt idx="3">
                  <c:v>0.705802235121545</c:v>
                </c:pt>
                <c:pt idx="4">
                  <c:v>0.95187011966172</c:v>
                </c:pt>
                <c:pt idx="5">
                  <c:v>0.990254338667366</c:v>
                </c:pt>
                <c:pt idx="6">
                  <c:v>0.994992216110933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3448888"/>
        <c:axId val="-2093803464"/>
      </c:scatterChart>
      <c:valAx>
        <c:axId val="-2133448888"/>
        <c:scaling>
          <c:orientation val="minMax"/>
          <c:min val="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ITPG</a:t>
                </a:r>
                <a:r>
                  <a:rPr lang="en-US" baseline="0"/>
                  <a:t> (µmol/gDW)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93803464"/>
        <c:crosses val="autoZero"/>
        <c:crossBetween val="midCat"/>
      </c:valAx>
      <c:valAx>
        <c:axId val="-2093803464"/>
        <c:scaling>
          <c:orientation val="minMax"/>
          <c:max val="1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34488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'Part B &amp; C'!$B$59</c:f>
              <c:strCache>
                <c:ptCount val="1"/>
                <c:pt idx="0">
                  <c:v>p* (Kp=1)</c:v>
                </c:pt>
              </c:strCache>
            </c:strRef>
          </c:tx>
          <c:xVal>
            <c:numRef>
              <c:f>'Part B &amp; C'!$A$50:$A$56</c:f>
              <c:numCache>
                <c:formatCode>General</c:formatCode>
                <c:ptCount val="7"/>
                <c:pt idx="0">
                  <c:v>0.0</c:v>
                </c:pt>
                <c:pt idx="1">
                  <c:v>1.282051282</c:v>
                </c:pt>
                <c:pt idx="2">
                  <c:v>12.82051282</c:v>
                </c:pt>
                <c:pt idx="3">
                  <c:v>30.76923077</c:v>
                </c:pt>
                <c:pt idx="4">
                  <c:v>135.8974359</c:v>
                </c:pt>
                <c:pt idx="5">
                  <c:v>553.8461538</c:v>
                </c:pt>
                <c:pt idx="6">
                  <c:v>2564.102564</c:v>
                </c:pt>
              </c:numCache>
            </c:numRef>
          </c:xVal>
          <c:yVal>
            <c:numRef>
              <c:f>'Part B &amp; C'!$B$60:$B$66</c:f>
              <c:numCache>
                <c:formatCode>General</c:formatCode>
                <c:ptCount val="7"/>
                <c:pt idx="0">
                  <c:v>1.27914867458561E-5</c:v>
                </c:pt>
                <c:pt idx="1">
                  <c:v>1.33936565645744E-5</c:v>
                </c:pt>
                <c:pt idx="2">
                  <c:v>2.76191429434552E-5</c:v>
                </c:pt>
                <c:pt idx="3">
                  <c:v>4.32784260213349E-5</c:v>
                </c:pt>
                <c:pt idx="4">
                  <c:v>5.836683210362E-5</c:v>
                </c:pt>
                <c:pt idx="5">
                  <c:v>6.07204780683943E-5</c:v>
                </c:pt>
                <c:pt idx="6">
                  <c:v>6.10109955366541E-5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3457320"/>
        <c:axId val="-2120156712"/>
      </c:scatterChart>
      <c:valAx>
        <c:axId val="-2133457320"/>
        <c:scaling>
          <c:logBase val="10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IPTG (µmol/gDW)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0156712"/>
        <c:crosses val="autoZero"/>
        <c:crossBetween val="midCat"/>
      </c:valAx>
      <c:valAx>
        <c:axId val="-21201567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p* (µmol/gDW)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34573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'Calculating K,x'!$C$39</c:f>
              <c:strCache>
                <c:ptCount val="1"/>
                <c:pt idx="0">
                  <c:v>m* (µmol)</c:v>
                </c:pt>
              </c:strCache>
            </c:strRef>
          </c:tx>
          <c:xVal>
            <c:numRef>
              <c:f>'Calculating K,x'!$A$40:$A$46</c:f>
              <c:numCache>
                <c:formatCode>General</c:formatCode>
                <c:ptCount val="7"/>
                <c:pt idx="0">
                  <c:v>0.0</c:v>
                </c:pt>
                <c:pt idx="1">
                  <c:v>1.282051282051282</c:v>
                </c:pt>
                <c:pt idx="2">
                  <c:v>12.82051282051282</c:v>
                </c:pt>
                <c:pt idx="3">
                  <c:v>30.76923076923077</c:v>
                </c:pt>
                <c:pt idx="4">
                  <c:v>135.8974358974359</c:v>
                </c:pt>
                <c:pt idx="5">
                  <c:v>553.8461538461538</c:v>
                </c:pt>
                <c:pt idx="6">
                  <c:v>2564.102564102564</c:v>
                </c:pt>
              </c:numCache>
            </c:numRef>
          </c:xVal>
          <c:yVal>
            <c:numRef>
              <c:f>'Calculating K,x'!$C$40:$C$46</c:f>
              <c:numCache>
                <c:formatCode>General</c:formatCode>
                <c:ptCount val="7"/>
                <c:pt idx="0">
                  <c:v>0.00825050895107718</c:v>
                </c:pt>
                <c:pt idx="1">
                  <c:v>0.0086389084841742</c:v>
                </c:pt>
                <c:pt idx="2">
                  <c:v>0.0178143471989381</c:v>
                </c:pt>
                <c:pt idx="3">
                  <c:v>0.0279145847834813</c:v>
                </c:pt>
                <c:pt idx="4">
                  <c:v>0.0376466067067874</c:v>
                </c:pt>
                <c:pt idx="5">
                  <c:v>0.0391647083541408</c:v>
                </c:pt>
                <c:pt idx="6">
                  <c:v>0.0393520921211431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4791848"/>
        <c:axId val="-2093005400"/>
      </c:scatterChart>
      <c:valAx>
        <c:axId val="-2134791848"/>
        <c:scaling>
          <c:orientation val="minMax"/>
          <c:min val="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IPTG concentration (µmol/gDW)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93005400"/>
        <c:crosses val="autoZero"/>
        <c:crossBetween val="midCat"/>
      </c:valAx>
      <c:valAx>
        <c:axId val="-20930054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m* (nmol/gDW)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47918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'Calculating K,x'!$C$39</c:f>
              <c:strCache>
                <c:ptCount val="1"/>
                <c:pt idx="0">
                  <c:v>m* (µmol)</c:v>
                </c:pt>
              </c:strCache>
            </c:strRef>
          </c:tx>
          <c:spPr>
            <a:ln w="9525" cmpd="sng"/>
          </c:spPr>
          <c:marker>
            <c:spPr>
              <a:ln w="9525" cmpd="sng"/>
            </c:spPr>
          </c:marker>
          <c:xVal>
            <c:numRef>
              <c:f>'Calculating K,x'!$A$40:$A$46</c:f>
              <c:numCache>
                <c:formatCode>General</c:formatCode>
                <c:ptCount val="7"/>
                <c:pt idx="0">
                  <c:v>0.0</c:v>
                </c:pt>
                <c:pt idx="1">
                  <c:v>1.282051282051282</c:v>
                </c:pt>
                <c:pt idx="2">
                  <c:v>12.82051282051282</c:v>
                </c:pt>
                <c:pt idx="3">
                  <c:v>30.76923076923077</c:v>
                </c:pt>
                <c:pt idx="4">
                  <c:v>135.8974358974359</c:v>
                </c:pt>
                <c:pt idx="5">
                  <c:v>553.8461538461538</c:v>
                </c:pt>
                <c:pt idx="6">
                  <c:v>2564.102564102564</c:v>
                </c:pt>
              </c:numCache>
            </c:numRef>
          </c:xVal>
          <c:yVal>
            <c:numRef>
              <c:f>'Calculating K,x'!$C$40:$C$46</c:f>
              <c:numCache>
                <c:formatCode>General</c:formatCode>
                <c:ptCount val="7"/>
                <c:pt idx="0">
                  <c:v>0.00825050895107718</c:v>
                </c:pt>
                <c:pt idx="1">
                  <c:v>0.0086389084841742</c:v>
                </c:pt>
                <c:pt idx="2">
                  <c:v>0.0178143471989381</c:v>
                </c:pt>
                <c:pt idx="3">
                  <c:v>0.0279145847834813</c:v>
                </c:pt>
                <c:pt idx="4">
                  <c:v>0.0376466067067874</c:v>
                </c:pt>
                <c:pt idx="5">
                  <c:v>0.0391647083541408</c:v>
                </c:pt>
                <c:pt idx="6">
                  <c:v>0.0393520921211431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'Calculating K,x'!$D$39</c:f>
              <c:strCache>
                <c:ptCount val="1"/>
                <c:pt idx="0">
                  <c:v>data (µmol/gDw)</c:v>
                </c:pt>
              </c:strCache>
            </c:strRef>
          </c:tx>
          <c:spPr>
            <a:ln w="9525" cmpd="sng"/>
          </c:spPr>
          <c:marker>
            <c:spPr>
              <a:ln w="9525" cmpd="sng"/>
            </c:spPr>
          </c:marker>
          <c:errBars>
            <c:errDir val="y"/>
            <c:errBarType val="both"/>
            <c:errValType val="cust"/>
            <c:noEndCap val="1"/>
            <c:plus>
              <c:numRef>
                <c:f>'Calculating K,x'!$E$40:$E$46</c:f>
                <c:numCache>
                  <c:formatCode>General</c:formatCode>
                  <c:ptCount val="7"/>
                  <c:pt idx="0">
                    <c:v>0.000425789200282725</c:v>
                  </c:pt>
                  <c:pt idx="1">
                    <c:v>0.00212894600141362</c:v>
                  </c:pt>
                  <c:pt idx="2">
                    <c:v>0.00127736760084817</c:v>
                  </c:pt>
                  <c:pt idx="3">
                    <c:v>0.00085157840056544</c:v>
                  </c:pt>
                  <c:pt idx="4">
                    <c:v>0.000851578400565454</c:v>
                  </c:pt>
                  <c:pt idx="5">
                    <c:v>0.000851578400565447</c:v>
                  </c:pt>
                  <c:pt idx="6">
                    <c:v>0.000425789200282724</c:v>
                  </c:pt>
                </c:numCache>
              </c:numRef>
            </c:plus>
            <c:minus>
              <c:numRef>
                <c:f>'Calculating K,x'!$F$40:$F$46</c:f>
                <c:numCache>
                  <c:formatCode>General</c:formatCode>
                  <c:ptCount val="7"/>
                  <c:pt idx="0">
                    <c:v>0.000425789200282723</c:v>
                  </c:pt>
                  <c:pt idx="1">
                    <c:v>0.00170315680113089</c:v>
                  </c:pt>
                  <c:pt idx="2">
                    <c:v>0.00170315680113089</c:v>
                  </c:pt>
                  <c:pt idx="3">
                    <c:v>0.000851578400565454</c:v>
                  </c:pt>
                  <c:pt idx="4">
                    <c:v>0.000851578400565447</c:v>
                  </c:pt>
                  <c:pt idx="5">
                    <c:v>0.000851578400565447</c:v>
                  </c:pt>
                  <c:pt idx="6">
                    <c:v>0.000425789200282724</c:v>
                  </c:pt>
                </c:numCache>
              </c:numRef>
            </c:minus>
          </c:errBars>
          <c:xVal>
            <c:numRef>
              <c:f>'Calculating K,x'!$A$40:$A$46</c:f>
              <c:numCache>
                <c:formatCode>General</c:formatCode>
                <c:ptCount val="7"/>
                <c:pt idx="0">
                  <c:v>0.0</c:v>
                </c:pt>
                <c:pt idx="1">
                  <c:v>1.282051282051282</c:v>
                </c:pt>
                <c:pt idx="2">
                  <c:v>12.82051282051282</c:v>
                </c:pt>
                <c:pt idx="3">
                  <c:v>30.76923076923077</c:v>
                </c:pt>
                <c:pt idx="4">
                  <c:v>135.8974358974359</c:v>
                </c:pt>
                <c:pt idx="5">
                  <c:v>553.8461538461538</c:v>
                </c:pt>
                <c:pt idx="6">
                  <c:v>2564.102564102564</c:v>
                </c:pt>
              </c:numCache>
            </c:numRef>
          </c:xVal>
          <c:yVal>
            <c:numRef>
              <c:f>'Calculating K,x'!$D$40:$D$46</c:f>
              <c:numCache>
                <c:formatCode>General</c:formatCode>
                <c:ptCount val="7"/>
                <c:pt idx="0">
                  <c:v>0.00808999480537175</c:v>
                </c:pt>
                <c:pt idx="1">
                  <c:v>0.0089415732059372</c:v>
                </c:pt>
                <c:pt idx="2">
                  <c:v>0.0174573572115917</c:v>
                </c:pt>
                <c:pt idx="3">
                  <c:v>0.0285278764189425</c:v>
                </c:pt>
                <c:pt idx="4">
                  <c:v>0.0366178712243143</c:v>
                </c:pt>
                <c:pt idx="5">
                  <c:v>0.0395983956262933</c:v>
                </c:pt>
                <c:pt idx="6">
                  <c:v>0.0395983956262933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5369160"/>
        <c:axId val="-2134468920"/>
      </c:scatterChart>
      <c:valAx>
        <c:axId val="-2135369160"/>
        <c:scaling>
          <c:logBase val="10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IPTG (µmol/gDW)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4468920"/>
        <c:crosses val="autoZero"/>
        <c:crossBetween val="midCat"/>
      </c:valAx>
      <c:valAx>
        <c:axId val="-21344689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m* (nmol/gDW)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53691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107951</xdr:colOff>
      <xdr:row>51</xdr:row>
      <xdr:rowOff>116416</xdr:rowOff>
    </xdr:from>
    <xdr:to>
      <xdr:col>9</xdr:col>
      <xdr:colOff>543984</xdr:colOff>
      <xdr:row>66</xdr:row>
      <xdr:rowOff>2116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137584</xdr:colOff>
      <xdr:row>67</xdr:row>
      <xdr:rowOff>179917</xdr:rowOff>
    </xdr:from>
    <xdr:to>
      <xdr:col>9</xdr:col>
      <xdr:colOff>573617</xdr:colOff>
      <xdr:row>82</xdr:row>
      <xdr:rowOff>65617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270935</xdr:colOff>
      <xdr:row>69</xdr:row>
      <xdr:rowOff>42333</xdr:rowOff>
    </xdr:from>
    <xdr:to>
      <xdr:col>15</xdr:col>
      <xdr:colOff>694268</xdr:colOff>
      <xdr:row>83</xdr:row>
      <xdr:rowOff>177799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609601</xdr:colOff>
      <xdr:row>30</xdr:row>
      <xdr:rowOff>0</xdr:rowOff>
    </xdr:from>
    <xdr:to>
      <xdr:col>11</xdr:col>
      <xdr:colOff>101600</xdr:colOff>
      <xdr:row>47</xdr:row>
      <xdr:rowOff>160867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52</xdr:row>
      <xdr:rowOff>8466</xdr:rowOff>
    </xdr:from>
    <xdr:to>
      <xdr:col>15</xdr:col>
      <xdr:colOff>423334</xdr:colOff>
      <xdr:row>66</xdr:row>
      <xdr:rowOff>143933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33867</xdr:colOff>
      <xdr:row>47</xdr:row>
      <xdr:rowOff>169334</xdr:rowOff>
    </xdr:from>
    <xdr:to>
      <xdr:col>4</xdr:col>
      <xdr:colOff>1049867</xdr:colOff>
      <xdr:row>62</xdr:row>
      <xdr:rowOff>118534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812800</xdr:colOff>
      <xdr:row>36</xdr:row>
      <xdr:rowOff>50800</xdr:rowOff>
    </xdr:from>
    <xdr:to>
      <xdr:col>14</xdr:col>
      <xdr:colOff>406400</xdr:colOff>
      <xdr:row>51</xdr:row>
      <xdr:rowOff>-1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onumbers.hms.harvard.edu/bionumber.aspx?id=108487&amp;ver=5&amp;trm=Escherichia+coli+translation+elongation&amp;org=" TargetMode="External"/><Relationship Id="rId2" Type="http://schemas.openxmlformats.org/officeDocument/2006/relationships/hyperlink" Target="https://bionumbers.hms.harvard.edu/bionumber.aspx?id=108603&amp;ver=0&amp;trm=Escherichia+coli+ribosome&amp;org=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ionumbers.hms.harvard.edu/bionumber.aspx?id=100194&amp;ver=8&amp;trm=RNAP+concentration+Escherichia+coli&amp;org=" TargetMode="External"/><Relationship Id="rId2" Type="http://schemas.openxmlformats.org/officeDocument/2006/relationships/hyperlink" Target="https://bionumbers.hms.harvard.edu/bionumber.aspx?id=108490&amp;ver=4&amp;trm=Escherichia+coli+lacZ+transcription+elongation&amp;org=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topLeftCell="D45" zoomScale="75" zoomScaleNormal="75" zoomScalePageLayoutView="75" workbookViewId="0">
      <selection activeCell="Q68" sqref="Q68"/>
    </sheetView>
  </sheetViews>
  <sheetFormatPr baseColWidth="10" defaultRowHeight="15" x14ac:dyDescent="0"/>
  <cols>
    <col min="1" max="1" width="14" customWidth="1"/>
    <col min="2" max="2" width="21.1640625" customWidth="1"/>
    <col min="3" max="3" width="13.6640625" bestFit="1" customWidth="1"/>
    <col min="7" max="7" width="11" customWidth="1"/>
    <col min="10" max="10" width="12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G1" s="15"/>
      <c r="H1" s="13"/>
      <c r="J1" t="s">
        <v>57</v>
      </c>
    </row>
    <row r="2" spans="1:11">
      <c r="A2" t="s">
        <v>5</v>
      </c>
      <c r="B2" s="3" t="s">
        <v>6</v>
      </c>
      <c r="C2">
        <v>40</v>
      </c>
      <c r="D2" t="s">
        <v>7</v>
      </c>
      <c r="E2" t="s">
        <v>8</v>
      </c>
      <c r="J2">
        <f>6.022*10^23</f>
        <v>6.0219999999999996E+23</v>
      </c>
      <c r="K2" t="s">
        <v>58</v>
      </c>
    </row>
    <row r="3" spans="1:11">
      <c r="A3" t="s">
        <v>34</v>
      </c>
      <c r="B3" t="s">
        <v>33</v>
      </c>
      <c r="C3">
        <f>(1/C2)*LOG10(2)</f>
        <v>7.5257498915995303E-3</v>
      </c>
      <c r="D3" t="s">
        <v>35</v>
      </c>
      <c r="E3" t="s">
        <v>39</v>
      </c>
      <c r="J3">
        <f>C9/C6</f>
        <v>1.2900000000000001E-13</v>
      </c>
      <c r="K3" t="s">
        <v>59</v>
      </c>
    </row>
    <row r="4" spans="1:11">
      <c r="A4" t="s">
        <v>9</v>
      </c>
      <c r="B4" s="3" t="s">
        <v>10</v>
      </c>
      <c r="C4" s="5">
        <f>'Calculating K,x'!F28</f>
        <v>3.9550150728771598E-2</v>
      </c>
      <c r="D4" t="s">
        <v>40</v>
      </c>
      <c r="E4" t="s">
        <v>50</v>
      </c>
      <c r="J4">
        <f>J3*(10^6)^3</f>
        <v>129000</v>
      </c>
      <c r="K4" t="s">
        <v>60</v>
      </c>
    </row>
    <row r="5" spans="1:11" ht="45">
      <c r="A5" t="s">
        <v>11</v>
      </c>
      <c r="B5" s="3" t="s">
        <v>12</v>
      </c>
      <c r="C5">
        <v>0.3</v>
      </c>
      <c r="D5" t="s">
        <v>13</v>
      </c>
      <c r="E5" t="s">
        <v>8</v>
      </c>
      <c r="J5">
        <f>J4/1000</f>
        <v>129</v>
      </c>
      <c r="K5" t="s">
        <v>61</v>
      </c>
    </row>
    <row r="6" spans="1:11">
      <c r="B6" s="3" t="s">
        <v>14</v>
      </c>
      <c r="C6">
        <v>1</v>
      </c>
      <c r="D6" t="s">
        <v>15</v>
      </c>
      <c r="E6" t="s">
        <v>8</v>
      </c>
      <c r="J6">
        <f>J5/1000</f>
        <v>0.129</v>
      </c>
      <c r="K6" t="s">
        <v>62</v>
      </c>
    </row>
    <row r="7" spans="1:11">
      <c r="B7" s="3" t="s">
        <v>16</v>
      </c>
      <c r="C7">
        <f>4.3*10^-13</f>
        <v>4.2999999999999999E-13</v>
      </c>
      <c r="D7" t="s">
        <v>17</v>
      </c>
      <c r="E7" t="s">
        <v>8</v>
      </c>
    </row>
    <row r="8" spans="1:11">
      <c r="B8" s="3" t="s">
        <v>18</v>
      </c>
      <c r="C8">
        <v>0.7</v>
      </c>
      <c r="D8" t="s">
        <v>19</v>
      </c>
      <c r="E8" t="s">
        <v>8</v>
      </c>
    </row>
    <row r="9" spans="1:11">
      <c r="B9" s="3" t="s">
        <v>31</v>
      </c>
      <c r="C9">
        <f>C7*(1-C8)</f>
        <v>1.2900000000000001E-13</v>
      </c>
      <c r="D9" t="s">
        <v>32</v>
      </c>
    </row>
    <row r="10" spans="1:11">
      <c r="A10" t="s">
        <v>20</v>
      </c>
      <c r="B10" s="3" t="s">
        <v>21</v>
      </c>
      <c r="C10">
        <v>24</v>
      </c>
      <c r="D10" t="s">
        <v>22</v>
      </c>
      <c r="E10" t="s">
        <v>8</v>
      </c>
    </row>
    <row r="11" spans="1:11" ht="30">
      <c r="A11" t="s">
        <v>36</v>
      </c>
      <c r="B11" s="3" t="s">
        <v>37</v>
      </c>
      <c r="C11">
        <f>-(1/C10)*LOG10(0.5)</f>
        <v>1.2542916485999216E-2</v>
      </c>
      <c r="D11" t="s">
        <v>38</v>
      </c>
      <c r="E11" t="s">
        <v>39</v>
      </c>
    </row>
    <row r="12" spans="1:11" ht="30">
      <c r="B12" s="3" t="s">
        <v>23</v>
      </c>
      <c r="C12">
        <v>1.5</v>
      </c>
      <c r="D12" t="s">
        <v>24</v>
      </c>
      <c r="E12" t="s">
        <v>8</v>
      </c>
    </row>
    <row r="13" spans="1:11" ht="30">
      <c r="B13" s="3" t="s">
        <v>41</v>
      </c>
      <c r="C13">
        <f>1/C12</f>
        <v>0.66666666666666663</v>
      </c>
      <c r="D13" t="s">
        <v>42</v>
      </c>
      <c r="E13" t="s">
        <v>39</v>
      </c>
    </row>
    <row r="14" spans="1:11" ht="30">
      <c r="B14" s="3" t="s">
        <v>25</v>
      </c>
      <c r="C14">
        <v>333</v>
      </c>
      <c r="D14" t="s">
        <v>26</v>
      </c>
      <c r="E14" t="s">
        <v>8</v>
      </c>
    </row>
    <row r="15" spans="1:11" ht="30">
      <c r="A15" t="s">
        <v>28</v>
      </c>
      <c r="B15" s="3" t="s">
        <v>27</v>
      </c>
      <c r="C15">
        <v>200</v>
      </c>
      <c r="D15" s="2" t="s">
        <v>13</v>
      </c>
      <c r="E15" t="s">
        <v>8</v>
      </c>
    </row>
    <row r="16" spans="1:11" ht="30">
      <c r="A16" t="s">
        <v>29</v>
      </c>
      <c r="B16" s="3" t="s">
        <v>30</v>
      </c>
      <c r="C16">
        <v>1</v>
      </c>
      <c r="E16" t="s">
        <v>8</v>
      </c>
    </row>
    <row r="17" spans="1:6">
      <c r="B17" s="3" t="s">
        <v>43</v>
      </c>
      <c r="C17">
        <v>300</v>
      </c>
      <c r="D17" t="s">
        <v>26</v>
      </c>
      <c r="E17" t="s">
        <v>8</v>
      </c>
    </row>
    <row r="18" spans="1:6" ht="30">
      <c r="B18" s="3" t="s">
        <v>44</v>
      </c>
      <c r="C18">
        <v>14</v>
      </c>
      <c r="D18" t="s">
        <v>45</v>
      </c>
      <c r="E18" t="s">
        <v>47</v>
      </c>
      <c r="F18" s="6" t="s">
        <v>46</v>
      </c>
    </row>
    <row r="19" spans="1:6" ht="30">
      <c r="B19" s="3" t="s">
        <v>48</v>
      </c>
      <c r="C19">
        <f>C18/C14</f>
        <v>4.2042042042042045E-2</v>
      </c>
      <c r="D19" t="s">
        <v>42</v>
      </c>
      <c r="E19" t="s">
        <v>39</v>
      </c>
    </row>
    <row r="20" spans="1:6" ht="30">
      <c r="B20" s="3" t="s">
        <v>44</v>
      </c>
      <c r="C20">
        <f>C19*C14/C17</f>
        <v>4.6666666666666676E-2</v>
      </c>
      <c r="D20" t="s">
        <v>42</v>
      </c>
      <c r="E20" t="s">
        <v>39</v>
      </c>
    </row>
    <row r="21" spans="1:6" ht="30">
      <c r="B21" s="3" t="s">
        <v>49</v>
      </c>
      <c r="C21">
        <f>C20/C13</f>
        <v>7.0000000000000021E-2</v>
      </c>
      <c r="E21" t="s">
        <v>39</v>
      </c>
    </row>
    <row r="22" spans="1:6">
      <c r="B22" s="3" t="s">
        <v>51</v>
      </c>
      <c r="C22">
        <v>27000</v>
      </c>
      <c r="D22" t="s">
        <v>52</v>
      </c>
      <c r="E22" t="s">
        <v>55</v>
      </c>
      <c r="F22" s="6" t="s">
        <v>56</v>
      </c>
    </row>
    <row r="23" spans="1:6">
      <c r="B23" s="3" t="s">
        <v>53</v>
      </c>
      <c r="C23">
        <f>C22*C6</f>
        <v>27000</v>
      </c>
      <c r="D23" t="s">
        <v>54</v>
      </c>
    </row>
    <row r="24" spans="1:6">
      <c r="C24">
        <f>((C23/J2)/C6)*(10^6)^3/1000</f>
        <v>4.4835602789770844E-5</v>
      </c>
      <c r="D24" t="s">
        <v>75</v>
      </c>
    </row>
    <row r="25" spans="1:6">
      <c r="C25">
        <f>C24*10^6</f>
        <v>44.835602789770846</v>
      </c>
      <c r="D25" s="7" t="s">
        <v>13</v>
      </c>
    </row>
    <row r="27" spans="1:6">
      <c r="A27" s="4" t="s">
        <v>63</v>
      </c>
    </row>
    <row r="28" spans="1:6">
      <c r="A28" t="s">
        <v>34</v>
      </c>
      <c r="B28" s="3" t="s">
        <v>64</v>
      </c>
      <c r="C28">
        <f>C3</f>
        <v>7.5257498915995303E-3</v>
      </c>
      <c r="D28" t="str">
        <f>D3</f>
        <v>min^-1</v>
      </c>
    </row>
    <row r="29" spans="1:6" ht="30">
      <c r="A29" t="s">
        <v>65</v>
      </c>
      <c r="B29" s="3" t="s">
        <v>66</v>
      </c>
      <c r="C29">
        <f>C11</f>
        <v>1.2542916485999216E-2</v>
      </c>
      <c r="D29" t="str">
        <f>D11</f>
        <v>hrs^-1</v>
      </c>
    </row>
    <row r="30" spans="1:6" ht="30">
      <c r="A30" t="s">
        <v>67</v>
      </c>
      <c r="B30" s="3" t="s">
        <v>68</v>
      </c>
      <c r="C30">
        <f>C20</f>
        <v>4.6666666666666676E-2</v>
      </c>
      <c r="D30" t="str">
        <f>D20</f>
        <v>s^-1</v>
      </c>
    </row>
    <row r="31" spans="1:6">
      <c r="A31" t="s">
        <v>71</v>
      </c>
      <c r="B31" s="3" t="s">
        <v>72</v>
      </c>
      <c r="C31">
        <f>C25</f>
        <v>44.835602789770846</v>
      </c>
      <c r="D31" s="7" t="s">
        <v>13</v>
      </c>
    </row>
    <row r="32" spans="1:6" ht="30">
      <c r="A32" t="s">
        <v>69</v>
      </c>
      <c r="B32" s="3" t="s">
        <v>70</v>
      </c>
      <c r="C32">
        <f>C21</f>
        <v>7.0000000000000021E-2</v>
      </c>
      <c r="D32" t="s">
        <v>76</v>
      </c>
    </row>
    <row r="33" spans="1:4" ht="30">
      <c r="A33" t="s">
        <v>73</v>
      </c>
      <c r="B33" s="3" t="s">
        <v>74</v>
      </c>
      <c r="C33">
        <f>C15</f>
        <v>200</v>
      </c>
      <c r="D33" t="str">
        <f>D15</f>
        <v>µM</v>
      </c>
    </row>
    <row r="35" spans="1:4">
      <c r="A35" s="4" t="s">
        <v>77</v>
      </c>
    </row>
    <row r="36" spans="1:4">
      <c r="A36" t="str">
        <f>A28</f>
        <v>µ</v>
      </c>
      <c r="B36" t="str">
        <f>B28</f>
        <v>Specific growth rate</v>
      </c>
      <c r="C36">
        <f>C28*60</f>
        <v>0.45154499349597182</v>
      </c>
      <c r="D36" t="str">
        <f>D37</f>
        <v>hrs^-1</v>
      </c>
    </row>
    <row r="37" spans="1:4">
      <c r="A37" t="str">
        <f t="shared" ref="A37:B41" si="0">A29</f>
        <v>Theta,p</v>
      </c>
      <c r="B37" t="str">
        <f t="shared" si="0"/>
        <v>Protein degredation constant</v>
      </c>
      <c r="C37">
        <f>C29</f>
        <v>1.2542916485999216E-2</v>
      </c>
      <c r="D37" t="str">
        <f>D29</f>
        <v>hrs^-1</v>
      </c>
    </row>
    <row r="38" spans="1:4">
      <c r="A38" t="str">
        <f t="shared" si="0"/>
        <v>k,eL</v>
      </c>
      <c r="B38" t="str">
        <f t="shared" si="0"/>
        <v>translation elongation rate</v>
      </c>
      <c r="C38">
        <f>C30*60*60</f>
        <v>168.00000000000006</v>
      </c>
      <c r="D38" t="str">
        <f>D37</f>
        <v>hrs^-1</v>
      </c>
    </row>
    <row r="39" spans="1:4">
      <c r="A39" t="str">
        <f t="shared" si="0"/>
        <v>R,L,tot</v>
      </c>
      <c r="B39" t="str">
        <f t="shared" si="0"/>
        <v>Ribosome concnetration</v>
      </c>
      <c r="C39">
        <f>C31/J5</f>
        <v>0.34756281232380498</v>
      </c>
      <c r="D39" t="s">
        <v>78</v>
      </c>
    </row>
    <row r="40" spans="1:4">
      <c r="A40" t="str">
        <f t="shared" si="0"/>
        <v>Tau,L</v>
      </c>
      <c r="B40" t="str">
        <f t="shared" si="0"/>
        <v>Translation time constant</v>
      </c>
      <c r="C40">
        <f>C32</f>
        <v>7.0000000000000021E-2</v>
      </c>
    </row>
    <row r="41" spans="1:4">
      <c r="A41" t="str">
        <f t="shared" si="0"/>
        <v>K,L</v>
      </c>
      <c r="B41" t="str">
        <f t="shared" si="0"/>
        <v>Translation saturation Coefficient</v>
      </c>
      <c r="C41">
        <f>C33/J5</f>
        <v>1.5503875968992249</v>
      </c>
      <c r="D41" t="s">
        <v>78</v>
      </c>
    </row>
    <row r="42" spans="1:4">
      <c r="A42" t="s">
        <v>79</v>
      </c>
      <c r="B42" t="str">
        <f>B4</f>
        <v>Transcription Gain</v>
      </c>
      <c r="C42">
        <f>C4*10^-3</f>
        <v>3.9550150728771599E-5</v>
      </c>
      <c r="D42" t="s">
        <v>78</v>
      </c>
    </row>
    <row r="43" spans="1:4">
      <c r="A43" t="s">
        <v>80</v>
      </c>
      <c r="B43" t="s">
        <v>81</v>
      </c>
      <c r="C43">
        <v>1</v>
      </c>
    </row>
    <row r="45" spans="1:4">
      <c r="A45" s="4" t="s">
        <v>82</v>
      </c>
    </row>
    <row r="46" spans="1:4" ht="16" thickBot="1">
      <c r="A46" t="s">
        <v>84</v>
      </c>
      <c r="B46" t="s">
        <v>85</v>
      </c>
      <c r="C46" t="s">
        <v>86</v>
      </c>
      <c r="D46" t="s">
        <v>87</v>
      </c>
    </row>
    <row r="47" spans="1:4" ht="16" thickBot="1">
      <c r="A47" s="10">
        <v>0.26359755200000001</v>
      </c>
      <c r="B47" s="11">
        <v>220.22129760000001</v>
      </c>
      <c r="C47" s="11">
        <v>614.07651310000006</v>
      </c>
      <c r="D47" s="11">
        <v>1.54536081</v>
      </c>
    </row>
    <row r="49" spans="1:3">
      <c r="A49" s="8" t="s">
        <v>88</v>
      </c>
      <c r="B49" t="s">
        <v>89</v>
      </c>
    </row>
    <row r="50" spans="1:3">
      <c r="A50" s="9">
        <v>0</v>
      </c>
      <c r="B50">
        <f>($A$47+$B$47*(A50^$D$47/($C$47^$D$47+A50^$D$47)))/(1+$A$47+$B$47*(A50^$D$47/($C$47^$D$47+A50^$D$47)))</f>
        <v>0.20860878654187201</v>
      </c>
    </row>
    <row r="51" spans="1:3">
      <c r="A51" s="9">
        <v>1.2820512820000001</v>
      </c>
      <c r="B51">
        <f t="shared" ref="B51:B56" si="1">($A$47+$B$47*(A51^$D$47/($C$47^$D$47+A51^$D$47)))/(1+$A$47+$B$47*(A51^$D$47/($C$47^$D$47+A51^$D$47)))</f>
        <v>0.21842921771385154</v>
      </c>
    </row>
    <row r="52" spans="1:3">
      <c r="A52" s="9">
        <v>12.820512819999999</v>
      </c>
      <c r="B52">
        <f t="shared" si="1"/>
        <v>0.45042425554067894</v>
      </c>
    </row>
    <row r="53" spans="1:3">
      <c r="A53" s="9">
        <v>30.76923077</v>
      </c>
      <c r="B53">
        <f t="shared" si="1"/>
        <v>0.70580223512154505</v>
      </c>
    </row>
    <row r="54" spans="1:3">
      <c r="A54" s="9">
        <v>135.8974359</v>
      </c>
      <c r="B54">
        <f t="shared" si="1"/>
        <v>0.95187011966172019</v>
      </c>
    </row>
    <row r="55" spans="1:3">
      <c r="A55" s="9">
        <v>553.84615380000002</v>
      </c>
      <c r="B55">
        <f t="shared" si="1"/>
        <v>0.99025433866736579</v>
      </c>
    </row>
    <row r="56" spans="1:3">
      <c r="A56" s="9">
        <v>2564.1025639999998</v>
      </c>
      <c r="B56">
        <f t="shared" si="1"/>
        <v>0.9949922161109328</v>
      </c>
    </row>
    <row r="57" spans="1:3">
      <c r="C57" t="s">
        <v>92</v>
      </c>
    </row>
    <row r="58" spans="1:3">
      <c r="C58">
        <v>2</v>
      </c>
    </row>
    <row r="59" spans="1:3">
      <c r="A59" t="s">
        <v>89</v>
      </c>
      <c r="B59" t="s">
        <v>90</v>
      </c>
      <c r="C59" t="s">
        <v>91</v>
      </c>
    </row>
    <row r="60" spans="1:3">
      <c r="A60">
        <f t="shared" ref="A60:A66" si="2">B50</f>
        <v>0.20860878654187201</v>
      </c>
      <c r="B60">
        <f>A60*$C$42*$C$41*$C$43</f>
        <v>1.2791486745856089E-5</v>
      </c>
      <c r="C60">
        <f>B60*$C$58</f>
        <v>2.5582973491712179E-5</v>
      </c>
    </row>
    <row r="61" spans="1:3">
      <c r="A61">
        <f t="shared" si="2"/>
        <v>0.21842921771385154</v>
      </c>
      <c r="B61">
        <f t="shared" ref="B61:B66" si="3">A61*$C$42*$C$41*$C$43</f>
        <v>1.3393656564574412E-5</v>
      </c>
      <c r="C61">
        <f t="shared" ref="C61:C66" si="4">B61*$C$58</f>
        <v>2.6787313129148824E-5</v>
      </c>
    </row>
    <row r="62" spans="1:3">
      <c r="A62">
        <f t="shared" si="2"/>
        <v>0.45042425554067894</v>
      </c>
      <c r="B62">
        <f t="shared" si="3"/>
        <v>2.7619142943455176E-5</v>
      </c>
      <c r="C62">
        <f t="shared" si="4"/>
        <v>5.5238285886910352E-5</v>
      </c>
    </row>
    <row r="63" spans="1:3">
      <c r="A63">
        <f t="shared" si="2"/>
        <v>0.70580223512154505</v>
      </c>
      <c r="B63">
        <f t="shared" si="3"/>
        <v>4.3278426021334883E-5</v>
      </c>
      <c r="C63">
        <f t="shared" si="4"/>
        <v>8.6556852042669766E-5</v>
      </c>
    </row>
    <row r="64" spans="1:3">
      <c r="A64">
        <f t="shared" si="2"/>
        <v>0.95187011966172019</v>
      </c>
      <c r="B64">
        <f t="shared" si="3"/>
        <v>5.8366832103619986E-5</v>
      </c>
      <c r="C64">
        <f t="shared" si="4"/>
        <v>1.1673366420723997E-4</v>
      </c>
    </row>
    <row r="65" spans="1:3">
      <c r="A65">
        <f t="shared" si="2"/>
        <v>0.99025433866736579</v>
      </c>
      <c r="B65">
        <f t="shared" si="3"/>
        <v>6.0720478068394355E-5</v>
      </c>
      <c r="C65">
        <f t="shared" si="4"/>
        <v>1.2144095613678871E-4</v>
      </c>
    </row>
    <row r="66" spans="1:3">
      <c r="A66">
        <f t="shared" si="2"/>
        <v>0.9949922161109328</v>
      </c>
      <c r="B66">
        <f t="shared" si="3"/>
        <v>6.1010995536654077E-5</v>
      </c>
      <c r="C66">
        <f t="shared" si="4"/>
        <v>1.2202199107330815E-4</v>
      </c>
    </row>
    <row r="68" spans="1:3">
      <c r="A68" s="8" t="s">
        <v>88</v>
      </c>
      <c r="B68" t="str">
        <f>B59</f>
        <v>p* (Kp=1)</v>
      </c>
      <c r="C68" t="str">
        <f>C59</f>
        <v>p* (Kp&gt;1)</v>
      </c>
    </row>
    <row r="69" spans="1:3">
      <c r="A69" s="9">
        <v>0</v>
      </c>
      <c r="B69">
        <f t="shared" ref="B69:C69" si="5">B60</f>
        <v>1.2791486745856089E-5</v>
      </c>
      <c r="C69">
        <f t="shared" si="5"/>
        <v>2.5582973491712179E-5</v>
      </c>
    </row>
    <row r="70" spans="1:3">
      <c r="A70" s="9">
        <v>1.2820512820000001</v>
      </c>
      <c r="B70">
        <f t="shared" ref="B70:C70" si="6">B61</f>
        <v>1.3393656564574412E-5</v>
      </c>
      <c r="C70">
        <f t="shared" si="6"/>
        <v>2.6787313129148824E-5</v>
      </c>
    </row>
    <row r="71" spans="1:3">
      <c r="A71" s="9">
        <v>12.820512819999999</v>
      </c>
      <c r="B71">
        <f t="shared" ref="B71:C71" si="7">B62</f>
        <v>2.7619142943455176E-5</v>
      </c>
      <c r="C71">
        <f t="shared" si="7"/>
        <v>5.5238285886910352E-5</v>
      </c>
    </row>
    <row r="72" spans="1:3">
      <c r="A72" s="9">
        <v>30.76923077</v>
      </c>
      <c r="B72">
        <f t="shared" ref="B72:C72" si="8">B63</f>
        <v>4.3278426021334883E-5</v>
      </c>
      <c r="C72">
        <f t="shared" si="8"/>
        <v>8.6556852042669766E-5</v>
      </c>
    </row>
    <row r="73" spans="1:3">
      <c r="A73" s="9">
        <v>135.8974359</v>
      </c>
      <c r="B73">
        <f t="shared" ref="B73:C73" si="9">B64</f>
        <v>5.8366832103619986E-5</v>
      </c>
      <c r="C73">
        <f t="shared" si="9"/>
        <v>1.1673366420723997E-4</v>
      </c>
    </row>
    <row r="74" spans="1:3">
      <c r="A74" s="9">
        <v>553.84615380000002</v>
      </c>
      <c r="B74">
        <f t="shared" ref="B74:C74" si="10">B65</f>
        <v>6.0720478068394355E-5</v>
      </c>
      <c r="C74">
        <f t="shared" si="10"/>
        <v>1.2144095613678871E-4</v>
      </c>
    </row>
    <row r="75" spans="1:3">
      <c r="A75" s="9">
        <v>2564.1025639999998</v>
      </c>
      <c r="B75">
        <f t="shared" ref="B75:C75" si="11">B66</f>
        <v>6.1010995536654077E-5</v>
      </c>
      <c r="C75">
        <f t="shared" si="11"/>
        <v>1.2202199107330815E-4</v>
      </c>
    </row>
  </sheetData>
  <hyperlinks>
    <hyperlink ref="F18" r:id="rId1"/>
    <hyperlink ref="F22" r:id="rId2"/>
  </hyperlinks>
  <pageMargins left="0.75" right="0.75" top="1" bottom="1" header="0.5" footer="0.5"/>
  <pageSetup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B5" zoomScale="75" zoomScaleNormal="75" zoomScalePageLayoutView="75" workbookViewId="0">
      <selection activeCell="G49" sqref="G49"/>
    </sheetView>
  </sheetViews>
  <sheetFormatPr baseColWidth="10" defaultRowHeight="15" x14ac:dyDescent="0"/>
  <cols>
    <col min="2" max="2" width="20.6640625" customWidth="1"/>
    <col min="3" max="3" width="13.6640625" bestFit="1" customWidth="1"/>
    <col min="4" max="4" width="12.1640625" bestFit="1" customWidth="1"/>
    <col min="5" max="5" width="22.83203125" customWidth="1"/>
    <col min="6" max="6" width="16.5" customWidth="1"/>
    <col min="7" max="7" width="20.5" customWidth="1"/>
  </cols>
  <sheetData>
    <row r="1" spans="1:7">
      <c r="A1" s="4" t="s">
        <v>93</v>
      </c>
    </row>
    <row r="2" spans="1:7">
      <c r="A2" s="4"/>
    </row>
    <row r="3" spans="1:7">
      <c r="A3" s="4" t="s">
        <v>94</v>
      </c>
    </row>
    <row r="4" spans="1:7">
      <c r="A4" s="4" t="s">
        <v>0</v>
      </c>
      <c r="B4" s="4" t="s">
        <v>95</v>
      </c>
      <c r="C4" s="4" t="s">
        <v>2</v>
      </c>
      <c r="D4" s="4" t="s">
        <v>3</v>
      </c>
      <c r="E4" s="4" t="s">
        <v>4</v>
      </c>
      <c r="G4" s="4"/>
    </row>
    <row r="5" spans="1:7" ht="30">
      <c r="A5" t="s">
        <v>96</v>
      </c>
      <c r="B5" s="3" t="s">
        <v>97</v>
      </c>
      <c r="C5">
        <v>42</v>
      </c>
      <c r="D5" t="s">
        <v>98</v>
      </c>
      <c r="E5" t="s">
        <v>99</v>
      </c>
      <c r="F5" s="6" t="s">
        <v>100</v>
      </c>
    </row>
    <row r="6" spans="1:7" ht="30">
      <c r="A6" s="12" t="s">
        <v>101</v>
      </c>
      <c r="B6" s="3" t="s">
        <v>102</v>
      </c>
      <c r="C6">
        <v>1000</v>
      </c>
      <c r="D6" t="s">
        <v>103</v>
      </c>
      <c r="E6" t="s">
        <v>8</v>
      </c>
    </row>
    <row r="7" spans="1:7">
      <c r="A7" s="12" t="s">
        <v>104</v>
      </c>
      <c r="B7" t="s">
        <v>105</v>
      </c>
      <c r="C7">
        <f>C5/C6</f>
        <v>4.2000000000000003E-2</v>
      </c>
      <c r="D7" t="s">
        <v>42</v>
      </c>
      <c r="E7" t="s">
        <v>39</v>
      </c>
    </row>
    <row r="8" spans="1:7">
      <c r="A8" s="12"/>
      <c r="C8">
        <f>C7*60</f>
        <v>2.52</v>
      </c>
      <c r="D8" t="s">
        <v>35</v>
      </c>
    </row>
    <row r="9" spans="1:7">
      <c r="A9" s="12" t="s">
        <v>5</v>
      </c>
      <c r="B9" s="3" t="s">
        <v>106</v>
      </c>
      <c r="C9">
        <v>40</v>
      </c>
      <c r="D9" t="s">
        <v>7</v>
      </c>
      <c r="E9" t="s">
        <v>8</v>
      </c>
    </row>
    <row r="10" spans="1:7">
      <c r="A10" s="12" t="s">
        <v>34</v>
      </c>
      <c r="B10" s="3" t="s">
        <v>107</v>
      </c>
      <c r="C10">
        <f>(1/C9)*LOG10(2)</f>
        <v>7.5257498915995303E-3</v>
      </c>
      <c r="D10" t="s">
        <v>35</v>
      </c>
      <c r="E10" t="s">
        <v>39</v>
      </c>
    </row>
    <row r="11" spans="1:7">
      <c r="A11" s="12" t="s">
        <v>108</v>
      </c>
      <c r="B11" s="3" t="s">
        <v>109</v>
      </c>
      <c r="C11">
        <v>5</v>
      </c>
      <c r="D11" t="s">
        <v>7</v>
      </c>
      <c r="E11" t="s">
        <v>8</v>
      </c>
    </row>
    <row r="12" spans="1:7" ht="30">
      <c r="A12" s="12" t="s">
        <v>110</v>
      </c>
      <c r="B12" s="3" t="s">
        <v>111</v>
      </c>
      <c r="C12">
        <f>-(1/C11)*LOG10(0.5)</f>
        <v>6.0205999132796242E-2</v>
      </c>
      <c r="D12" t="s">
        <v>35</v>
      </c>
      <c r="E12" t="s">
        <v>39</v>
      </c>
    </row>
    <row r="13" spans="1:7">
      <c r="A13" s="12" t="s">
        <v>112</v>
      </c>
      <c r="B13" s="3" t="s">
        <v>113</v>
      </c>
      <c r="C13" s="13">
        <v>30</v>
      </c>
      <c r="D13" t="s">
        <v>114</v>
      </c>
      <c r="E13" t="s">
        <v>115</v>
      </c>
      <c r="F13" s="6" t="s">
        <v>116</v>
      </c>
    </row>
    <row r="14" spans="1:7">
      <c r="C14">
        <f>C13*10^-3</f>
        <v>0.03</v>
      </c>
      <c r="D14" s="1" t="s">
        <v>13</v>
      </c>
    </row>
    <row r="15" spans="1:7" ht="30">
      <c r="A15" s="12" t="s">
        <v>117</v>
      </c>
      <c r="B15" s="3" t="s">
        <v>118</v>
      </c>
      <c r="C15" s="5">
        <v>3.9729712682873848E-2</v>
      </c>
      <c r="D15" t="s">
        <v>13</v>
      </c>
    </row>
    <row r="16" spans="1:7">
      <c r="C16">
        <f>C15*10^3</f>
        <v>39.729712682873846</v>
      </c>
      <c r="D16" t="s">
        <v>114</v>
      </c>
    </row>
    <row r="17" spans="1:11">
      <c r="A17" s="12"/>
      <c r="B17" s="3" t="s">
        <v>145</v>
      </c>
      <c r="C17" s="13">
        <v>400</v>
      </c>
      <c r="D17" t="s">
        <v>24</v>
      </c>
      <c r="E17" t="s">
        <v>143</v>
      </c>
    </row>
    <row r="18" spans="1:11">
      <c r="A18" s="12"/>
      <c r="B18" s="3" t="s">
        <v>146</v>
      </c>
      <c r="C18" s="13">
        <f>1/C17</f>
        <v>2.5000000000000001E-3</v>
      </c>
      <c r="D18" t="s">
        <v>42</v>
      </c>
    </row>
    <row r="19" spans="1:11" ht="45">
      <c r="A19" s="12" t="s">
        <v>119</v>
      </c>
      <c r="B19" s="3" t="s">
        <v>144</v>
      </c>
      <c r="C19">
        <f>C7/C18</f>
        <v>16.8</v>
      </c>
      <c r="D19" t="s">
        <v>147</v>
      </c>
    </row>
    <row r="20" spans="1:11" ht="30">
      <c r="A20" s="12" t="s">
        <v>120</v>
      </c>
      <c r="B20" s="3" t="s">
        <v>121</v>
      </c>
      <c r="C20">
        <v>2</v>
      </c>
      <c r="D20" t="s">
        <v>122</v>
      </c>
      <c r="E20" t="s">
        <v>8</v>
      </c>
    </row>
    <row r="21" spans="1:11">
      <c r="C21">
        <f>(C20/E32)*10^9</f>
        <v>3.3211557622052481E-15</v>
      </c>
      <c r="D21" t="s">
        <v>150</v>
      </c>
    </row>
    <row r="22" spans="1:11">
      <c r="C22">
        <f>(C21/J31)/J27</f>
        <v>2.5745393505467038E-2</v>
      </c>
      <c r="D22" t="s">
        <v>40</v>
      </c>
    </row>
    <row r="23" spans="1:11">
      <c r="A23" s="4" t="s">
        <v>123</v>
      </c>
      <c r="C23" t="s">
        <v>124</v>
      </c>
      <c r="D23">
        <f>C14</f>
        <v>0.03</v>
      </c>
    </row>
    <row r="24" spans="1:11">
      <c r="A24" t="s">
        <v>125</v>
      </c>
      <c r="B24" t="s">
        <v>126</v>
      </c>
      <c r="C24" t="s">
        <v>127</v>
      </c>
      <c r="D24" t="s">
        <v>128</v>
      </c>
      <c r="E24" t="s">
        <v>129</v>
      </c>
    </row>
    <row r="25" spans="1:11">
      <c r="A25" t="s">
        <v>130</v>
      </c>
      <c r="B25">
        <v>1.04</v>
      </c>
      <c r="C25">
        <v>42</v>
      </c>
      <c r="D25">
        <f>B25/D23+C25</f>
        <v>76.666666666666671</v>
      </c>
      <c r="E25">
        <f>B25*(1/C25)</f>
        <v>2.4761904761904763E-2</v>
      </c>
      <c r="F25" t="s">
        <v>131</v>
      </c>
      <c r="I25" s="16"/>
      <c r="J25" s="16" t="s">
        <v>57</v>
      </c>
      <c r="K25" s="16"/>
    </row>
    <row r="26" spans="1:11">
      <c r="A26" t="s">
        <v>132</v>
      </c>
      <c r="B26">
        <v>0.12</v>
      </c>
      <c r="C26">
        <v>25</v>
      </c>
      <c r="D26">
        <f>B26/D23+C26</f>
        <v>29</v>
      </c>
      <c r="E26">
        <f>B26*(1/C26)</f>
        <v>4.7999999999999996E-3</v>
      </c>
      <c r="G26" s="3"/>
      <c r="I26" s="16"/>
      <c r="J26" s="16">
        <f>6.022*10^23</f>
        <v>6.0219999999999996E+23</v>
      </c>
      <c r="K26" s="16" t="s">
        <v>58</v>
      </c>
    </row>
    <row r="27" spans="1:11">
      <c r="D27" s="14" t="s">
        <v>133</v>
      </c>
      <c r="E27" s="14" t="s">
        <v>134</v>
      </c>
      <c r="F27" s="14" t="s">
        <v>148</v>
      </c>
      <c r="G27" s="3"/>
      <c r="I27" s="16"/>
      <c r="J27" s="16">
        <f>'Part B &amp; C'!J3</f>
        <v>1.2900000000000001E-13</v>
      </c>
      <c r="K27" s="16" t="s">
        <v>59</v>
      </c>
    </row>
    <row r="28" spans="1:11">
      <c r="A28" t="s">
        <v>34</v>
      </c>
      <c r="B28">
        <f>C10</f>
        <v>7.5257498915995303E-3</v>
      </c>
      <c r="C28" t="s">
        <v>35</v>
      </c>
      <c r="D28">
        <f>1/(B28+B29)</f>
        <v>14.764124866166055</v>
      </c>
      <c r="E28">
        <f>(B30*B31*B32)/(B33*B34+(1+B34)*B32)</f>
        <v>2.678800883038181E-3</v>
      </c>
      <c r="F28">
        <f>(1/(B28+B29))*((B30*B31*B32)/(B33*B34+(1+B34)*B32))</f>
        <v>3.9550150728771598E-2</v>
      </c>
      <c r="G28" s="3"/>
      <c r="I28" s="16"/>
      <c r="J28" s="16">
        <f>'Part B &amp; C'!J4</f>
        <v>129000</v>
      </c>
      <c r="K28" s="16" t="s">
        <v>60</v>
      </c>
    </row>
    <row r="29" spans="1:11">
      <c r="A29" t="s">
        <v>110</v>
      </c>
      <c r="B29">
        <f>C12</f>
        <v>6.0205999132796242E-2</v>
      </c>
      <c r="C29" t="s">
        <v>135</v>
      </c>
      <c r="G29" s="3"/>
      <c r="I29" s="16"/>
      <c r="J29" s="16">
        <f>'Part B &amp; C'!J5</f>
        <v>129</v>
      </c>
      <c r="K29" s="16" t="s">
        <v>61</v>
      </c>
    </row>
    <row r="30" spans="1:11">
      <c r="A30" t="s">
        <v>104</v>
      </c>
      <c r="B30">
        <f>C8</f>
        <v>2.52</v>
      </c>
      <c r="C30" t="str">
        <f>C29</f>
        <v>min^1</v>
      </c>
      <c r="I30" s="16"/>
      <c r="J30" s="16">
        <f>'Part B &amp; C'!J6</f>
        <v>0.129</v>
      </c>
      <c r="K30" s="16" t="s">
        <v>62</v>
      </c>
    </row>
    <row r="31" spans="1:11">
      <c r="A31" t="s">
        <v>136</v>
      </c>
      <c r="B31">
        <f>(C13/J29)</f>
        <v>0.23255813953488372</v>
      </c>
      <c r="C31" t="s">
        <v>40</v>
      </c>
      <c r="I31" s="16" t="s">
        <v>149</v>
      </c>
      <c r="J31" s="16">
        <f>'Part B &amp; C'!C6</f>
        <v>1</v>
      </c>
      <c r="K31" s="16" t="s">
        <v>151</v>
      </c>
    </row>
    <row r="32" spans="1:11">
      <c r="A32" t="s">
        <v>120</v>
      </c>
      <c r="B32">
        <f>C22</f>
        <v>2.5745393505467038E-2</v>
      </c>
      <c r="C32" t="s">
        <v>40</v>
      </c>
      <c r="E32">
        <f>6.022*10^23</f>
        <v>6.0219999999999996E+23</v>
      </c>
      <c r="F32" t="s">
        <v>137</v>
      </c>
    </row>
    <row r="33" spans="1:7">
      <c r="A33" t="s">
        <v>9</v>
      </c>
      <c r="B33" s="13">
        <f>(C16/J29)</f>
        <v>0.30798226885948715</v>
      </c>
      <c r="C33" t="s">
        <v>40</v>
      </c>
    </row>
    <row r="34" spans="1:7">
      <c r="A34" t="s">
        <v>138</v>
      </c>
      <c r="B34" s="13">
        <f>C19</f>
        <v>16.8</v>
      </c>
    </row>
    <row r="36" spans="1:7">
      <c r="A36" t="s">
        <v>84</v>
      </c>
      <c r="B36" t="s">
        <v>85</v>
      </c>
      <c r="C36" t="s">
        <v>86</v>
      </c>
      <c r="D36" t="s">
        <v>87</v>
      </c>
    </row>
    <row r="37" spans="1:7">
      <c r="A37">
        <v>0.26359755200000001</v>
      </c>
      <c r="B37">
        <v>220.22129760000001</v>
      </c>
      <c r="C37">
        <v>614.07651310000006</v>
      </c>
      <c r="D37">
        <v>1.54536081</v>
      </c>
    </row>
    <row r="39" spans="1:7">
      <c r="A39" s="8" t="s">
        <v>83</v>
      </c>
      <c r="B39" t="s">
        <v>89</v>
      </c>
      <c r="C39" t="s">
        <v>139</v>
      </c>
      <c r="D39" t="s">
        <v>140</v>
      </c>
      <c r="E39" t="s">
        <v>141</v>
      </c>
      <c r="F39" t="s">
        <v>142</v>
      </c>
    </row>
    <row r="40" spans="1:7">
      <c r="A40">
        <v>0</v>
      </c>
      <c r="B40">
        <f>($A$37+$B$37*(A40^$D$37/($C$37^$D$37+A40^$D$37)))/(1+$A$37+$B$37*(A40^$D$37/($C$37^$D$37+A40^$D$37)))</f>
        <v>0.20860878654187201</v>
      </c>
      <c r="C40">
        <f>B40*$F$28</f>
        <v>8.2505089510771772E-3</v>
      </c>
      <c r="D40">
        <v>8.0899948053717568E-3</v>
      </c>
      <c r="E40">
        <v>4.257892002827255E-4</v>
      </c>
      <c r="F40">
        <v>4.257892002827229E-4</v>
      </c>
      <c r="G40">
        <f>(D40-C40)^2</f>
        <v>2.5764790971540943E-8</v>
      </c>
    </row>
    <row r="41" spans="1:7">
      <c r="A41">
        <v>1.2820512820512822</v>
      </c>
      <c r="B41">
        <f t="shared" ref="B41:B46" si="0">($A$37+$B$37*(A41^$D$37/($C$37^$D$37+A41^$D$37)))/(1+$A$37+$B$37*(A41^$D$37/($C$37^$D$37+A41^$D$37)))</f>
        <v>0.21842921771445106</v>
      </c>
      <c r="C41">
        <f t="shared" ref="C40:C46" si="1">B41*$F$28</f>
        <v>8.6389084841742066E-3</v>
      </c>
      <c r="D41">
        <v>8.9415732059372043E-3</v>
      </c>
      <c r="E41">
        <v>2.1289460014136206E-3</v>
      </c>
      <c r="F41">
        <v>1.7031568011308951E-3</v>
      </c>
      <c r="G41">
        <f t="shared" ref="G41:G46" si="2">(D41-C41)^2</f>
        <v>9.1605933799872801E-8</v>
      </c>
    </row>
    <row r="42" spans="1:7">
      <c r="A42">
        <v>12.820512820512821</v>
      </c>
      <c r="B42">
        <f t="shared" si="0"/>
        <v>0.4504242555510331</v>
      </c>
      <c r="C42">
        <f t="shared" si="1"/>
        <v>1.7814347198938096E-2</v>
      </c>
      <c r="D42">
        <v>1.7457357211591685E-2</v>
      </c>
      <c r="E42">
        <v>1.2773676008481748E-3</v>
      </c>
      <c r="F42">
        <v>1.7031568011308951E-3</v>
      </c>
      <c r="G42">
        <f t="shared" si="2"/>
        <v>1.2744185106559103E-7</v>
      </c>
    </row>
    <row r="43" spans="1:7">
      <c r="A43">
        <v>30.76923076923077</v>
      </c>
      <c r="B43">
        <f t="shared" si="0"/>
        <v>0.70580223511447349</v>
      </c>
      <c r="C43">
        <f t="shared" si="1"/>
        <v>2.7914584783481317E-2</v>
      </c>
      <c r="D43">
        <v>2.8527876418942517E-2</v>
      </c>
      <c r="E43">
        <v>8.515784005654406E-4</v>
      </c>
      <c r="F43">
        <v>8.5157840056545447E-4</v>
      </c>
      <c r="G43">
        <f t="shared" si="2"/>
        <v>3.761266301266728E-7</v>
      </c>
    </row>
    <row r="44" spans="1:7">
      <c r="A44">
        <v>135.89743589743588</v>
      </c>
      <c r="B44">
        <f t="shared" si="0"/>
        <v>0.95187011966051893</v>
      </c>
      <c r="C44">
        <f t="shared" si="1"/>
        <v>3.7646606706787378E-2</v>
      </c>
      <c r="D44">
        <v>3.6617871224314265E-2</v>
      </c>
      <c r="E44">
        <v>8.5157840056545447E-4</v>
      </c>
      <c r="F44">
        <v>8.5157840056544754E-4</v>
      </c>
      <c r="G44">
        <f t="shared" si="2"/>
        <v>1.0582966928991883E-6</v>
      </c>
    </row>
    <row r="45" spans="1:7">
      <c r="A45">
        <v>553.84615384615381</v>
      </c>
      <c r="B45">
        <f t="shared" si="0"/>
        <v>0.99025433866803492</v>
      </c>
      <c r="C45">
        <f t="shared" si="1"/>
        <v>3.916470835414082E-2</v>
      </c>
      <c r="D45">
        <v>3.9598395626293338E-2</v>
      </c>
      <c r="E45">
        <v>8.5157840056544754E-4</v>
      </c>
      <c r="F45">
        <v>8.5157840056544754E-4</v>
      </c>
      <c r="G45">
        <f t="shared" si="2"/>
        <v>1.8808465002709209E-7</v>
      </c>
    </row>
    <row r="46" spans="1:7">
      <c r="A46">
        <v>2564.102564102564</v>
      </c>
      <c r="B46">
        <f t="shared" si="0"/>
        <v>0.99499221611096322</v>
      </c>
      <c r="C46">
        <f t="shared" si="1"/>
        <v>3.935209212114308E-2</v>
      </c>
      <c r="D46">
        <v>3.9598395626293338E-2</v>
      </c>
      <c r="E46">
        <v>4.2578920028272377E-4</v>
      </c>
      <c r="F46">
        <v>4.2578920028272377E-4</v>
      </c>
      <c r="G46">
        <f t="shared" si="2"/>
        <v>6.0665416649303278E-8</v>
      </c>
    </row>
    <row r="47" spans="1:7">
      <c r="G47">
        <f>SUM(G40:G46)</f>
        <v>1.9279859655392612E-6</v>
      </c>
    </row>
    <row r="48" spans="1:7">
      <c r="G48">
        <f>G47*10^6</f>
        <v>1.9279859655392613</v>
      </c>
    </row>
  </sheetData>
  <hyperlinks>
    <hyperlink ref="F13" r:id="rId1"/>
    <hyperlink ref="F5" r:id="rId2"/>
  </hyperlinks>
  <pageMargins left="0.75" right="0.75" top="1" bottom="1" header="0.5" footer="0.5"/>
  <pageSetup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O17" sqref="O17"/>
    </sheetView>
  </sheetViews>
  <sheetFormatPr baseColWidth="10" defaultRowHeight="15" x14ac:dyDescent="0"/>
  <cols>
    <col min="2" max="2" width="22.33203125" customWidth="1"/>
    <col min="11" max="11" width="17.83203125" customWidth="1"/>
  </cols>
  <sheetData>
    <row r="1" spans="1:14">
      <c r="A1" s="4" t="s">
        <v>152</v>
      </c>
      <c r="J1" s="4" t="s">
        <v>153</v>
      </c>
    </row>
    <row r="2" spans="1:14">
      <c r="A2" s="14" t="str">
        <f>'Part B &amp; C'!A1</f>
        <v>Symbol</v>
      </c>
      <c r="B2" s="14" t="str">
        <f>'Part B &amp; C'!B1</f>
        <v>Parameter</v>
      </c>
      <c r="C2" s="14" t="str">
        <f>'Part B &amp; C'!C1</f>
        <v>Value</v>
      </c>
      <c r="D2" s="14" t="str">
        <f>'Part B &amp; C'!D1</f>
        <v>Units</v>
      </c>
      <c r="E2" s="14" t="str">
        <f>'Part B &amp; C'!E1</f>
        <v>Source</v>
      </c>
      <c r="J2" s="17" t="str">
        <f>'Calculating K,x'!A4</f>
        <v>Symbol</v>
      </c>
      <c r="K2" s="17" t="str">
        <f>'Calculating K,x'!B4</f>
        <v>Description</v>
      </c>
      <c r="L2" s="17" t="str">
        <f>'Calculating K,x'!C4</f>
        <v>Value</v>
      </c>
      <c r="M2" s="17" t="str">
        <f>'Calculating K,x'!D4</f>
        <v>Units</v>
      </c>
      <c r="N2" s="17" t="str">
        <f>'Calculating K,x'!E4</f>
        <v>Source</v>
      </c>
    </row>
    <row r="3" spans="1:14" ht="30">
      <c r="A3" t="str">
        <f>'Part B &amp; C'!A2</f>
        <v>Tau,d</v>
      </c>
      <c r="B3" s="3" t="str">
        <f>'Part B &amp; C'!B2</f>
        <v>Doubling time</v>
      </c>
      <c r="C3">
        <f>'Part B &amp; C'!C2</f>
        <v>40</v>
      </c>
      <c r="D3" t="str">
        <f>'Part B &amp; C'!D2</f>
        <v>min</v>
      </c>
      <c r="E3" t="str">
        <f>'Part B &amp; C'!E2</f>
        <v>Problem Statement</v>
      </c>
      <c r="J3" t="str">
        <f>'Calculating K,x'!A5</f>
        <v>e,x</v>
      </c>
      <c r="K3" s="3" t="str">
        <f>'Calculating K,x'!B5</f>
        <v>elongation rate of polymerase</v>
      </c>
      <c r="L3">
        <f>'Calculating K,x'!C5</f>
        <v>42</v>
      </c>
      <c r="M3" t="str">
        <f>'Calculating K,x'!D5</f>
        <v>nt/s</v>
      </c>
      <c r="N3" t="str">
        <f>'Calculating K,x'!E5</f>
        <v>BIOnumbers: 108490</v>
      </c>
    </row>
    <row r="4" spans="1:14" ht="30">
      <c r="A4" t="str">
        <f>'Part B &amp; C'!A3</f>
        <v>µ</v>
      </c>
      <c r="B4" s="3" t="str">
        <f>'Part B &amp; C'!B3</f>
        <v>Specific Growth Rate</v>
      </c>
      <c r="C4">
        <f>'Part B &amp; C'!C3</f>
        <v>7.5257498915995303E-3</v>
      </c>
      <c r="D4" t="str">
        <f>'Part B &amp; C'!D3</f>
        <v>min^-1</v>
      </c>
      <c r="E4" t="str">
        <f>'Part B &amp; C'!E3</f>
        <v>Calculated</v>
      </c>
      <c r="J4" t="str">
        <f>'Calculating K,x'!A6</f>
        <v>L,j</v>
      </c>
      <c r="K4" s="3" t="str">
        <f>'Calculating K,x'!B6</f>
        <v>length of encoding gene</v>
      </c>
      <c r="L4">
        <f>'Calculating K,x'!C6</f>
        <v>1000</v>
      </c>
      <c r="M4" t="str">
        <f>'Calculating K,x'!D6</f>
        <v>nt</v>
      </c>
      <c r="N4" t="str">
        <f>'Calculating K,x'!E6</f>
        <v>Problem Statement</v>
      </c>
    </row>
    <row r="5" spans="1:14" ht="45">
      <c r="A5" t="str">
        <f>'Part B &amp; C'!A4</f>
        <v>K,x</v>
      </c>
      <c r="B5" s="3" t="str">
        <f>'Part B &amp; C'!B4</f>
        <v>Transcription Gain</v>
      </c>
      <c r="C5">
        <f>'Part B &amp; C'!C4</f>
        <v>3.9550150728771598E-2</v>
      </c>
      <c r="D5" t="str">
        <f>'Part B &amp; C'!D4</f>
        <v>nmol/gDW</v>
      </c>
      <c r="E5" t="str">
        <f>'Part B &amp; C'!E4</f>
        <v>From Prelim 1, Question 3 solutions (see Calculating K,x)</v>
      </c>
      <c r="J5" t="str">
        <f>'Calculating K,x'!A7</f>
        <v>k,ex</v>
      </c>
      <c r="K5" s="3" t="str">
        <f>'Calculating K,x'!B7</f>
        <v>transcription elongation rate constant</v>
      </c>
      <c r="L5">
        <f>'Calculating K,x'!C7</f>
        <v>4.2000000000000003E-2</v>
      </c>
      <c r="M5" t="str">
        <f>'Calculating K,x'!D7</f>
        <v>s^-1</v>
      </c>
      <c r="N5" t="str">
        <f>'Calculating K,x'!E7</f>
        <v>Calculated</v>
      </c>
    </row>
    <row r="6" spans="1:14" ht="45">
      <c r="A6" t="str">
        <f>'Part B &amp; C'!A5</f>
        <v>pº</v>
      </c>
      <c r="B6" s="3" t="str">
        <f>'Part B &amp; C'!B5</f>
        <v>characteristic intracellulare enzyme concentration</v>
      </c>
      <c r="C6">
        <f>'Part B &amp; C'!C5</f>
        <v>0.3</v>
      </c>
      <c r="D6" t="str">
        <f>'Part B &amp; C'!D5</f>
        <v>µM</v>
      </c>
      <c r="E6" t="str">
        <f>'Part B &amp; C'!E5</f>
        <v>Problem Statement</v>
      </c>
      <c r="K6" s="3"/>
      <c r="L6">
        <f>'Calculating K,x'!C8</f>
        <v>2.52</v>
      </c>
      <c r="M6" t="str">
        <f>'Calculating K,x'!D8</f>
        <v>min^-1</v>
      </c>
    </row>
    <row r="7" spans="1:14">
      <c r="B7" s="3" t="str">
        <f>'Part B &amp; C'!B6</f>
        <v>Cell volume</v>
      </c>
      <c r="C7">
        <f>'Part B &amp; C'!C6</f>
        <v>1</v>
      </c>
      <c r="D7" t="str">
        <f>'Part B &amp; C'!D6</f>
        <v>µm^3</v>
      </c>
      <c r="E7" t="str">
        <f>'Part B &amp; C'!E6</f>
        <v>Problem Statement</v>
      </c>
      <c r="J7" t="str">
        <f>'Calculating K,x'!A9</f>
        <v>Tau,d</v>
      </c>
      <c r="K7" s="3" t="str">
        <f>'Calculating K,x'!B9</f>
        <v>Cell doubling time</v>
      </c>
      <c r="L7">
        <f>'Calculating K,x'!C9</f>
        <v>40</v>
      </c>
      <c r="M7" t="str">
        <f>'Calculating K,x'!D9</f>
        <v>min</v>
      </c>
      <c r="N7" t="str">
        <f>'Calculating K,x'!E9</f>
        <v>Problem Statement</v>
      </c>
    </row>
    <row r="8" spans="1:14">
      <c r="B8" s="3" t="str">
        <f>'Part B &amp; C'!B7</f>
        <v>Cell weight</v>
      </c>
      <c r="C8">
        <f>'Part B &amp; C'!C7</f>
        <v>4.2999999999999999E-13</v>
      </c>
      <c r="D8" t="str">
        <f>'Part B &amp; C'!D7</f>
        <v>g</v>
      </c>
      <c r="E8" t="str">
        <f>'Part B &amp; C'!E7</f>
        <v>Problem Statement</v>
      </c>
      <c r="J8" t="str">
        <f>'Calculating K,x'!A10</f>
        <v>µ</v>
      </c>
      <c r="K8" s="3" t="str">
        <f>'Calculating K,x'!B10</f>
        <v>specific growth rate</v>
      </c>
      <c r="L8">
        <f>'Calculating K,x'!C10</f>
        <v>7.5257498915995303E-3</v>
      </c>
      <c r="M8" t="str">
        <f>'Calculating K,x'!D10</f>
        <v>min^-1</v>
      </c>
      <c r="N8" t="str">
        <f>'Calculating K,x'!E10</f>
        <v>Calculated</v>
      </c>
    </row>
    <row r="9" spans="1:14">
      <c r="B9" s="3" t="str">
        <f>'Part B &amp; C'!B8</f>
        <v>% Water</v>
      </c>
      <c r="C9">
        <f>'Part B &amp; C'!C8</f>
        <v>0.7</v>
      </c>
      <c r="D9" t="str">
        <f>'Part B &amp; C'!D8</f>
        <v>%</v>
      </c>
      <c r="E9" t="str">
        <f>'Part B &amp; C'!E8</f>
        <v>Problem Statement</v>
      </c>
      <c r="J9" t="str">
        <f>'Calculating K,x'!A11</f>
        <v>Tau,1/2</v>
      </c>
      <c r="K9" s="3" t="str">
        <f>'Calculating K,x'!B11</f>
        <v>mRNA half life</v>
      </c>
      <c r="L9">
        <f>'Calculating K,x'!C11</f>
        <v>5</v>
      </c>
      <c r="M9" t="str">
        <f>'Calculating K,x'!D11</f>
        <v>min</v>
      </c>
      <c r="N9" t="str">
        <f>'Calculating K,x'!E11</f>
        <v>Problem Statement</v>
      </c>
    </row>
    <row r="10" spans="1:14" ht="30">
      <c r="B10" s="3" t="str">
        <f>'Part B &amp; C'!B9</f>
        <v>Cell Dry Weight</v>
      </c>
      <c r="C10">
        <f>'Part B &amp; C'!C9</f>
        <v>1.2900000000000001E-13</v>
      </c>
      <c r="D10" t="str">
        <f>'Part B &amp; C'!D9</f>
        <v>gDW</v>
      </c>
      <c r="E10" t="s">
        <v>39</v>
      </c>
      <c r="J10" t="str">
        <f>'Calculating K,x'!A12</f>
        <v>Theta</v>
      </c>
      <c r="K10" s="3" t="str">
        <f>'Calculating K,x'!B12</f>
        <v>mRNA degredation constant</v>
      </c>
      <c r="L10">
        <f>'Calculating K,x'!C12</f>
        <v>6.0205999132796242E-2</v>
      </c>
      <c r="M10" t="str">
        <f>'Calculating K,x'!D12</f>
        <v>min^-1</v>
      </c>
      <c r="N10" t="str">
        <f>'Calculating K,x'!E12</f>
        <v>Calculated</v>
      </c>
    </row>
    <row r="11" spans="1:14">
      <c r="A11" t="str">
        <f>'Part B &amp; C'!A10</f>
        <v>Tau,p-1/2</v>
      </c>
      <c r="B11" s="3" t="str">
        <f>'Part B &amp; C'!B10</f>
        <v>Protein half life</v>
      </c>
      <c r="C11">
        <f>'Part B &amp; C'!C10</f>
        <v>24</v>
      </c>
      <c r="D11" t="str">
        <f>'Part B &amp; C'!D10</f>
        <v>hrs</v>
      </c>
      <c r="E11" t="str">
        <f>'Part B &amp; C'!E10</f>
        <v>Problem Statement</v>
      </c>
      <c r="J11" t="str">
        <f>'Calculating K,x'!A13</f>
        <v>R,xt</v>
      </c>
      <c r="K11" s="3" t="str">
        <f>'Calculating K,x'!B13</f>
        <v>RNAP concentration</v>
      </c>
      <c r="L11">
        <f>'Calculating K,x'!C13</f>
        <v>30</v>
      </c>
      <c r="M11" t="str">
        <f>'Calculating K,x'!D13</f>
        <v>nM</v>
      </c>
      <c r="N11" t="str">
        <f>'Calculating K,x'!E13</f>
        <v>BIOnumbers: 100194</v>
      </c>
    </row>
    <row r="12" spans="1:14" ht="30">
      <c r="A12" t="str">
        <f>'Part B &amp; C'!A11</f>
        <v>Theta, p</v>
      </c>
      <c r="B12" s="3" t="str">
        <f>'Part B &amp; C'!B11</f>
        <v>Protein degredation time constant</v>
      </c>
      <c r="C12">
        <f>'Part B &amp; C'!C11</f>
        <v>1.2542916485999216E-2</v>
      </c>
      <c r="D12" t="str">
        <f>'Part B &amp; C'!D11</f>
        <v>hrs^-1</v>
      </c>
      <c r="E12" t="str">
        <f>'Part B &amp; C'!E11</f>
        <v>Calculated</v>
      </c>
      <c r="K12" s="3"/>
      <c r="L12">
        <f>'Calculating K,x'!C14</f>
        <v>0.03</v>
      </c>
      <c r="M12" t="str">
        <f>'Calculating K,x'!D14</f>
        <v>µM</v>
      </c>
    </row>
    <row r="13" spans="1:14" ht="30">
      <c r="B13" s="3" t="str">
        <f>'Part B &amp; C'!B12</f>
        <v>Translation initiation time</v>
      </c>
      <c r="C13">
        <f>'Part B &amp; C'!C12</f>
        <v>1.5</v>
      </c>
      <c r="D13" t="str">
        <f>'Part B &amp; C'!D12</f>
        <v>s</v>
      </c>
      <c r="E13" t="str">
        <f>'Part B &amp; C'!E12</f>
        <v>Problem Statement</v>
      </c>
      <c r="J13" t="str">
        <f>'Calculating K,x'!A15</f>
        <v>Kx</v>
      </c>
      <c r="K13" s="3" t="str">
        <f>'Calculating K,x'!B15</f>
        <v>transcription saturation constant</v>
      </c>
      <c r="L13">
        <f>'Calculating K,x'!C15</f>
        <v>3.9729712682873848E-2</v>
      </c>
      <c r="M13" t="str">
        <f>'Calculating K,x'!D15</f>
        <v>µM</v>
      </c>
    </row>
    <row r="14" spans="1:14">
      <c r="B14" s="3" t="str">
        <f>'Part B &amp; C'!B13</f>
        <v>Translation initiation rate</v>
      </c>
      <c r="C14">
        <f>'Part B &amp; C'!C13</f>
        <v>0.66666666666666663</v>
      </c>
      <c r="D14" t="str">
        <f>'Part B &amp; C'!D13</f>
        <v>s^-1</v>
      </c>
      <c r="E14" t="str">
        <f>'Part B &amp; C'!E13</f>
        <v>Calculated</v>
      </c>
      <c r="K14" s="3"/>
      <c r="L14">
        <f>'Calculating K,x'!C16</f>
        <v>39.729712682873846</v>
      </c>
      <c r="M14" t="str">
        <f>'Calculating K,x'!D16</f>
        <v>nM</v>
      </c>
    </row>
    <row r="15" spans="1:14" ht="30">
      <c r="B15" s="3" t="str">
        <f>'Part B &amp; C'!B14</f>
        <v>Characteristic protein length</v>
      </c>
      <c r="C15">
        <f>'Part B &amp; C'!C14</f>
        <v>333</v>
      </c>
      <c r="D15" t="str">
        <f>'Part B &amp; C'!D14</f>
        <v>aa</v>
      </c>
      <c r="E15" t="str">
        <f>'Part B &amp; C'!E14</f>
        <v>Problem Statement</v>
      </c>
      <c r="K15" s="3" t="str">
        <f>'Calculating K,x'!B17</f>
        <v>Initiation Time</v>
      </c>
      <c r="L15">
        <f>'Calculating K,x'!C17</f>
        <v>400</v>
      </c>
      <c r="M15" t="str">
        <f>'Calculating K,x'!D17</f>
        <v>s</v>
      </c>
      <c r="N15" t="str">
        <f>'Calculating K,x'!E17</f>
        <v>McClure paper</v>
      </c>
    </row>
    <row r="16" spans="1:14" ht="30">
      <c r="A16" t="str">
        <f>'Part B &amp; C'!A15</f>
        <v>K,Li</v>
      </c>
      <c r="B16" s="3" t="str">
        <f>'Part B &amp; C'!B15</f>
        <v>Translation saturation coefficint</v>
      </c>
      <c r="C16">
        <f>'Part B &amp; C'!C15</f>
        <v>200</v>
      </c>
      <c r="D16" t="str">
        <f>'Part B &amp; C'!D15</f>
        <v>µM</v>
      </c>
      <c r="E16" t="str">
        <f>'Part B &amp; C'!E15</f>
        <v>Problem Statement</v>
      </c>
      <c r="K16" s="3" t="str">
        <f>'Calculating K,x'!B18</f>
        <v>Initiation Rate</v>
      </c>
      <c r="L16">
        <f>'Calculating K,x'!C18</f>
        <v>2.5000000000000001E-3</v>
      </c>
      <c r="M16" t="str">
        <f>'Calculating K,x'!D18</f>
        <v>s^-1</v>
      </c>
    </row>
    <row r="17" spans="1:14" ht="45">
      <c r="A17" t="str">
        <f>'Part B &amp; C'!A16</f>
        <v>K,p</v>
      </c>
      <c r="B17" s="3" t="str">
        <f>'Part B &amp; C'!B16</f>
        <v>polysome amplification constant</v>
      </c>
      <c r="C17">
        <f>'Part B &amp; C'!C16</f>
        <v>1</v>
      </c>
      <c r="E17" t="str">
        <f>'Part B &amp; C'!E16</f>
        <v>Problem Statement</v>
      </c>
      <c r="J17" t="str">
        <f>'Calculating K,x'!A19</f>
        <v>Tau,x</v>
      </c>
      <c r="K17" s="3" t="str">
        <f>'Calculating K,x'!B19</f>
        <v>Transcription elongation time constant</v>
      </c>
      <c r="L17">
        <f>'Calculating K,x'!C19</f>
        <v>16.8</v>
      </c>
      <c r="M17" t="str">
        <f>'Calculating K,x'!D19</f>
        <v>Dimesionless</v>
      </c>
    </row>
    <row r="18" spans="1:14" ht="30">
      <c r="B18" s="3" t="str">
        <f>'Part B &amp; C'!B17</f>
        <v>Protein length</v>
      </c>
      <c r="C18">
        <f>'Part B &amp; C'!C17</f>
        <v>300</v>
      </c>
      <c r="D18" t="str">
        <f>'Part B &amp; C'!D17</f>
        <v>aa</v>
      </c>
      <c r="E18" t="str">
        <f>'Part B &amp; C'!E17</f>
        <v>Problem Statement</v>
      </c>
      <c r="J18" t="str">
        <f>'Calculating K,x'!A20</f>
        <v>G</v>
      </c>
      <c r="K18" s="3" t="str">
        <f>'Calculating K,x'!B20</f>
        <v>DNA geneconcentration</v>
      </c>
      <c r="L18">
        <f>'Calculating K,x'!C20</f>
        <v>2</v>
      </c>
      <c r="M18" t="str">
        <f>'Calculating K,x'!D20</f>
        <v>copies/cell</v>
      </c>
      <c r="N18" t="str">
        <f>'Calculating K,x'!E20</f>
        <v>Problem Statement</v>
      </c>
    </row>
    <row r="19" spans="1:14" ht="30">
      <c r="B19" s="3" t="str">
        <f>'Part B &amp; C'!B18</f>
        <v>Translation elongation rate</v>
      </c>
      <c r="C19">
        <f>'Part B &amp; C'!C18</f>
        <v>14</v>
      </c>
      <c r="D19" t="str">
        <f>'Part B &amp; C'!D18</f>
        <v>aa/s</v>
      </c>
      <c r="E19" t="str">
        <f>'Part B &amp; C'!E18</f>
        <v>BIOID: 108487 (MG1655)</v>
      </c>
      <c r="L19">
        <f>'Calculating K,x'!C21</f>
        <v>3.3211557622052481E-15</v>
      </c>
      <c r="M19" t="str">
        <f>'Calculating K,x'!D21</f>
        <v>nmol/cell</v>
      </c>
    </row>
    <row r="20" spans="1:14" ht="30">
      <c r="B20" s="3" t="str">
        <f>'Part B &amp; C'!B19</f>
        <v>Average translation elongation rate</v>
      </c>
      <c r="C20">
        <f>'Part B &amp; C'!C19</f>
        <v>4.2042042042042045E-2</v>
      </c>
      <c r="D20" t="str">
        <f>'Part B &amp; C'!D19</f>
        <v>s^-1</v>
      </c>
      <c r="E20" t="str">
        <f>'Part B &amp; C'!E19</f>
        <v>Calculated</v>
      </c>
      <c r="L20">
        <f>'Calculating K,x'!C22</f>
        <v>2.5745393505467038E-2</v>
      </c>
      <c r="M20" t="str">
        <f>'Calculating K,x'!D22</f>
        <v>nmol/gDW</v>
      </c>
    </row>
    <row r="21" spans="1:14" ht="30">
      <c r="B21" s="3" t="str">
        <f>'Part B &amp; C'!B20</f>
        <v>Translation elongation rate</v>
      </c>
      <c r="C21">
        <f>'Part B &amp; C'!C20</f>
        <v>4.6666666666666676E-2</v>
      </c>
      <c r="D21" t="str">
        <f>'Part B &amp; C'!D20</f>
        <v>s^-1</v>
      </c>
      <c r="E21" t="str">
        <f>'Part B &amp; C'!E20</f>
        <v>Calculated</v>
      </c>
    </row>
    <row r="22" spans="1:14" ht="30">
      <c r="B22" s="3" t="str">
        <f>'Part B &amp; C'!B21</f>
        <v>Translation Time Constant</v>
      </c>
      <c r="C22">
        <f>'Part B &amp; C'!C21</f>
        <v>7.0000000000000021E-2</v>
      </c>
      <c r="E22" t="str">
        <f>'Part B &amp; C'!E21</f>
        <v>Calculated</v>
      </c>
    </row>
    <row r="23" spans="1:14">
      <c r="B23" s="3" t="str">
        <f>'Part B &amp; C'!B22</f>
        <v>Ribosome density</v>
      </c>
      <c r="C23">
        <f>'Part B &amp; C'!C22</f>
        <v>27000</v>
      </c>
      <c r="D23" t="str">
        <f>'Part B &amp; C'!D22</f>
        <v>count/µm^3</v>
      </c>
      <c r="E23" t="str">
        <f>'Part B &amp; C'!E22</f>
        <v>BIOID: 108603</v>
      </c>
    </row>
    <row r="24" spans="1:14">
      <c r="B24" s="3" t="str">
        <f>'Part B &amp; C'!B23</f>
        <v>Ribosomes/cell</v>
      </c>
      <c r="C24">
        <f>'Part B &amp; C'!C23</f>
        <v>27000</v>
      </c>
      <c r="D24" t="str">
        <f>'Part B &amp; C'!D23</f>
        <v>count/cell</v>
      </c>
    </row>
    <row r="25" spans="1:14">
      <c r="C25">
        <f>'Part B &amp; C'!C24</f>
        <v>4.4835602789770844E-5</v>
      </c>
      <c r="D25" t="str">
        <f>'Part B &amp; C'!D24</f>
        <v>M</v>
      </c>
    </row>
    <row r="26" spans="1:14">
      <c r="C26">
        <f>'Part B &amp; C'!C25</f>
        <v>44.835602789770846</v>
      </c>
      <c r="D26" t="str">
        <f>'Part B &amp; C'!D25</f>
        <v>µM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B &amp; C</vt:lpstr>
      <vt:lpstr>Calculating K,x</vt:lpstr>
      <vt:lpstr>Parameter Estimates and Sources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Park</dc:creator>
  <cp:lastModifiedBy>Ellen Park</cp:lastModifiedBy>
  <dcterms:created xsi:type="dcterms:W3CDTF">2020-05-18T14:27:05Z</dcterms:created>
  <dcterms:modified xsi:type="dcterms:W3CDTF">2020-05-20T17:27:29Z</dcterms:modified>
</cp:coreProperties>
</file>