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100" yWindow="0" windowWidth="16520" windowHeight="14540" tabRatio="500" firstSheet="2" activeTab="2"/>
  </bookViews>
  <sheets>
    <sheet name="Raw Data" sheetId="1" r:id="rId1"/>
    <sheet name="Part A&amp;B Calculating Parameters" sheetId="2" r:id="rId2"/>
    <sheet name="Part C Measured vs Modeled" sheetId="3" r:id="rId3"/>
  </sheets>
  <definedNames>
    <definedName name="solver_adj" localSheetId="1" hidden="1">'Part A&amp;B Calculating Parameters'!$E$14,'Part A&amp;B Calculating Parameters'!$F$14,'Part A&amp;B Calculating Parameters'!$F$16,'Part A&amp;B Calculating Parameters'!$F$18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'Part A&amp;B Calculating Parameters'!$F$16</definedName>
    <definedName name="solver_lhs2" localSheetId="1" hidden="1">'Part A&amp;B Calculating Parameters'!$F$18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'Part A&amp;B Calculating Parameters'!$F$28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0.000000001</definedName>
    <definedName name="solver_rhs2" localSheetId="1" hidden="1">0.00000001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3" l="1"/>
  <c r="E20" i="3"/>
  <c r="E28" i="3"/>
  <c r="E22" i="2"/>
  <c r="F29" i="3"/>
  <c r="F30" i="3"/>
  <c r="F31" i="3"/>
  <c r="F32" i="3"/>
  <c r="F33" i="3"/>
  <c r="E29" i="3"/>
  <c r="E30" i="3"/>
  <c r="E31" i="3"/>
  <c r="E32" i="3"/>
  <c r="E33" i="3"/>
  <c r="E27" i="3"/>
  <c r="C29" i="3"/>
  <c r="D29" i="3"/>
  <c r="C30" i="3"/>
  <c r="D30" i="3"/>
  <c r="C31" i="3"/>
  <c r="D31" i="3"/>
  <c r="C32" i="3"/>
  <c r="D32" i="3"/>
  <c r="C33" i="3"/>
  <c r="D33" i="3"/>
  <c r="C28" i="3"/>
  <c r="D28" i="3"/>
  <c r="B28" i="3"/>
  <c r="B29" i="3"/>
  <c r="B30" i="3"/>
  <c r="B31" i="3"/>
  <c r="B32" i="3"/>
  <c r="B33" i="3"/>
  <c r="B27" i="3"/>
  <c r="E21" i="3"/>
  <c r="E22" i="3"/>
  <c r="E23" i="3"/>
  <c r="E24" i="3"/>
  <c r="E25" i="3"/>
  <c r="D21" i="3"/>
  <c r="D22" i="3"/>
  <c r="D23" i="3"/>
  <c r="D24" i="3"/>
  <c r="D25" i="3"/>
  <c r="D20" i="3"/>
  <c r="B17" i="3"/>
  <c r="A17" i="3"/>
  <c r="B15" i="3"/>
  <c r="A15" i="3"/>
  <c r="B13" i="3"/>
  <c r="A13" i="3"/>
  <c r="B9" i="3"/>
  <c r="B10" i="3"/>
  <c r="D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F28" i="2"/>
  <c r="A23" i="2"/>
  <c r="A24" i="2"/>
  <c r="A25" i="2"/>
  <c r="A26" i="2"/>
  <c r="A27" i="2"/>
  <c r="A22" i="2"/>
  <c r="A21" i="2"/>
  <c r="C23" i="2"/>
  <c r="C24" i="2"/>
  <c r="C25" i="2"/>
  <c r="C26" i="2"/>
  <c r="C27" i="2"/>
  <c r="C22" i="2"/>
  <c r="B27" i="2"/>
  <c r="B23" i="2"/>
  <c r="B24" i="2"/>
  <c r="B25" i="2"/>
  <c r="B26" i="2"/>
  <c r="B22" i="2"/>
  <c r="B18" i="2"/>
  <c r="B19" i="2"/>
</calcChain>
</file>

<file path=xl/sharedStrings.xml><?xml version="1.0" encoding="utf-8"?>
<sst xmlns="http://schemas.openxmlformats.org/spreadsheetml/2006/main" count="61" uniqueCount="32">
  <si>
    <t>3-5 AMP concentration (mM)</t>
  </si>
  <si>
    <t>Overall Rate (µM/hr)</t>
  </si>
  <si>
    <t>95% confidence of Measured rate</t>
  </si>
  <si>
    <t>kcat</t>
  </si>
  <si>
    <t>E1</t>
  </si>
  <si>
    <t>F6P</t>
  </si>
  <si>
    <t>ATP</t>
  </si>
  <si>
    <t>s-1</t>
  </si>
  <si>
    <t>µM</t>
  </si>
  <si>
    <t>mM</t>
  </si>
  <si>
    <t>K,F6P</t>
  </si>
  <si>
    <t>K,ATP</t>
  </si>
  <si>
    <t>r1 (µM/hr)</t>
  </si>
  <si>
    <t>r1 (µM/s)</t>
  </si>
  <si>
    <t>Overall Rate (µmol/hr)</t>
  </si>
  <si>
    <t>v(…)</t>
  </si>
  <si>
    <t>W1</t>
  </si>
  <si>
    <t>W2</t>
  </si>
  <si>
    <t>K1</t>
  </si>
  <si>
    <t>K2</t>
  </si>
  <si>
    <t>n1</t>
  </si>
  <si>
    <t>n2</t>
  </si>
  <si>
    <t>v(…)*</t>
  </si>
  <si>
    <t>f2</t>
  </si>
  <si>
    <t>(v-v*)^2</t>
  </si>
  <si>
    <t>SUM</t>
  </si>
  <si>
    <t>v(…) model</t>
  </si>
  <si>
    <t>Measured Rate</t>
  </si>
  <si>
    <t>Modeled Rate</t>
  </si>
  <si>
    <t>Min</t>
  </si>
  <si>
    <t>Max</t>
  </si>
  <si>
    <t>Outside of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</si>
</sst>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'Raw Data'!$C$2:$C$7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10.2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plus>
            <c:minus>
              <c:numRef>
                <c:f>'Raw Data'!$C$2:$C$7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10.2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minus>
          </c:errBars>
          <c:xVal>
            <c:numRef>
              <c:f>'Raw Data'!$A$2:$A$7</c:f>
              <c:numCache>
                <c:formatCode>General</c:formatCode>
                <c:ptCount val="6"/>
                <c:pt idx="0">
                  <c:v>0.0</c:v>
                </c:pt>
                <c:pt idx="1">
                  <c:v>0.055</c:v>
                </c:pt>
                <c:pt idx="2">
                  <c:v>0.093</c:v>
                </c:pt>
                <c:pt idx="3">
                  <c:v>0.181</c:v>
                </c:pt>
                <c:pt idx="4">
                  <c:v>0.405</c:v>
                </c:pt>
                <c:pt idx="5">
                  <c:v>0.99</c:v>
                </c:pt>
              </c:numCache>
            </c:numRef>
          </c:xVal>
          <c:yVal>
            <c:numRef>
              <c:f>'Raw Data'!$B$2:$B$7</c:f>
              <c:numCache>
                <c:formatCode>General</c:formatCode>
                <c:ptCount val="6"/>
                <c:pt idx="0">
                  <c:v>3.003</c:v>
                </c:pt>
                <c:pt idx="1">
                  <c:v>6.302</c:v>
                </c:pt>
                <c:pt idx="2">
                  <c:v>29.761</c:v>
                </c:pt>
                <c:pt idx="3">
                  <c:v>52.002</c:v>
                </c:pt>
                <c:pt idx="4">
                  <c:v>60.306</c:v>
                </c:pt>
                <c:pt idx="5">
                  <c:v>68.65300000000001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41960"/>
        <c:axId val="-2131124712"/>
      </c:scatterChart>
      <c:valAx>
        <c:axId val="-2109641960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1124712"/>
        <c:crosses val="autoZero"/>
        <c:crossBetween val="midCat"/>
      </c:valAx>
      <c:valAx>
        <c:axId val="-213112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41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A&amp;B Calculating Parameters'!$C$21</c:f>
              <c:strCache>
                <c:ptCount val="1"/>
                <c:pt idx="0">
                  <c:v>v(…)</c:v>
                </c:pt>
              </c:strCache>
            </c:strRef>
          </c:tx>
          <c:xVal>
            <c:numRef>
              <c:f>'Part A&amp;B Calculating Parameters'!$A$22:$A$27</c:f>
              <c:numCache>
                <c:formatCode>General</c:formatCode>
                <c:ptCount val="6"/>
                <c:pt idx="0">
                  <c:v>0.0</c:v>
                </c:pt>
                <c:pt idx="1">
                  <c:v>0.055</c:v>
                </c:pt>
                <c:pt idx="2">
                  <c:v>0.093</c:v>
                </c:pt>
                <c:pt idx="3">
                  <c:v>0.181</c:v>
                </c:pt>
                <c:pt idx="4">
                  <c:v>0.405</c:v>
                </c:pt>
                <c:pt idx="5">
                  <c:v>0.99</c:v>
                </c:pt>
              </c:numCache>
            </c:numRef>
          </c:xVal>
          <c:yVal>
            <c:numRef>
              <c:f>'Part A&amp;B Calculating Parameters'!$C$22:$C$27</c:f>
              <c:numCache>
                <c:formatCode>General</c:formatCode>
                <c:ptCount val="6"/>
                <c:pt idx="0">
                  <c:v>0.0431590579710145</c:v>
                </c:pt>
                <c:pt idx="1">
                  <c:v>0.0905722222222222</c:v>
                </c:pt>
                <c:pt idx="2">
                  <c:v>0.427724516908212</c:v>
                </c:pt>
                <c:pt idx="3">
                  <c:v>0.747371739130435</c:v>
                </c:pt>
                <c:pt idx="4">
                  <c:v>0.866716666666666</c:v>
                </c:pt>
                <c:pt idx="5">
                  <c:v>0.986679589371981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'Part A&amp;B Calculating Parameters'!$E$21</c:f>
              <c:strCache>
                <c:ptCount val="1"/>
                <c:pt idx="0">
                  <c:v>v(…)*</c:v>
                </c:pt>
              </c:strCache>
            </c:strRef>
          </c:tx>
          <c:xVal>
            <c:numRef>
              <c:f>'Part A&amp;B Calculating Parameters'!$A$22:$A$27</c:f>
              <c:numCache>
                <c:formatCode>General</c:formatCode>
                <c:ptCount val="6"/>
                <c:pt idx="0">
                  <c:v>0.0</c:v>
                </c:pt>
                <c:pt idx="1">
                  <c:v>0.055</c:v>
                </c:pt>
                <c:pt idx="2">
                  <c:v>0.093</c:v>
                </c:pt>
                <c:pt idx="3">
                  <c:v>0.181</c:v>
                </c:pt>
                <c:pt idx="4">
                  <c:v>0.405</c:v>
                </c:pt>
                <c:pt idx="5">
                  <c:v>0.99</c:v>
                </c:pt>
              </c:numCache>
            </c:numRef>
          </c:xVal>
          <c:yVal>
            <c:numRef>
              <c:f>'Part A&amp;B Calculating Parameters'!$E$22:$E$27</c:f>
              <c:numCache>
                <c:formatCode>General</c:formatCode>
                <c:ptCount val="6"/>
                <c:pt idx="0">
                  <c:v>0.0183747901408174</c:v>
                </c:pt>
                <c:pt idx="1">
                  <c:v>0.141752862489685</c:v>
                </c:pt>
                <c:pt idx="2">
                  <c:v>0.387968388075621</c:v>
                </c:pt>
                <c:pt idx="3">
                  <c:v>0.764401370048609</c:v>
                </c:pt>
                <c:pt idx="4">
                  <c:v>0.914873727332572</c:v>
                </c:pt>
                <c:pt idx="5">
                  <c:v>0.934846750736368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11272"/>
        <c:axId val="-2134925848"/>
      </c:scatterChart>
      <c:valAx>
        <c:axId val="-213741127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4925848"/>
        <c:crosses val="autoZero"/>
        <c:crossBetween val="midCat"/>
      </c:valAx>
      <c:valAx>
        <c:axId val="-213492584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41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C Measured vs Modeled'!$B$19</c:f>
              <c:strCache>
                <c:ptCount val="1"/>
                <c:pt idx="0">
                  <c:v>Measured Rate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C Measured vs Modeled'!$C$20:$C$25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10.2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plus>
            <c:minus>
              <c:numRef>
                <c:f>'Part C Measured vs Modeled'!$C$20:$C$25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10.2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minus>
          </c:errBars>
          <c:xVal>
            <c:numRef>
              <c:f>'Part C Measured vs Modeled'!$A$20:$A$25</c:f>
              <c:numCache>
                <c:formatCode>General</c:formatCode>
                <c:ptCount val="6"/>
                <c:pt idx="0">
                  <c:v>0.0</c:v>
                </c:pt>
                <c:pt idx="1">
                  <c:v>0.055</c:v>
                </c:pt>
                <c:pt idx="2">
                  <c:v>0.093</c:v>
                </c:pt>
                <c:pt idx="3">
                  <c:v>0.181</c:v>
                </c:pt>
                <c:pt idx="4">
                  <c:v>0.405</c:v>
                </c:pt>
                <c:pt idx="5">
                  <c:v>0.99</c:v>
                </c:pt>
              </c:numCache>
            </c:numRef>
          </c:xVal>
          <c:yVal>
            <c:numRef>
              <c:f>'Part C Measured vs Modeled'!$B$20:$B$25</c:f>
              <c:numCache>
                <c:formatCode>General</c:formatCode>
                <c:ptCount val="6"/>
                <c:pt idx="0">
                  <c:v>3.003</c:v>
                </c:pt>
                <c:pt idx="1">
                  <c:v>6.302</c:v>
                </c:pt>
                <c:pt idx="2">
                  <c:v>29.761</c:v>
                </c:pt>
                <c:pt idx="3">
                  <c:v>52.002</c:v>
                </c:pt>
                <c:pt idx="4">
                  <c:v>60.306</c:v>
                </c:pt>
                <c:pt idx="5">
                  <c:v>68.65300000000001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'Part C Measured vs Modeled'!$E$19</c:f>
              <c:strCache>
                <c:ptCount val="1"/>
                <c:pt idx="0">
                  <c:v>Modeled Rate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xVal>
            <c:numRef>
              <c:f>'Part C Measured vs Modeled'!$A$20:$A$25</c:f>
              <c:numCache>
                <c:formatCode>General</c:formatCode>
                <c:ptCount val="6"/>
                <c:pt idx="0">
                  <c:v>0.0</c:v>
                </c:pt>
                <c:pt idx="1">
                  <c:v>0.055</c:v>
                </c:pt>
                <c:pt idx="2">
                  <c:v>0.093</c:v>
                </c:pt>
                <c:pt idx="3">
                  <c:v>0.181</c:v>
                </c:pt>
                <c:pt idx="4">
                  <c:v>0.405</c:v>
                </c:pt>
                <c:pt idx="5">
                  <c:v>0.99</c:v>
                </c:pt>
              </c:numCache>
            </c:numRef>
          </c:xVal>
          <c:yVal>
            <c:numRef>
              <c:f>'Part C Measured vs Modeled'!$E$20:$E$25</c:f>
              <c:numCache>
                <c:formatCode>General</c:formatCode>
                <c:ptCount val="6"/>
                <c:pt idx="0">
                  <c:v>1.278514809798053</c:v>
                </c:pt>
                <c:pt idx="1">
                  <c:v>9.86314034802175</c:v>
                </c:pt>
                <c:pt idx="2">
                  <c:v>26.99477523753062</c:v>
                </c:pt>
                <c:pt idx="3">
                  <c:v>53.18691885716374</c:v>
                </c:pt>
                <c:pt idx="4">
                  <c:v>63.65676018751008</c:v>
                </c:pt>
                <c:pt idx="5">
                  <c:v>65.04647979913555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22328"/>
        <c:axId val="-2119427688"/>
      </c:scatterChart>
      <c:valAx>
        <c:axId val="-211942232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3'-5' AMP Concentration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27688"/>
        <c:crosses val="autoZero"/>
        <c:crossBetween val="midCat"/>
      </c:valAx>
      <c:valAx>
        <c:axId val="-211942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(µM/hr)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2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10</xdr:row>
      <xdr:rowOff>76200</xdr:rowOff>
    </xdr:from>
    <xdr:to>
      <xdr:col>5</xdr:col>
      <xdr:colOff>584200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29</xdr:row>
      <xdr:rowOff>38100</xdr:rowOff>
    </xdr:from>
    <xdr:to>
      <xdr:col>5</xdr:col>
      <xdr:colOff>673100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9</xdr:row>
      <xdr:rowOff>177800</xdr:rowOff>
    </xdr:from>
    <xdr:to>
      <xdr:col>14</xdr:col>
      <xdr:colOff>609600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:C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3.0030000000000001</v>
      </c>
      <c r="C2">
        <v>0.59</v>
      </c>
    </row>
    <row r="3" spans="1:3">
      <c r="A3">
        <v>5.5E-2</v>
      </c>
      <c r="B3">
        <v>6.3019999999999996</v>
      </c>
      <c r="C3">
        <v>1.2</v>
      </c>
    </row>
    <row r="4" spans="1:3">
      <c r="A4">
        <v>9.2999999999999999E-2</v>
      </c>
      <c r="B4">
        <v>29.760999999999999</v>
      </c>
      <c r="C4">
        <v>5.7</v>
      </c>
    </row>
    <row r="5" spans="1:3">
      <c r="A5">
        <v>0.18099999999999999</v>
      </c>
      <c r="B5">
        <v>52.002000000000002</v>
      </c>
      <c r="C5">
        <v>10.199999999999999</v>
      </c>
    </row>
    <row r="6" spans="1:3">
      <c r="A6">
        <v>0.40500000000000003</v>
      </c>
      <c r="B6">
        <v>60.305999999999997</v>
      </c>
      <c r="C6">
        <v>11.8</v>
      </c>
    </row>
    <row r="7" spans="1:3">
      <c r="A7">
        <v>0.99</v>
      </c>
      <c r="B7">
        <v>68.653000000000006</v>
      </c>
      <c r="C7">
        <v>13.3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0" workbookViewId="0">
      <selection activeCell="G21" sqref="G21:G28"/>
    </sheetView>
  </sheetViews>
  <sheetFormatPr baseColWidth="10" defaultRowHeight="15" x14ac:dyDescent="0"/>
  <cols>
    <col min="1" max="1" width="15" customWidth="1"/>
    <col min="3" max="3" width="16.6640625" customWidth="1"/>
  </cols>
  <sheetData>
    <row r="1" spans="1:6" ht="45">
      <c r="A1" s="1" t="s">
        <v>0</v>
      </c>
      <c r="B1" s="1" t="s">
        <v>1</v>
      </c>
      <c r="C1" s="1" t="s">
        <v>2</v>
      </c>
      <c r="D1" s="1"/>
    </row>
    <row r="2" spans="1:6">
      <c r="A2">
        <v>0</v>
      </c>
      <c r="B2">
        <v>3.0030000000000001</v>
      </c>
      <c r="C2">
        <v>0.59</v>
      </c>
    </row>
    <row r="3" spans="1:6">
      <c r="A3">
        <v>5.5E-2</v>
      </c>
      <c r="B3">
        <v>6.3019999999999996</v>
      </c>
      <c r="C3">
        <v>1.2</v>
      </c>
    </row>
    <row r="4" spans="1:6">
      <c r="A4">
        <v>9.2999999999999999E-2</v>
      </c>
      <c r="B4">
        <v>29.760999999999999</v>
      </c>
      <c r="C4">
        <v>5.7</v>
      </c>
    </row>
    <row r="5" spans="1:6">
      <c r="A5">
        <v>0.18099999999999999</v>
      </c>
      <c r="B5">
        <v>52.002000000000002</v>
      </c>
      <c r="C5">
        <v>10.199999999999999</v>
      </c>
    </row>
    <row r="6" spans="1:6">
      <c r="A6">
        <v>0.40500000000000003</v>
      </c>
      <c r="B6">
        <v>60.305999999999997</v>
      </c>
      <c r="C6">
        <v>11.8</v>
      </c>
    </row>
    <row r="7" spans="1:6">
      <c r="A7">
        <v>0.99</v>
      </c>
      <c r="B7">
        <v>68.653000000000006</v>
      </c>
      <c r="C7">
        <v>13.3</v>
      </c>
    </row>
    <row r="10" spans="1:6">
      <c r="A10" t="s">
        <v>4</v>
      </c>
      <c r="B10">
        <v>0.12</v>
      </c>
      <c r="C10" t="s">
        <v>8</v>
      </c>
    </row>
    <row r="11" spans="1:6">
      <c r="A11" t="s">
        <v>5</v>
      </c>
      <c r="B11">
        <v>0.1</v>
      </c>
      <c r="C11" t="s">
        <v>9</v>
      </c>
    </row>
    <row r="12" spans="1:6">
      <c r="A12" t="s">
        <v>6</v>
      </c>
      <c r="B12">
        <v>2.2999999999999998</v>
      </c>
      <c r="C12" t="s">
        <v>9</v>
      </c>
    </row>
    <row r="13" spans="1:6">
      <c r="E13" t="s">
        <v>16</v>
      </c>
      <c r="F13" t="s">
        <v>17</v>
      </c>
    </row>
    <row r="14" spans="1:6">
      <c r="A14" t="s">
        <v>3</v>
      </c>
      <c r="B14">
        <v>0.4</v>
      </c>
      <c r="C14" t="s">
        <v>7</v>
      </c>
      <c r="E14">
        <v>1.8718743117297647E-2</v>
      </c>
      <c r="F14">
        <v>14.774288234712504</v>
      </c>
    </row>
    <row r="15" spans="1:6">
      <c r="A15" t="s">
        <v>10</v>
      </c>
      <c r="B15">
        <v>0.11</v>
      </c>
      <c r="C15" t="s">
        <v>9</v>
      </c>
      <c r="E15" t="s">
        <v>18</v>
      </c>
      <c r="F15" t="s">
        <v>19</v>
      </c>
    </row>
    <row r="16" spans="1:6">
      <c r="A16" t="s">
        <v>11</v>
      </c>
      <c r="B16">
        <v>0.42</v>
      </c>
      <c r="C16" t="s">
        <v>9</v>
      </c>
      <c r="E16">
        <v>1</v>
      </c>
      <c r="F16">
        <v>0.28568642601459371</v>
      </c>
    </row>
    <row r="17" spans="1:6">
      <c r="E17" t="s">
        <v>20</v>
      </c>
      <c r="F17" t="s">
        <v>21</v>
      </c>
    </row>
    <row r="18" spans="1:6">
      <c r="A18" t="s">
        <v>13</v>
      </c>
      <c r="B18">
        <f>B14*B10*(B11/(B15+B11))*(B12/(B16+B12))</f>
        <v>1.9327731092436976E-2</v>
      </c>
      <c r="E18">
        <v>1</v>
      </c>
      <c r="F18">
        <v>2.7944446029061756</v>
      </c>
    </row>
    <row r="19" spans="1:6">
      <c r="A19" t="s">
        <v>12</v>
      </c>
      <c r="B19">
        <f>B18*60*60</f>
        <v>69.579831932773118</v>
      </c>
    </row>
    <row r="21" spans="1:6" ht="45">
      <c r="A21" s="1" t="str">
        <f>A1</f>
        <v>3-5 AMP concentration (mM)</v>
      </c>
      <c r="B21" s="1" t="s">
        <v>14</v>
      </c>
      <c r="C21" t="s">
        <v>15</v>
      </c>
      <c r="D21" t="s">
        <v>23</v>
      </c>
      <c r="E21" t="s">
        <v>22</v>
      </c>
      <c r="F21" t="s">
        <v>24</v>
      </c>
    </row>
    <row r="22" spans="1:6">
      <c r="A22">
        <f>A2</f>
        <v>0</v>
      </c>
      <c r="B22" s="1">
        <f t="shared" ref="B22:B27" si="0">B2</f>
        <v>3.0030000000000001</v>
      </c>
      <c r="C22">
        <f>B22/$B$19</f>
        <v>4.3159057971014492E-2</v>
      </c>
      <c r="D22">
        <f t="shared" ref="D22:D27" si="1">((A22/$F$16)^$F$18)/(1+(A22/$F$16)^$F$18)</f>
        <v>0</v>
      </c>
      <c r="E22">
        <f>($E$14+$F$14*D22)/(1+$E$14+$F$14*D22)</f>
        <v>1.8374790140817429E-2</v>
      </c>
      <c r="F22">
        <f>(C22-E22)^2</f>
        <v>6.1425993187894101E-4</v>
      </c>
    </row>
    <row r="23" spans="1:6">
      <c r="A23">
        <f t="shared" ref="A23:A27" si="2">A3</f>
        <v>5.5E-2</v>
      </c>
      <c r="B23" s="1">
        <f t="shared" si="0"/>
        <v>6.3019999999999996</v>
      </c>
      <c r="C23">
        <f t="shared" ref="C23:C27" si="3">B23/$B$19</f>
        <v>9.0572222222222207E-2</v>
      </c>
      <c r="D23">
        <f t="shared" si="1"/>
        <v>9.9122750870429214E-3</v>
      </c>
      <c r="E23">
        <f t="shared" ref="E22:E27" si="4">($E$14+$F$14*D23)/(1+$E$14+$F$14*D23)</f>
        <v>0.14175286248968455</v>
      </c>
      <c r="F23">
        <f t="shared" ref="F23:F27" si="5">(C23-E23)^2</f>
        <v>2.619457938187388E-3</v>
      </c>
    </row>
    <row r="24" spans="1:6">
      <c r="A24">
        <f t="shared" si="2"/>
        <v>9.2999999999999999E-2</v>
      </c>
      <c r="B24" s="1">
        <f t="shared" si="0"/>
        <v>29.760999999999999</v>
      </c>
      <c r="C24">
        <f t="shared" si="3"/>
        <v>0.4277245169082125</v>
      </c>
      <c r="D24">
        <f t="shared" si="1"/>
        <v>4.1638810511665181E-2</v>
      </c>
      <c r="E24">
        <f t="shared" si="4"/>
        <v>0.38796838807562117</v>
      </c>
      <c r="F24">
        <f t="shared" si="5"/>
        <v>1.5805497797535997E-3</v>
      </c>
    </row>
    <row r="25" spans="1:6">
      <c r="A25">
        <f t="shared" si="2"/>
        <v>0.18099999999999999</v>
      </c>
      <c r="B25" s="1">
        <f t="shared" si="0"/>
        <v>52.002000000000002</v>
      </c>
      <c r="C25">
        <f t="shared" si="3"/>
        <v>0.74737173913043475</v>
      </c>
      <c r="D25">
        <f t="shared" si="1"/>
        <v>0.21833797075309475</v>
      </c>
      <c r="E25">
        <f t="shared" si="4"/>
        <v>0.7644013700486092</v>
      </c>
      <c r="F25">
        <f t="shared" si="5"/>
        <v>2.9000832920924295E-4</v>
      </c>
    </row>
    <row r="26" spans="1:6">
      <c r="A26">
        <f t="shared" si="2"/>
        <v>0.40500000000000003</v>
      </c>
      <c r="B26" s="1">
        <f t="shared" si="0"/>
        <v>60.305999999999997</v>
      </c>
      <c r="C26">
        <f t="shared" si="3"/>
        <v>0.86671666666666647</v>
      </c>
      <c r="D26">
        <f t="shared" si="1"/>
        <v>0.7261626217048186</v>
      </c>
      <c r="E26">
        <f t="shared" si="4"/>
        <v>0.91487372733257233</v>
      </c>
      <c r="F26">
        <f t="shared" si="5"/>
        <v>2.3191024919797373E-3</v>
      </c>
    </row>
    <row r="27" spans="1:6">
      <c r="A27">
        <f t="shared" si="2"/>
        <v>0.99</v>
      </c>
      <c r="B27" s="1">
        <f t="shared" si="0"/>
        <v>68.653000000000006</v>
      </c>
      <c r="C27">
        <f t="shared" si="3"/>
        <v>0.98667958937198064</v>
      </c>
      <c r="D27">
        <f t="shared" si="1"/>
        <v>0.96990864909890051</v>
      </c>
      <c r="E27">
        <f t="shared" si="4"/>
        <v>0.93484675073636836</v>
      </c>
      <c r="F27">
        <f t="shared" si="5"/>
        <v>2.6866431610254207E-3</v>
      </c>
    </row>
    <row r="28" spans="1:6">
      <c r="E28" s="2" t="s">
        <v>25</v>
      </c>
      <c r="F28">
        <f>SUM(F22:F27)</f>
        <v>1.011002163203433E-2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5" workbookViewId="0">
      <selection activeCell="F29" sqref="F29"/>
    </sheetView>
  </sheetViews>
  <sheetFormatPr baseColWidth="10" defaultRowHeight="15" x14ac:dyDescent="0"/>
  <sheetData>
    <row r="1" spans="1:3">
      <c r="A1" t="s">
        <v>4</v>
      </c>
      <c r="B1">
        <v>0.12</v>
      </c>
      <c r="C1" t="s">
        <v>8</v>
      </c>
    </row>
    <row r="2" spans="1:3">
      <c r="A2" t="s">
        <v>5</v>
      </c>
      <c r="B2">
        <v>0.1</v>
      </c>
      <c r="C2" t="s">
        <v>9</v>
      </c>
    </row>
    <row r="3" spans="1:3">
      <c r="A3" t="s">
        <v>6</v>
      </c>
      <c r="B3">
        <v>2.2999999999999998</v>
      </c>
      <c r="C3" t="s">
        <v>9</v>
      </c>
    </row>
    <row r="5" spans="1:3">
      <c r="A5" t="s">
        <v>3</v>
      </c>
      <c r="B5">
        <v>0.4</v>
      </c>
      <c r="C5" t="s">
        <v>7</v>
      </c>
    </row>
    <row r="6" spans="1:3">
      <c r="A6" t="s">
        <v>10</v>
      </c>
      <c r="B6">
        <v>0.11</v>
      </c>
      <c r="C6" t="s">
        <v>9</v>
      </c>
    </row>
    <row r="7" spans="1:3">
      <c r="A7" t="s">
        <v>11</v>
      </c>
      <c r="B7">
        <v>0.42</v>
      </c>
      <c r="C7" t="s">
        <v>9</v>
      </c>
    </row>
    <row r="9" spans="1:3">
      <c r="A9" t="s">
        <v>13</v>
      </c>
      <c r="B9">
        <f>B5*B1*(B2/(B6+B2))*(B3/(B7+B3))</f>
        <v>1.9327731092436976E-2</v>
      </c>
    </row>
    <row r="10" spans="1:3">
      <c r="A10" t="s">
        <v>12</v>
      </c>
      <c r="B10">
        <f>B9*60*60</f>
        <v>69.579831932773118</v>
      </c>
    </row>
    <row r="12" spans="1:3">
      <c r="A12" t="s">
        <v>16</v>
      </c>
      <c r="B12" t="s">
        <v>17</v>
      </c>
    </row>
    <row r="13" spans="1:3">
      <c r="A13">
        <f>'Part A&amp;B Calculating Parameters'!E14</f>
        <v>1.8718743117297647E-2</v>
      </c>
      <c r="B13">
        <f>'Part A&amp;B Calculating Parameters'!F14</f>
        <v>14.774288234712504</v>
      </c>
    </row>
    <row r="14" spans="1:3">
      <c r="A14" t="s">
        <v>18</v>
      </c>
      <c r="B14" t="s">
        <v>19</v>
      </c>
    </row>
    <row r="15" spans="1:3">
      <c r="A15">
        <f>'Part A&amp;B Calculating Parameters'!E16</f>
        <v>1</v>
      </c>
      <c r="B15">
        <f>'Part A&amp;B Calculating Parameters'!F16</f>
        <v>0.28568642601459371</v>
      </c>
    </row>
    <row r="16" spans="1:3">
      <c r="A16" t="s">
        <v>20</v>
      </c>
      <c r="B16" t="s">
        <v>21</v>
      </c>
    </row>
    <row r="17" spans="1:6">
      <c r="A17">
        <f>'Part A&amp;B Calculating Parameters'!E18</f>
        <v>1</v>
      </c>
      <c r="B17">
        <f>'Part A&amp;B Calculating Parameters'!F18</f>
        <v>2.7944446029061756</v>
      </c>
    </row>
    <row r="19" spans="1:6" ht="45">
      <c r="A19" s="1" t="s">
        <v>0</v>
      </c>
      <c r="B19" s="1" t="s">
        <v>27</v>
      </c>
      <c r="C19" t="s">
        <v>2</v>
      </c>
      <c r="D19" t="s">
        <v>26</v>
      </c>
      <c r="E19" t="s">
        <v>28</v>
      </c>
    </row>
    <row r="20" spans="1:6">
      <c r="A20">
        <v>0</v>
      </c>
      <c r="B20">
        <v>3.0030000000000001</v>
      </c>
      <c r="C20">
        <v>0.59</v>
      </c>
      <c r="D20">
        <f t="shared" ref="D20:D25" si="0">($A$13+$B$13*(((A20/$B$15)^$B$17)/(1+(A20/$B$15)^$B$17)))/(1+$A$13+$B$13*(((A20/$B$15)^$B$17)/(1+(A20/$B$15)^$B$17)))</f>
        <v>1.8374790140817429E-2</v>
      </c>
      <c r="E20">
        <f>D20*$B$10</f>
        <v>1.2785148097980532</v>
      </c>
    </row>
    <row r="21" spans="1:6">
      <c r="A21">
        <v>5.5E-2</v>
      </c>
      <c r="B21">
        <v>6.3019999999999996</v>
      </c>
      <c r="C21">
        <v>1.2</v>
      </c>
      <c r="D21">
        <f t="shared" si="0"/>
        <v>0.14175286248968455</v>
      </c>
      <c r="E21">
        <f t="shared" ref="E21:E25" si="1">D21*$B$10</f>
        <v>9.8631403480217497</v>
      </c>
    </row>
    <row r="22" spans="1:6">
      <c r="A22">
        <v>9.2999999999999999E-2</v>
      </c>
      <c r="B22">
        <v>29.760999999999999</v>
      </c>
      <c r="C22">
        <v>5.7</v>
      </c>
      <c r="D22">
        <f t="shared" si="0"/>
        <v>0.38796838807562117</v>
      </c>
      <c r="E22">
        <f t="shared" si="1"/>
        <v>26.994775237530618</v>
      </c>
    </row>
    <row r="23" spans="1:6">
      <c r="A23">
        <v>0.18099999999999999</v>
      </c>
      <c r="B23">
        <v>52.002000000000002</v>
      </c>
      <c r="C23">
        <v>10.199999999999999</v>
      </c>
      <c r="D23">
        <f t="shared" si="0"/>
        <v>0.7644013700486092</v>
      </c>
      <c r="E23">
        <f t="shared" si="1"/>
        <v>53.186918857163739</v>
      </c>
    </row>
    <row r="24" spans="1:6">
      <c r="A24">
        <v>0.40500000000000003</v>
      </c>
      <c r="B24">
        <v>60.305999999999997</v>
      </c>
      <c r="C24">
        <v>11.8</v>
      </c>
      <c r="D24">
        <f t="shared" si="0"/>
        <v>0.91487372733257233</v>
      </c>
      <c r="E24">
        <f t="shared" si="1"/>
        <v>63.656760187510081</v>
      </c>
    </row>
    <row r="25" spans="1:6">
      <c r="A25">
        <v>0.99</v>
      </c>
      <c r="B25">
        <v>68.653000000000006</v>
      </c>
      <c r="C25">
        <v>13.3</v>
      </c>
      <c r="D25">
        <f t="shared" si="0"/>
        <v>0.93484675073636836</v>
      </c>
      <c r="E25">
        <f t="shared" si="1"/>
        <v>65.046479799135554</v>
      </c>
    </row>
    <row r="27" spans="1:6" ht="45">
      <c r="A27" s="1" t="s">
        <v>0</v>
      </c>
      <c r="B27" t="str">
        <f>B19</f>
        <v>Measured Rate</v>
      </c>
      <c r="C27" t="s">
        <v>29</v>
      </c>
      <c r="D27" t="s">
        <v>30</v>
      </c>
      <c r="E27" t="str">
        <f>E19</f>
        <v>Modeled Rate</v>
      </c>
      <c r="F27" t="s">
        <v>31</v>
      </c>
    </row>
    <row r="28" spans="1:6">
      <c r="A28">
        <v>0</v>
      </c>
      <c r="B28">
        <f t="shared" ref="B28:B33" si="2">B20</f>
        <v>3.0030000000000001</v>
      </c>
      <c r="C28">
        <f>B28-C20</f>
        <v>2.4130000000000003</v>
      </c>
      <c r="D28">
        <f>B28+C20</f>
        <v>3.593</v>
      </c>
      <c r="E28">
        <f>E20</f>
        <v>1.2785148097980532</v>
      </c>
      <c r="F28">
        <f>IF(E28&lt;C28,(-(1+(C28-E28)/C28))*100,IF(E28&gt;D28,(D28/E28)+1)*100)</f>
        <v>-147.01554870294021</v>
      </c>
    </row>
    <row r="29" spans="1:6">
      <c r="A29">
        <v>5.5E-2</v>
      </c>
      <c r="B29">
        <f t="shared" si="2"/>
        <v>6.3019999999999996</v>
      </c>
      <c r="C29">
        <f t="shared" ref="C29:C33" si="3">B29-C21</f>
        <v>5.1019999999999994</v>
      </c>
      <c r="D29">
        <f t="shared" ref="D29:D33" si="4">B29+C21</f>
        <v>7.5019999999999998</v>
      </c>
      <c r="E29">
        <f t="shared" ref="E28:E33" si="5">E21</f>
        <v>9.8631403480217497</v>
      </c>
      <c r="F29">
        <f>IF(E29&lt;C29,(-(1+(C29-E29)/C29))*100,IF(E29&gt;D29,(D29/E29)+1)*100)</f>
        <v>176.06096775764399</v>
      </c>
    </row>
    <row r="30" spans="1:6">
      <c r="A30">
        <v>9.2999999999999999E-2</v>
      </c>
      <c r="B30">
        <f t="shared" si="2"/>
        <v>29.760999999999999</v>
      </c>
      <c r="C30">
        <f t="shared" si="3"/>
        <v>24.061</v>
      </c>
      <c r="D30">
        <f t="shared" si="4"/>
        <v>35.460999999999999</v>
      </c>
      <c r="E30">
        <f t="shared" si="5"/>
        <v>26.994775237530618</v>
      </c>
      <c r="F30" t="b">
        <f t="shared" ref="F30:F33" si="6">IF(E30&lt;C30,(C30-E30)/C30,IF(E30&gt;D30,D30/E30))</f>
        <v>0</v>
      </c>
    </row>
    <row r="31" spans="1:6">
      <c r="A31">
        <v>0.18099999999999999</v>
      </c>
      <c r="B31">
        <f t="shared" si="2"/>
        <v>52.002000000000002</v>
      </c>
      <c r="C31">
        <f t="shared" si="3"/>
        <v>41.802000000000007</v>
      </c>
      <c r="D31">
        <f t="shared" si="4"/>
        <v>62.201999999999998</v>
      </c>
      <c r="E31">
        <f t="shared" si="5"/>
        <v>53.186918857163739</v>
      </c>
      <c r="F31" t="b">
        <f t="shared" si="6"/>
        <v>0</v>
      </c>
    </row>
    <row r="32" spans="1:6">
      <c r="A32">
        <v>0.40500000000000003</v>
      </c>
      <c r="B32">
        <f t="shared" si="2"/>
        <v>60.305999999999997</v>
      </c>
      <c r="C32">
        <f t="shared" si="3"/>
        <v>48.506</v>
      </c>
      <c r="D32">
        <f t="shared" si="4"/>
        <v>72.105999999999995</v>
      </c>
      <c r="E32">
        <f t="shared" si="5"/>
        <v>63.656760187510081</v>
      </c>
      <c r="F32" t="b">
        <f t="shared" si="6"/>
        <v>0</v>
      </c>
    </row>
    <row r="33" spans="1:6">
      <c r="A33">
        <v>0.99</v>
      </c>
      <c r="B33">
        <f t="shared" si="2"/>
        <v>68.653000000000006</v>
      </c>
      <c r="C33">
        <f t="shared" si="3"/>
        <v>55.353000000000009</v>
      </c>
      <c r="D33">
        <f t="shared" si="4"/>
        <v>81.953000000000003</v>
      </c>
      <c r="E33">
        <f t="shared" si="5"/>
        <v>65.046479799135554</v>
      </c>
      <c r="F33" t="b">
        <f t="shared" si="6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Part A&amp;B Calculating Parameters</vt:lpstr>
      <vt:lpstr>Part C Measured vs Modeled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Park</dc:creator>
  <cp:lastModifiedBy>Ellen Park</cp:lastModifiedBy>
  <dcterms:created xsi:type="dcterms:W3CDTF">2020-05-17T18:13:01Z</dcterms:created>
  <dcterms:modified xsi:type="dcterms:W3CDTF">2020-05-20T15:26:33Z</dcterms:modified>
</cp:coreProperties>
</file>