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0" yWindow="0" windowWidth="31920" windowHeight="19460"/>
  </bookViews>
  <sheets>
    <sheet name="Unit BUC" sheetId="1" r:id="rId1"/>
    <sheet name="Tooling_data" sheetId="3" r:id="rId2"/>
    <sheet name="SAMPLE" sheetId="2" r:id="rId3"/>
  </sheets>
  <externalReferences>
    <externalReference r:id="rId4"/>
  </externalReferences>
  <definedNames>
    <definedName name="_Fill" localSheetId="2" hidden="1">#REF!</definedName>
    <definedName name="_Fill" localSheetId="0" hidden="1">#REF!</definedName>
    <definedName name="_Fill" hidden="1">#REF!</definedName>
    <definedName name="_xlnm.Print_Area" localSheetId="0">'Unit BUC'!$C$1:$Q$77</definedName>
    <definedName name="_xlnm.Print_Titles" localSheetId="1">'[1]Swimmo Plastics'!#REF!</definedName>
    <definedName name="_xlnm.Print_Titles">'[1]Swimmo Plastics'!#REF!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L57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N39" i="1"/>
  <c r="M38" i="1"/>
  <c r="N38" i="1"/>
  <c r="M37" i="1"/>
  <c r="N37" i="1"/>
  <c r="O37" i="1"/>
  <c r="M36" i="1"/>
  <c r="N36" i="1"/>
  <c r="M35" i="1"/>
  <c r="N35" i="1"/>
  <c r="O35" i="1"/>
  <c r="M34" i="1"/>
  <c r="N34" i="1"/>
  <c r="O39" i="1"/>
  <c r="O38" i="1"/>
  <c r="O34" i="1"/>
  <c r="O36" i="1"/>
  <c r="M32" i="1"/>
  <c r="M28" i="1"/>
  <c r="G55" i="1"/>
  <c r="N32" i="1"/>
  <c r="M33" i="1"/>
  <c r="N33" i="1"/>
  <c r="J28" i="1"/>
  <c r="N28" i="1"/>
  <c r="O28" i="1"/>
  <c r="J29" i="1"/>
  <c r="J30" i="1"/>
  <c r="J31" i="1"/>
  <c r="L21" i="1"/>
  <c r="K21" i="1"/>
  <c r="J21" i="1"/>
  <c r="I21" i="1"/>
  <c r="H21" i="1"/>
  <c r="G21" i="1"/>
  <c r="F21" i="1"/>
  <c r="M30" i="1"/>
  <c r="N30" i="1"/>
  <c r="M31" i="1"/>
  <c r="N31" i="1"/>
  <c r="M29" i="1"/>
  <c r="N29" i="1"/>
  <c r="G20" i="1"/>
  <c r="K20" i="1"/>
  <c r="I20" i="1"/>
  <c r="H20" i="1"/>
  <c r="F20" i="1"/>
  <c r="L20" i="1"/>
  <c r="J20" i="1"/>
  <c r="P17" i="1"/>
  <c r="O17" i="1"/>
  <c r="N17" i="1"/>
  <c r="M17" i="1"/>
  <c r="L17" i="1"/>
  <c r="K17" i="1"/>
  <c r="J17" i="1"/>
  <c r="I17" i="1"/>
  <c r="H17" i="1"/>
  <c r="G17" i="1"/>
  <c r="F17" i="1"/>
  <c r="I70" i="2"/>
  <c r="H69" i="2"/>
  <c r="J57" i="2"/>
  <c r="L55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L54" i="2"/>
  <c r="L53" i="2"/>
  <c r="M53" i="2"/>
  <c r="L52" i="2"/>
  <c r="L51" i="2"/>
  <c r="M51" i="2"/>
  <c r="L50" i="2"/>
  <c r="L49" i="2"/>
  <c r="M49" i="2"/>
  <c r="L48" i="2"/>
  <c r="L47" i="2"/>
  <c r="M47" i="2"/>
  <c r="L46" i="2"/>
  <c r="M46" i="2"/>
  <c r="L45" i="2"/>
  <c r="M45" i="2"/>
  <c r="L44" i="2"/>
  <c r="L43" i="2"/>
  <c r="M43" i="2"/>
  <c r="L42" i="2"/>
  <c r="L41" i="2"/>
  <c r="M41" i="2"/>
  <c r="L40" i="2"/>
  <c r="L39" i="2"/>
  <c r="M39" i="2"/>
  <c r="L38" i="2"/>
  <c r="M38" i="2"/>
  <c r="L37" i="2"/>
  <c r="M37" i="2"/>
  <c r="L36" i="2"/>
  <c r="L35" i="2"/>
  <c r="M35" i="2"/>
  <c r="L34" i="2"/>
  <c r="L33" i="2"/>
  <c r="M33" i="2"/>
  <c r="L32" i="2"/>
  <c r="L31" i="2"/>
  <c r="M31" i="2"/>
  <c r="L30" i="2"/>
  <c r="M30" i="2"/>
  <c r="L29" i="2"/>
  <c r="M29" i="2"/>
  <c r="L28" i="2"/>
  <c r="M28" i="2"/>
  <c r="N22" i="2"/>
  <c r="N24" i="2"/>
  <c r="J22" i="2"/>
  <c r="J24" i="2"/>
  <c r="M22" i="2"/>
  <c r="M17" i="2"/>
  <c r="L22" i="2"/>
  <c r="L16" i="2"/>
  <c r="K22" i="2"/>
  <c r="K24" i="2"/>
  <c r="I22" i="2"/>
  <c r="I17" i="2"/>
  <c r="H22" i="2"/>
  <c r="H16" i="2"/>
  <c r="G22" i="2"/>
  <c r="G24" i="2"/>
  <c r="F22" i="2"/>
  <c r="F24" i="2"/>
  <c r="E22" i="2"/>
  <c r="E17" i="2"/>
  <c r="D22" i="2"/>
  <c r="D16" i="2"/>
  <c r="N17" i="2"/>
  <c r="J17" i="2"/>
  <c r="N16" i="2"/>
  <c r="K16" i="2"/>
  <c r="J16" i="2"/>
  <c r="E16" i="2"/>
  <c r="K17" i="2"/>
  <c r="G16" i="2"/>
  <c r="G17" i="2"/>
  <c r="E24" i="2"/>
  <c r="F16" i="2"/>
  <c r="F17" i="2"/>
  <c r="D17" i="2"/>
  <c r="M54" i="2"/>
  <c r="L24" i="2"/>
  <c r="M36" i="2"/>
  <c r="M44" i="2"/>
  <c r="M52" i="2"/>
  <c r="M55" i="2"/>
  <c r="M16" i="2"/>
  <c r="L17" i="2"/>
  <c r="H24" i="2"/>
  <c r="M24" i="2"/>
  <c r="M34" i="2"/>
  <c r="M42" i="2"/>
  <c r="M50" i="2"/>
  <c r="I16" i="2"/>
  <c r="H17" i="2"/>
  <c r="D24" i="2"/>
  <c r="I24" i="2"/>
  <c r="D64" i="2"/>
  <c r="M32" i="2"/>
  <c r="M40" i="2"/>
  <c r="M48" i="2"/>
  <c r="D65" i="2"/>
  <c r="E27" i="2"/>
  <c r="D27" i="2"/>
  <c r="D67" i="2"/>
  <c r="E56" i="2"/>
  <c r="N28" i="2"/>
  <c r="F28" i="2"/>
  <c r="D28" i="2"/>
  <c r="N29" i="2"/>
  <c r="F29" i="2"/>
  <c r="D29" i="2"/>
  <c r="N30" i="2"/>
  <c r="F30" i="2"/>
  <c r="D30" i="2"/>
  <c r="N31" i="2"/>
  <c r="F31" i="2"/>
  <c r="D31" i="2"/>
  <c r="N32" i="2"/>
  <c r="F32" i="2"/>
  <c r="D32" i="2"/>
  <c r="N33" i="2"/>
  <c r="F33" i="2"/>
  <c r="D33" i="2"/>
  <c r="N34" i="2"/>
  <c r="F34" i="2"/>
  <c r="D34" i="2"/>
  <c r="N35" i="2"/>
  <c r="F35" i="2"/>
  <c r="D35" i="2"/>
  <c r="N36" i="2"/>
  <c r="F36" i="2"/>
  <c r="D36" i="2"/>
  <c r="N37" i="2"/>
  <c r="F37" i="2"/>
  <c r="D37" i="2"/>
  <c r="N38" i="2"/>
  <c r="F38" i="2"/>
  <c r="D38" i="2"/>
  <c r="N39" i="2"/>
  <c r="F39" i="2"/>
  <c r="D39" i="2"/>
  <c r="N40" i="2"/>
  <c r="F40" i="2"/>
  <c r="D40" i="2"/>
  <c r="N41" i="2"/>
  <c r="F41" i="2"/>
  <c r="D41" i="2"/>
  <c r="N42" i="2"/>
  <c r="F42" i="2"/>
  <c r="D42" i="2"/>
  <c r="N43" i="2"/>
  <c r="F43" i="2"/>
  <c r="D43" i="2"/>
  <c r="N44" i="2"/>
  <c r="F44" i="2"/>
  <c r="D44" i="2"/>
  <c r="N45" i="2"/>
  <c r="F45" i="2"/>
  <c r="D45" i="2"/>
  <c r="N46" i="2"/>
  <c r="F46" i="2"/>
  <c r="D46" i="2"/>
  <c r="N47" i="2"/>
  <c r="F47" i="2"/>
  <c r="D47" i="2"/>
  <c r="N48" i="2"/>
  <c r="F48" i="2"/>
  <c r="D48" i="2"/>
  <c r="N49" i="2"/>
  <c r="F49" i="2"/>
  <c r="D49" i="2"/>
  <c r="N50" i="2"/>
  <c r="F50" i="2"/>
  <c r="D50" i="2"/>
  <c r="N51" i="2"/>
  <c r="F51" i="2"/>
  <c r="D51" i="2"/>
  <c r="N52" i="2"/>
  <c r="F52" i="2"/>
  <c r="D52" i="2"/>
  <c r="N53" i="2"/>
  <c r="F53" i="2"/>
  <c r="D53" i="2"/>
  <c r="N54" i="2"/>
  <c r="F54" i="2"/>
  <c r="G54" i="2"/>
  <c r="D54" i="2"/>
  <c r="N55" i="2"/>
  <c r="F55" i="2"/>
  <c r="D66" i="2"/>
  <c r="G55" i="2"/>
  <c r="F56" i="2"/>
  <c r="D63" i="2"/>
  <c r="D55" i="2"/>
  <c r="D56" i="2"/>
  <c r="F58" i="2"/>
  <c r="F59" i="2"/>
  <c r="D57" i="2"/>
  <c r="D58" i="2"/>
  <c r="D59" i="2"/>
  <c r="D60" i="2"/>
  <c r="D61" i="2"/>
  <c r="K70" i="1"/>
  <c r="J69" i="1"/>
  <c r="N55" i="1"/>
  <c r="O55" i="1"/>
  <c r="N54" i="1"/>
  <c r="O54" i="1"/>
  <c r="N53" i="1"/>
  <c r="N52" i="1"/>
  <c r="O52" i="1"/>
  <c r="N51" i="1"/>
  <c r="N50" i="1"/>
  <c r="O50" i="1"/>
  <c r="N49" i="1"/>
  <c r="N48" i="1"/>
  <c r="O48" i="1"/>
  <c r="N47" i="1"/>
  <c r="N46" i="1"/>
  <c r="O46" i="1"/>
  <c r="N45" i="1"/>
  <c r="N44" i="1"/>
  <c r="O44" i="1"/>
  <c r="N43" i="1"/>
  <c r="N42" i="1"/>
  <c r="O42" i="1"/>
  <c r="N41" i="1"/>
  <c r="N40" i="1"/>
  <c r="O40" i="1"/>
  <c r="O32" i="1"/>
  <c r="O30" i="1"/>
  <c r="O16" i="1"/>
  <c r="N24" i="1"/>
  <c r="M24" i="1"/>
  <c r="L22" i="1"/>
  <c r="K22" i="1"/>
  <c r="K16" i="1"/>
  <c r="J22" i="1"/>
  <c r="J24" i="1"/>
  <c r="I22" i="1"/>
  <c r="I16" i="1"/>
  <c r="H22" i="1"/>
  <c r="H16" i="1"/>
  <c r="G22" i="1"/>
  <c r="G16" i="1"/>
  <c r="F22" i="1"/>
  <c r="F24" i="1"/>
  <c r="G28" i="1"/>
  <c r="N16" i="1"/>
  <c r="M16" i="1"/>
  <c r="L33" i="1"/>
  <c r="L32" i="1"/>
  <c r="L31" i="1"/>
  <c r="L30" i="1"/>
  <c r="L29" i="1"/>
  <c r="L28" i="1"/>
  <c r="F16" i="1"/>
  <c r="G33" i="1"/>
  <c r="J16" i="1"/>
  <c r="I24" i="1"/>
  <c r="G30" i="1"/>
  <c r="O33" i="1"/>
  <c r="O41" i="1"/>
  <c r="O49" i="1"/>
  <c r="K24" i="1"/>
  <c r="O31" i="1"/>
  <c r="O47" i="1"/>
  <c r="P16" i="1"/>
  <c r="G24" i="1"/>
  <c r="L24" i="1"/>
  <c r="F64" i="1"/>
  <c r="O29" i="1"/>
  <c r="O45" i="1"/>
  <c r="O53" i="1"/>
  <c r="L16" i="1"/>
  <c r="H24" i="1"/>
  <c r="O43" i="1"/>
  <c r="O51" i="1"/>
  <c r="G31" i="1"/>
  <c r="G29" i="1"/>
  <c r="F27" i="1"/>
  <c r="P28" i="1"/>
  <c r="F65" i="1"/>
  <c r="F67" i="1"/>
  <c r="G56" i="1"/>
  <c r="H28" i="1"/>
  <c r="F28" i="1"/>
  <c r="P29" i="1"/>
  <c r="H29" i="1"/>
  <c r="F29" i="1"/>
  <c r="P30" i="1"/>
  <c r="H30" i="1"/>
  <c r="F30" i="1"/>
  <c r="P31" i="1"/>
  <c r="H31" i="1"/>
  <c r="F31" i="1"/>
  <c r="P32" i="1"/>
  <c r="H32" i="1"/>
  <c r="F32" i="1"/>
  <c r="P33" i="1"/>
  <c r="H33" i="1"/>
  <c r="F33" i="1"/>
  <c r="P34" i="1"/>
  <c r="H34" i="1"/>
  <c r="F34" i="1"/>
  <c r="P35" i="1"/>
  <c r="H35" i="1"/>
  <c r="F35" i="1"/>
  <c r="P36" i="1"/>
  <c r="H36" i="1"/>
  <c r="F36" i="1"/>
  <c r="P37" i="1"/>
  <c r="H37" i="1"/>
  <c r="F37" i="1"/>
  <c r="P38" i="1"/>
  <c r="H38" i="1"/>
  <c r="F38" i="1"/>
  <c r="P39" i="1"/>
  <c r="F39" i="1"/>
  <c r="P40" i="1"/>
  <c r="H40" i="1"/>
  <c r="F40" i="1"/>
  <c r="P41" i="1"/>
  <c r="H41" i="1"/>
  <c r="F41" i="1"/>
  <c r="P42" i="1"/>
  <c r="H42" i="1"/>
  <c r="F42" i="1"/>
  <c r="P43" i="1"/>
  <c r="H43" i="1"/>
  <c r="F43" i="1"/>
  <c r="P44" i="1"/>
  <c r="H44" i="1"/>
  <c r="F44" i="1"/>
  <c r="P45" i="1"/>
  <c r="H45" i="1"/>
  <c r="F45" i="1"/>
  <c r="P46" i="1"/>
  <c r="H46" i="1"/>
  <c r="F46" i="1"/>
  <c r="P47" i="1"/>
  <c r="H47" i="1"/>
  <c r="F47" i="1"/>
  <c r="P48" i="1"/>
  <c r="H48" i="1"/>
  <c r="F48" i="1"/>
  <c r="P49" i="1"/>
  <c r="H49" i="1"/>
  <c r="F49" i="1"/>
  <c r="P50" i="1"/>
  <c r="H50" i="1"/>
  <c r="F50" i="1"/>
  <c r="P51" i="1"/>
  <c r="H51" i="1"/>
  <c r="F51" i="1"/>
  <c r="P52" i="1"/>
  <c r="H52" i="1"/>
  <c r="F52" i="1"/>
  <c r="P53" i="1"/>
  <c r="H53" i="1"/>
  <c r="F53" i="1"/>
  <c r="P54" i="1"/>
  <c r="H54" i="1"/>
  <c r="I54" i="1"/>
  <c r="F54" i="1"/>
  <c r="P55" i="1"/>
  <c r="H55" i="1"/>
  <c r="F66" i="1"/>
  <c r="I55" i="1"/>
  <c r="F63" i="1"/>
  <c r="H56" i="1"/>
  <c r="F55" i="1"/>
  <c r="F56" i="1"/>
  <c r="H58" i="1"/>
  <c r="H59" i="1"/>
  <c r="F57" i="1"/>
  <c r="F58" i="1"/>
  <c r="F59" i="1"/>
  <c r="F60" i="1"/>
  <c r="F61" i="1"/>
</calcChain>
</file>

<file path=xl/comments1.xml><?xml version="1.0" encoding="utf-8"?>
<comments xmlns="http://schemas.openxmlformats.org/spreadsheetml/2006/main">
  <authors>
    <author>HF Global Inc.</author>
    <author>monika.zatka-kuchars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H13" authorId="1">
      <text>
        <r>
          <rPr>
            <b/>
            <sz val="8"/>
            <color indexed="81"/>
            <rFont val="Tahoma"/>
            <family val="2"/>
            <charset val="238"/>
          </rPr>
          <t>monika.zatka-kuchars:</t>
        </r>
        <r>
          <rPr>
            <sz val="8"/>
            <color indexed="81"/>
            <rFont val="Tahoma"/>
            <family val="2"/>
            <charset val="238"/>
          </rPr>
          <t xml:space="preserve">
3 shifts for molding parts;
2 shifts for assembly process;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2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sharedStrings.xml><?xml version="1.0" encoding="utf-8"?>
<sst xmlns="http://schemas.openxmlformats.org/spreadsheetml/2006/main" count="271" uniqueCount="173">
  <si>
    <t>Please fill in only the cells highlighted in green.</t>
  </si>
  <si>
    <t>US dollars only ($)</t>
  </si>
  <si>
    <t>Please submit this cost breakdown with the official quotation with your company letterhead.</t>
  </si>
  <si>
    <t>Supplier Information</t>
  </si>
  <si>
    <t>Supplier Name:</t>
  </si>
  <si>
    <t>Supplier website:</t>
  </si>
  <si>
    <t>Telephone:</t>
  </si>
  <si>
    <t>HQ Location:</t>
  </si>
  <si>
    <t>Quoted By:</t>
  </si>
  <si>
    <t>Fax:</t>
  </si>
  <si>
    <t>Manufacturing Location(s):</t>
  </si>
  <si>
    <t>Date of Quote:</t>
  </si>
  <si>
    <t>Email:</t>
  </si>
  <si>
    <t>General &amp; Labor</t>
  </si>
  <si>
    <t>Part Number</t>
  </si>
  <si>
    <t>Hours / Shift</t>
  </si>
  <si>
    <t>Part Description</t>
  </si>
  <si>
    <t>Shift(s) / Day</t>
  </si>
  <si>
    <t>Capacity (Quantity / Day)</t>
  </si>
  <si>
    <t>Work Days / Year</t>
  </si>
  <si>
    <t>Components &amp; Materials</t>
  </si>
  <si>
    <t>Component Description</t>
  </si>
  <si>
    <t>Component Material</t>
  </si>
  <si>
    <t>Material cost / Kg</t>
  </si>
  <si>
    <t>Kg Material / Component</t>
  </si>
  <si>
    <t>Material cost / Component</t>
  </si>
  <si>
    <t>Components / Part</t>
  </si>
  <si>
    <t>Material cost / Part</t>
  </si>
  <si>
    <t>Operation Count</t>
  </si>
  <si>
    <t>Operation Description</t>
  </si>
  <si>
    <t>Cost / Part</t>
  </si>
  <si>
    <t>Material Cost / Part Added</t>
  </si>
  <si>
    <t>Op Cost/ Part</t>
  </si>
  <si>
    <t>Machine Type or Manual Labor Process</t>
  </si>
  <si>
    <t>Cycle Time (Seconds)</t>
  </si>
  <si>
    <t>Yield</t>
  </si>
  <si>
    <t>Parts / Day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</si>
  <si>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</si>
  <si>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</si>
  <si>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</si>
  <si>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</si>
  <si>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</si>
  <si>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</si>
  <si>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</si>
  <si>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</si>
  <si>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</si>
  <si>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</si>
  <si>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</si>
  <si>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</si>
  <si>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</si>
  <si>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*Explain "Other" here</t>
  </si>
  <si>
    <t>Total Part Cost</t>
  </si>
  <si>
    <t>Total Ops</t>
  </si>
  <si>
    <t>M/c $</t>
  </si>
  <si>
    <t>Process Yield loss</t>
  </si>
  <si>
    <t>Material Yld loss</t>
  </si>
  <si>
    <t>Materials</t>
  </si>
  <si>
    <t>Cycle Time (sec)</t>
  </si>
  <si>
    <t>Supplier Notes:</t>
  </si>
  <si>
    <t>Supplier ABC</t>
  </si>
  <si>
    <t>New York, NY</t>
  </si>
  <si>
    <t>URL</t>
  </si>
  <si>
    <t>John Doe</t>
  </si>
  <si>
    <t>(123)-456-7890</t>
  </si>
  <si>
    <t>email@domain.com</t>
  </si>
  <si>
    <t>Plastic Component A</t>
  </si>
  <si>
    <t>Alloy Component B</t>
  </si>
  <si>
    <t>Plastic Component C</t>
  </si>
  <si>
    <t>TPE/ABS/PP…</t>
  </si>
  <si>
    <t>Alum/Steel/Copper…</t>
  </si>
  <si>
    <t>Fabric Component E</t>
  </si>
  <si>
    <t>Alloy Component D</t>
  </si>
  <si>
    <t>Nylon/Leather/Cotton/…</t>
  </si>
  <si>
    <t>Plastic Component A Injection Molding</t>
  </si>
  <si>
    <t>IM Machine XYZ</t>
  </si>
  <si>
    <t>Alloy Component B Die casting</t>
  </si>
  <si>
    <t>Die cast Machine XYZ</t>
  </si>
  <si>
    <t>Assembly</t>
  </si>
  <si>
    <t>Plastic Component C Overmolding</t>
  </si>
  <si>
    <t>Overmold Machine XYZ</t>
  </si>
  <si>
    <t>Line Worker Assembly</t>
  </si>
  <si>
    <t>Skilled Labor Assembly</t>
  </si>
  <si>
    <t>Alloy Component D Extrusion</t>
  </si>
  <si>
    <t>Extrusion Machine XYZ</t>
  </si>
  <si>
    <t>Fabric Component E Die cutting</t>
  </si>
  <si>
    <t>Die cut machine</t>
  </si>
  <si>
    <t>Fabric Component E Sewing</t>
  </si>
  <si>
    <t>Manual Sewing</t>
  </si>
  <si>
    <t>Any additional notes or clarifications not properly captured in above template.</t>
  </si>
  <si>
    <t>[Part Description]</t>
  </si>
  <si>
    <t>(123)-456-7891</t>
  </si>
  <si>
    <t>HF Global Inc. - Unit Bottoms-Up Cost Breakdown</t>
  </si>
  <si>
    <t>Harry's Inc. - Unit Bottoms-Up Cost Breakdown</t>
  </si>
  <si>
    <t xml:space="preserve">Please fill in only the cells highlighted in "yellow". Input values only where requested (do not include units within cells). </t>
  </si>
  <si>
    <t>Hi-P Poland</t>
  </si>
  <si>
    <t xml:space="preserve">Bielany Wroclawskie </t>
  </si>
  <si>
    <t>DZ &amp; MZK</t>
  </si>
  <si>
    <t>Pusher</t>
  </si>
  <si>
    <t>Top Cover</t>
  </si>
  <si>
    <t>Bottom Cover</t>
  </si>
  <si>
    <t>Chrome plated Zinc</t>
  </si>
  <si>
    <t>Chrome Plated Zinc</t>
  </si>
  <si>
    <t>PC+GF</t>
  </si>
  <si>
    <t>Chassis - PC insert</t>
  </si>
  <si>
    <t>Chassis - ABS</t>
  </si>
  <si>
    <t>ABS 757</t>
  </si>
  <si>
    <t>Top Grip Hard</t>
  </si>
  <si>
    <t>Top Grip Soft</t>
  </si>
  <si>
    <t>Bottom Grip Soft</t>
  </si>
  <si>
    <t>Bottom Grip Hard</t>
  </si>
  <si>
    <t>TPU</t>
  </si>
  <si>
    <t>USD</t>
  </si>
  <si>
    <t>EUR</t>
  </si>
  <si>
    <t>Molding Chassis</t>
  </si>
  <si>
    <t>Molding Top Grip</t>
  </si>
  <si>
    <t>Molding Bottom Grip</t>
  </si>
  <si>
    <t>Molding Pusher</t>
  </si>
  <si>
    <t>160 t; 2K</t>
  </si>
  <si>
    <t>200 t</t>
  </si>
  <si>
    <t>Pad Printing on Chassis</t>
  </si>
  <si>
    <t>Assembling chassis with Top and Bottom Zinc Covers</t>
  </si>
  <si>
    <t>Pressing Top Grip</t>
  </si>
  <si>
    <t>Pressing Bottom Grip</t>
  </si>
  <si>
    <t>Pusher assembly</t>
  </si>
  <si>
    <t xml:space="preserve">Assembly </t>
  </si>
  <si>
    <t>Pack handle into box</t>
  </si>
  <si>
    <t>Pack handle into plastic bag</t>
  </si>
  <si>
    <t>Efficiency</t>
  </si>
  <si>
    <t>Men Razor Handle CIEN</t>
  </si>
  <si>
    <t>Plastic Bag</t>
  </si>
  <si>
    <t>Carton Box</t>
  </si>
  <si>
    <t>with screws and pad printing</t>
  </si>
  <si>
    <t>1. Quotation not included FATP packaging</t>
  </si>
  <si>
    <t>Part Name</t>
  </si>
  <si>
    <t>Description</t>
  </si>
  <si>
    <t>Raw material type</t>
  </si>
  <si>
    <t>Tool  Cavities</t>
  </si>
  <si>
    <t>Cavity/core steel</t>
  </si>
  <si>
    <t>Hardness of the cavity/core</t>
  </si>
  <si>
    <t>Plate Steel</t>
  </si>
  <si>
    <t>Mold type</t>
  </si>
  <si>
    <t>Standard parts</t>
  </si>
  <si>
    <t>Surface Finish</t>
  </si>
  <si>
    <t>Tool Life</t>
  </si>
  <si>
    <t>Mold Price</t>
  </si>
  <si>
    <t>Remarks</t>
  </si>
  <si>
    <t>Single Shot</t>
  </si>
  <si>
    <t>1.2344</t>
  </si>
  <si>
    <t>48-52 HRC</t>
  </si>
  <si>
    <t>1.1730</t>
  </si>
  <si>
    <t>COLD RUNNER</t>
  </si>
  <si>
    <t>HASCO</t>
  </si>
  <si>
    <t>A2</t>
  </si>
  <si>
    <t>Chassis</t>
  </si>
  <si>
    <t>First shot: PC Insert
Second Shot: ABS Handle</t>
  </si>
  <si>
    <t>PC with glass fibre // 
ABS 757</t>
  </si>
  <si>
    <t>8+8</t>
  </si>
  <si>
    <t>HOT RUNNER (2 open gate into cold runner - 2 sets)</t>
  </si>
  <si>
    <t>A3 / A2</t>
  </si>
  <si>
    <t>2K (overmolding)</t>
  </si>
  <si>
    <t xml:space="preserve">ABS Insert + TPU Overmolded Top Grip </t>
  </si>
  <si>
    <t>First shot: ABS Insert
Second Shot: TPU</t>
  </si>
  <si>
    <t>ABS 757 //
TPU</t>
  </si>
  <si>
    <t>B2 / VDI 24</t>
  </si>
  <si>
    <t>2K with rotary table</t>
  </si>
  <si>
    <t xml:space="preserve">ABS Insert + TPU Overmolded Bottom Grip </t>
  </si>
  <si>
    <t>B12/ VDI 24</t>
  </si>
  <si>
    <t>Zinc</t>
  </si>
  <si>
    <t>M/c EUR</t>
  </si>
  <si>
    <t>Dariusz.Zawirski@hi-p.com</t>
  </si>
  <si>
    <t>+48 691 140 083</t>
  </si>
  <si>
    <t>Singapore</t>
  </si>
  <si>
    <t>www.hi-p.com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</si>
</sst>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&quot;$&quot;#,##0.00"/>
    <numFmt numFmtId="166" formatCode="&quot;$&quot;#,##0.000"/>
    <numFmt numFmtId="167" formatCode="\$#,##0.000;[Red]\$#,##0.000"/>
    <numFmt numFmtId="168" formatCode="\$#,##0.0000;[Red]\$#,##0.0000"/>
    <numFmt numFmtId="169" formatCode="0.0"/>
    <numFmt numFmtId="170" formatCode="\$#,##0.000_);[Red]\(\$#,##0.000\)"/>
    <numFmt numFmtId="171" formatCode="0.0%"/>
    <numFmt numFmtId="172" formatCode="\$#,##0.00;[Red]\$#,##0.00"/>
    <numFmt numFmtId="173" formatCode="0\ &quot;seconds&quot;"/>
    <numFmt numFmtId="174" formatCode="0.0000"/>
    <numFmt numFmtId="175" formatCode="_-[$€-2]\ * #,##0.00_-;\-[$€-2]\ * #,##0.00_-;_-[$€-2]\ * &quot;-&quot;??_-;_-@_-"/>
    <numFmt numFmtId="176" formatCode="_-[$€-2]\ * #,##0.0000_-;\-[$€-2]\ * #,##0.0000_-;_-[$€-2]\ * &quot;-&quot;??_-;_-@_-"/>
    <numFmt numFmtId="177" formatCode="_-[$€-2]\ * #,##0_-;\-[$€-2]\ * #,##0_-;_-[$€-2]\ * &quot;-&quot;??_-;_-@_-"/>
    <numFmt numFmtId="178" formatCode="_ [$€-2]* #,##0.00_ ;_ [$€-2]* \-#,##0.00_ ;_ [$€-2]* &quot;-&quot;??_ "/>
    <numFmt numFmtId="179" formatCode="_ * #,##0.00_ ;_ * \-#,##0.00_ ;_ * &quot;-&quot;??_ ;_ @_ 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i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2"/>
      <name val="宋体"/>
      <family val="3"/>
      <charset val="134"/>
    </font>
    <font>
      <sz val="12"/>
      <name val="Calibri"/>
      <family val="2"/>
      <scheme val="minor"/>
    </font>
    <font>
      <sz val="12"/>
      <name val="宋体"/>
      <charset val="134"/>
    </font>
    <font>
      <sz val="12"/>
      <color rgb="FF000000"/>
      <name val="Calibri"/>
      <family val="2"/>
      <charset val="238"/>
      <scheme val="minor"/>
    </font>
    <font>
      <sz val="12"/>
      <color rgb="FF000080"/>
      <name val="Calibri"/>
      <family val="2"/>
      <charset val="238"/>
      <scheme val="minor"/>
    </font>
    <font>
      <sz val="12"/>
      <color indexed="8"/>
      <name val="Calibri"/>
      <family val="2"/>
      <scheme val="minor"/>
    </font>
    <font>
      <sz val="10"/>
      <color indexed="8"/>
      <name val="Arial"/>
      <family val="2"/>
    </font>
    <font>
      <sz val="11"/>
      <name val="돋움"/>
      <family val="2"/>
      <charset val="129"/>
    </font>
    <font>
      <sz val="10"/>
      <name val="Helv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charset val="134"/>
    </font>
    <font>
      <sz val="10"/>
      <name val="Arial"/>
      <family val="2"/>
    </font>
    <font>
      <sz val="11"/>
      <color rgb="FF000000"/>
      <name val="Calibri"/>
      <family val="2"/>
    </font>
    <font>
      <sz val="12"/>
      <name val="新細明體"/>
      <family val="1"/>
      <charset val="136"/>
    </font>
    <font>
      <sz val="12"/>
      <name val="新細明體"/>
      <family val="1"/>
    </font>
    <font>
      <sz val="10"/>
      <name val="宋体"/>
      <family val="3"/>
      <charset val="134"/>
    </font>
    <font>
      <sz val="10"/>
      <name val="宋体"/>
      <charset val="134"/>
    </font>
    <font>
      <sz val="8"/>
      <name val="Arial"/>
      <family val="2"/>
    </font>
    <font>
      <u/>
      <sz val="9.35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9"/>
        <bgColor theme="3" tint="0.79998168889431442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Dashed">
        <color auto="1"/>
      </bottom>
      <diagonal/>
    </border>
    <border>
      <left style="medium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11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0" fontId="11" fillId="0" borderId="0"/>
    <xf numFmtId="44" fontId="11" fillId="0" borderId="0" applyFont="0" applyFill="0" applyBorder="0" applyAlignment="0" applyProtection="0"/>
    <xf numFmtId="0" fontId="24" fillId="0" borderId="0"/>
    <xf numFmtId="0" fontId="26" fillId="0" borderId="0">
      <alignment vertical="center"/>
    </xf>
    <xf numFmtId="0" fontId="1" fillId="0" borderId="0"/>
    <xf numFmtId="0" fontId="24" fillId="0" borderId="0">
      <alignment vertical="top"/>
    </xf>
    <xf numFmtId="178" fontId="30" fillId="0" borderId="0">
      <alignment vertical="top"/>
    </xf>
    <xf numFmtId="0" fontId="30" fillId="0" borderId="0">
      <alignment vertical="top"/>
    </xf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24" fillId="0" borderId="0"/>
    <xf numFmtId="0" fontId="26" fillId="0" borderId="0"/>
    <xf numFmtId="0" fontId="26" fillId="0" borderId="0"/>
    <xf numFmtId="179" fontId="24" fillId="0" borderId="0" applyFont="0" applyFill="0" applyBorder="0" applyAlignment="0" applyProtection="0"/>
    <xf numFmtId="179" fontId="26" fillId="0" borderId="0" applyFont="0" applyFill="0" applyBorder="0" applyAlignment="0" applyProtection="0"/>
    <xf numFmtId="43" fontId="35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" fillId="0" borderId="0"/>
    <xf numFmtId="0" fontId="1" fillId="0" borderId="0"/>
    <xf numFmtId="0" fontId="1" fillId="0" borderId="0"/>
    <xf numFmtId="0" fontId="32" fillId="0" borderId="0"/>
    <xf numFmtId="0" fontId="26" fillId="0" borderId="0"/>
    <xf numFmtId="0" fontId="36" fillId="0" borderId="0"/>
    <xf numFmtId="0" fontId="26" fillId="0" borderId="0">
      <alignment vertical="center"/>
    </xf>
    <xf numFmtId="0" fontId="33" fillId="0" borderId="0"/>
    <xf numFmtId="0" fontId="3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4" fillId="0" borderId="0"/>
    <xf numFmtId="0" fontId="1" fillId="0" borderId="0"/>
    <xf numFmtId="0" fontId="2" fillId="0" borderId="0"/>
    <xf numFmtId="0" fontId="35" fillId="0" borderId="0"/>
    <xf numFmtId="0" fontId="1" fillId="0" borderId="0"/>
    <xf numFmtId="0" fontId="1" fillId="0" borderId="0"/>
    <xf numFmtId="0" fontId="39" fillId="0" borderId="0"/>
    <xf numFmtId="0" fontId="40" fillId="0" borderId="0"/>
    <xf numFmtId="0" fontId="40" fillId="0" borderId="0"/>
    <xf numFmtId="0" fontId="39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4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33" fillId="0" borderId="0" applyProtection="0"/>
    <xf numFmtId="0" fontId="34" fillId="0" borderId="0" applyProtection="0"/>
    <xf numFmtId="0" fontId="34" fillId="0" borderId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" fontId="41" fillId="7" borderId="40" applyNumberFormat="0" applyProtection="0">
      <alignment horizontal="left" vertical="center" indent="1"/>
    </xf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0" fontId="24" fillId="0" borderId="0">
      <alignment vertical="top" wrapText="1"/>
    </xf>
    <xf numFmtId="0" fontId="26" fillId="0" borderId="0">
      <alignment vertical="top" wrapText="1"/>
    </xf>
    <xf numFmtId="0" fontId="26" fillId="0" borderId="0">
      <alignment vertical="top" wrapText="1"/>
    </xf>
    <xf numFmtId="0" fontId="26" fillId="0" borderId="0">
      <alignment vertical="top" wrapText="1"/>
    </xf>
    <xf numFmtId="0" fontId="26" fillId="0" borderId="0">
      <alignment vertical="top" wrapText="1"/>
    </xf>
    <xf numFmtId="0" fontId="26" fillId="0" borderId="0">
      <alignment vertical="top" wrapText="1"/>
    </xf>
    <xf numFmtId="0" fontId="26" fillId="0" borderId="0">
      <alignment vertical="top" wrapText="1"/>
    </xf>
    <xf numFmtId="0" fontId="24" fillId="0" borderId="0">
      <alignment vertical="top" wrapText="1"/>
    </xf>
    <xf numFmtId="0" fontId="26" fillId="0" borderId="0">
      <alignment vertical="top" wrapText="1"/>
    </xf>
    <xf numFmtId="0" fontId="26" fillId="0" borderId="0">
      <alignment vertical="top" wrapText="1"/>
    </xf>
    <xf numFmtId="0" fontId="26" fillId="0" borderId="0">
      <alignment vertical="top" wrapText="1"/>
    </xf>
    <xf numFmtId="0" fontId="26" fillId="0" borderId="0">
      <alignment vertical="top" wrapText="1"/>
    </xf>
    <xf numFmtId="0" fontId="26" fillId="0" borderId="0">
      <alignment vertical="top" wrapText="1"/>
    </xf>
    <xf numFmtId="0" fontId="26" fillId="0" borderId="0">
      <alignment vertical="top" wrapText="1"/>
    </xf>
    <xf numFmtId="0" fontId="24" fillId="0" borderId="0"/>
    <xf numFmtId="0" fontId="26" fillId="0" borderId="0"/>
    <xf numFmtId="0" fontId="26" fillId="0" borderId="0"/>
    <xf numFmtId="0" fontId="30" fillId="0" borderId="0">
      <alignment vertical="top"/>
    </xf>
    <xf numFmtId="0" fontId="42" fillId="0" borderId="0" applyNumberFormat="0" applyFill="0" applyBorder="0" applyAlignment="0" applyProtection="0">
      <alignment vertical="top"/>
      <protection locked="0"/>
    </xf>
  </cellStyleXfs>
  <cellXfs count="290">
    <xf numFmtId="0" fontId="0" fillId="0" borderId="0" xfId="0"/>
    <xf numFmtId="0" fontId="5" fillId="2" borderId="1" xfId="0" applyFont="1" applyFill="1" applyBorder="1" applyAlignment="1">
      <alignment vertical="center"/>
    </xf>
    <xf numFmtId="0" fontId="0" fillId="0" borderId="0" xfId="0" applyProtection="1"/>
    <xf numFmtId="0" fontId="5" fillId="2" borderId="2" xfId="0" applyFont="1" applyFill="1" applyBorder="1" applyAlignment="1" applyProtection="1">
      <alignment vertical="center"/>
    </xf>
    <xf numFmtId="0" fontId="5" fillId="2" borderId="3" xfId="0" applyFont="1" applyFill="1" applyBorder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6" fillId="2" borderId="4" xfId="0" applyFont="1" applyFill="1" applyBorder="1" applyAlignment="1" applyProtection="1">
      <alignment horizontal="left" vertical="top"/>
    </xf>
    <xf numFmtId="0" fontId="5" fillId="2" borderId="0" xfId="0" applyFont="1" applyFill="1" applyBorder="1" applyAlignment="1" applyProtection="1">
      <alignment horizontal="left" vertical="center"/>
    </xf>
    <xf numFmtId="0" fontId="5" fillId="2" borderId="5" xfId="0" applyFont="1" applyFill="1" applyBorder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2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6" fillId="2" borderId="6" xfId="0" applyFont="1" applyFill="1" applyBorder="1" applyAlignment="1" applyProtection="1">
      <alignment horizontal="left" vertical="top"/>
    </xf>
    <xf numFmtId="0" fontId="6" fillId="2" borderId="7" xfId="0" applyFont="1" applyFill="1" applyBorder="1" applyAlignment="1" applyProtection="1">
      <alignment horizontal="left" vertical="center" wrapText="1"/>
    </xf>
    <xf numFmtId="0" fontId="6" fillId="2" borderId="8" xfId="0" applyFont="1" applyFill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left" vertical="center" wrapText="1"/>
    </xf>
    <xf numFmtId="0" fontId="6" fillId="0" borderId="0" xfId="0" applyFont="1" applyFill="1" applyBorder="1" applyAlignment="1" applyProtection="1">
      <alignment horizontal="left" vertical="top"/>
    </xf>
    <xf numFmtId="0" fontId="6" fillId="0" borderId="0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 wrapText="1"/>
    </xf>
    <xf numFmtId="0" fontId="8" fillId="0" borderId="10" xfId="3" applyFont="1" applyFill="1" applyBorder="1" applyAlignment="1" applyProtection="1">
      <alignment vertical="center"/>
    </xf>
    <xf numFmtId="0" fontId="3" fillId="3" borderId="11" xfId="3" applyFont="1" applyFill="1" applyBorder="1" applyAlignment="1" applyProtection="1">
      <alignment horizontal="left" vertical="center"/>
    </xf>
    <xf numFmtId="0" fontId="8" fillId="0" borderId="11" xfId="3" applyFont="1" applyFill="1" applyBorder="1" applyAlignment="1" applyProtection="1">
      <alignment vertical="center"/>
    </xf>
    <xf numFmtId="0" fontId="8" fillId="0" borderId="11" xfId="3" applyFont="1" applyFill="1" applyBorder="1" applyAlignment="1" applyProtection="1">
      <alignment horizontal="left" vertical="center"/>
    </xf>
    <xf numFmtId="0" fontId="3" fillId="3" borderId="12" xfId="3" applyFont="1" applyFill="1" applyBorder="1" applyAlignment="1" applyProtection="1">
      <alignment horizontal="left" vertical="center"/>
    </xf>
    <xf numFmtId="0" fontId="2" fillId="0" borderId="0" xfId="3" applyFont="1" applyAlignment="1" applyProtection="1">
      <alignment vertical="center"/>
    </xf>
    <xf numFmtId="0" fontId="2" fillId="0" borderId="0" xfId="3" applyFont="1" applyBorder="1" applyAlignment="1" applyProtection="1">
      <alignment vertical="center"/>
    </xf>
    <xf numFmtId="0" fontId="8" fillId="0" borderId="14" xfId="3" applyFont="1" applyFill="1" applyBorder="1" applyAlignment="1" applyProtection="1">
      <alignment vertical="center"/>
    </xf>
    <xf numFmtId="0" fontId="3" fillId="3" borderId="15" xfId="3" applyFont="1" applyFill="1" applyBorder="1" applyAlignment="1" applyProtection="1">
      <alignment horizontal="left" vertical="center"/>
    </xf>
    <xf numFmtId="0" fontId="8" fillId="0" borderId="15" xfId="3" applyFont="1" applyFill="1" applyBorder="1" applyAlignment="1" applyProtection="1">
      <alignment vertical="center"/>
    </xf>
    <xf numFmtId="0" fontId="8" fillId="0" borderId="15" xfId="3" applyFont="1" applyFill="1" applyBorder="1" applyAlignment="1" applyProtection="1">
      <alignment horizontal="left" vertical="center"/>
    </xf>
    <xf numFmtId="0" fontId="3" fillId="3" borderId="16" xfId="3" applyFont="1" applyFill="1" applyBorder="1" applyAlignment="1" applyProtection="1">
      <alignment horizontal="left" vertical="center"/>
    </xf>
    <xf numFmtId="0" fontId="9" fillId="0" borderId="0" xfId="3" applyFont="1" applyAlignment="1" applyProtection="1">
      <alignment vertical="center"/>
    </xf>
    <xf numFmtId="0" fontId="4" fillId="0" borderId="0" xfId="3" applyFont="1" applyBorder="1" applyAlignment="1" applyProtection="1">
      <alignment vertical="center"/>
    </xf>
    <xf numFmtId="0" fontId="9" fillId="0" borderId="0" xfId="3" applyFont="1" applyBorder="1" applyAlignment="1" applyProtection="1">
      <alignment vertical="center"/>
    </xf>
    <xf numFmtId="0" fontId="8" fillId="0" borderId="18" xfId="3" applyFont="1" applyFill="1" applyBorder="1" applyAlignment="1" applyProtection="1">
      <alignment vertical="center"/>
    </xf>
    <xf numFmtId="0" fontId="3" fillId="3" borderId="19" xfId="3" applyFont="1" applyFill="1" applyBorder="1" applyAlignment="1" applyProtection="1">
      <alignment horizontal="left" vertical="center"/>
    </xf>
    <xf numFmtId="0" fontId="8" fillId="0" borderId="19" xfId="3" applyFont="1" applyFill="1" applyBorder="1" applyAlignment="1" applyProtection="1">
      <alignment vertical="center"/>
    </xf>
    <xf numFmtId="15" fontId="3" fillId="3" borderId="19" xfId="3" applyNumberFormat="1" applyFont="1" applyFill="1" applyBorder="1" applyAlignment="1" applyProtection="1">
      <alignment horizontal="left" vertical="center"/>
    </xf>
    <xf numFmtId="0" fontId="8" fillId="0" borderId="19" xfId="3" applyFont="1" applyFill="1" applyBorder="1" applyAlignment="1" applyProtection="1">
      <alignment horizontal="left" vertical="center"/>
    </xf>
    <xf numFmtId="164" fontId="3" fillId="3" borderId="20" xfId="3" applyNumberFormat="1" applyFont="1" applyFill="1" applyBorder="1" applyAlignment="1" applyProtection="1">
      <alignment horizontal="left" vertical="center"/>
    </xf>
    <xf numFmtId="0" fontId="8" fillId="0" borderId="0" xfId="3" applyFont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4" fillId="0" borderId="0" xfId="3" applyFont="1" applyFill="1" applyBorder="1" applyAlignment="1" applyProtection="1">
      <alignment horizontal="center" vertical="center" wrapText="1" readingOrder="1"/>
    </xf>
    <xf numFmtId="0" fontId="8" fillId="0" borderId="0" xfId="3" applyFont="1" applyFill="1" applyBorder="1" applyAlignment="1" applyProtection="1">
      <alignment vertical="center"/>
    </xf>
    <xf numFmtId="0" fontId="10" fillId="0" borderId="0" xfId="3" applyFont="1" applyFill="1" applyBorder="1" applyAlignment="1" applyProtection="1">
      <alignment horizontal="left" vertical="center"/>
    </xf>
    <xf numFmtId="0" fontId="8" fillId="0" borderId="0" xfId="3" applyFont="1" applyFill="1" applyBorder="1" applyAlignment="1" applyProtection="1">
      <alignment horizontal="left" vertical="center"/>
    </xf>
    <xf numFmtId="164" fontId="10" fillId="0" borderId="0" xfId="3" applyNumberFormat="1" applyFont="1" applyFill="1" applyBorder="1" applyAlignment="1" applyProtection="1">
      <alignment horizontal="left" vertical="center"/>
    </xf>
    <xf numFmtId="0" fontId="8" fillId="0" borderId="0" xfId="3" applyFont="1" applyFill="1" applyAlignment="1" applyProtection="1">
      <alignment vertical="center"/>
    </xf>
    <xf numFmtId="0" fontId="4" fillId="0" borderId="0" xfId="3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center" vertical="center" wrapText="1" readingOrder="1"/>
    </xf>
    <xf numFmtId="0" fontId="10" fillId="0" borderId="0" xfId="4" applyFont="1" applyAlignment="1" applyProtection="1">
      <alignment horizontal="center"/>
    </xf>
    <xf numFmtId="0" fontId="0" fillId="0" borderId="0" xfId="0" applyFont="1" applyProtection="1"/>
    <xf numFmtId="0" fontId="2" fillId="0" borderId="0" xfId="0" applyFont="1" applyFill="1" applyBorder="1" applyAlignment="1" applyProtection="1">
      <alignment vertical="center"/>
    </xf>
    <xf numFmtId="0" fontId="8" fillId="0" borderId="21" xfId="0" applyFont="1" applyFill="1" applyBorder="1" applyAlignment="1" applyProtection="1">
      <alignment vertical="center"/>
    </xf>
    <xf numFmtId="0" fontId="3" fillId="3" borderId="11" xfId="0" applyFont="1" applyFill="1" applyBorder="1" applyAlignment="1" applyProtection="1">
      <alignment horizontal="center" vertical="center"/>
    </xf>
    <xf numFmtId="0" fontId="3" fillId="3" borderId="12" xfId="3" applyFont="1" applyFill="1" applyBorder="1" applyAlignment="1" applyProtection="1">
      <alignment horizontal="center" vertical="center"/>
    </xf>
    <xf numFmtId="0" fontId="8" fillId="0" borderId="22" xfId="0" applyFont="1" applyFill="1" applyBorder="1" applyAlignment="1" applyProtection="1">
      <alignment vertical="center"/>
    </xf>
    <xf numFmtId="0" fontId="3" fillId="3" borderId="15" xfId="0" applyFont="1" applyFill="1" applyBorder="1" applyAlignment="1" applyProtection="1">
      <alignment horizontal="center" vertical="center"/>
    </xf>
    <xf numFmtId="0" fontId="3" fillId="3" borderId="16" xfId="3" applyFont="1" applyFill="1" applyBorder="1" applyAlignment="1" applyProtection="1">
      <alignment horizontal="center" vertical="center"/>
    </xf>
    <xf numFmtId="0" fontId="8" fillId="0" borderId="23" xfId="0" applyFont="1" applyFill="1" applyBorder="1" applyAlignment="1" applyProtection="1">
      <alignment vertical="center"/>
    </xf>
    <xf numFmtId="3" fontId="3" fillId="3" borderId="19" xfId="0" applyNumberFormat="1" applyFont="1" applyFill="1" applyBorder="1" applyAlignment="1" applyProtection="1">
      <alignment horizontal="center" vertical="center"/>
    </xf>
    <xf numFmtId="0" fontId="3" fillId="3" borderId="20" xfId="3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vertical="center" wrapText="1" readingOrder="1"/>
    </xf>
    <xf numFmtId="0" fontId="8" fillId="0" borderId="0" xfId="0" applyFont="1" applyFill="1" applyBorder="1" applyAlignment="1" applyProtection="1">
      <alignment vertical="center"/>
    </xf>
    <xf numFmtId="3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4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center" wrapText="1"/>
    </xf>
    <xf numFmtId="0" fontId="10" fillId="0" borderId="0" xfId="0" applyFont="1" applyFill="1" applyBorder="1" applyAlignment="1" applyProtection="1">
      <alignment vertical="center"/>
    </xf>
    <xf numFmtId="0" fontId="10" fillId="0" borderId="0" xfId="4" applyFont="1" applyFill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horizontal="center" vertical="center" wrapText="1"/>
    </xf>
    <xf numFmtId="0" fontId="10" fillId="0" borderId="0" xfId="3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3" fillId="3" borderId="24" xfId="0" applyFont="1" applyFill="1" applyBorder="1" applyAlignment="1" applyProtection="1">
      <alignment horizontal="center" vertical="center"/>
    </xf>
    <xf numFmtId="0" fontId="3" fillId="3" borderId="25" xfId="0" applyFont="1" applyFill="1" applyBorder="1" applyAlignment="1" applyProtection="1">
      <alignment horizontal="center" vertical="center"/>
    </xf>
    <xf numFmtId="0" fontId="3" fillId="3" borderId="26" xfId="0" applyFont="1" applyFill="1" applyBorder="1" applyAlignment="1" applyProtection="1">
      <alignment horizontal="center" vertical="center"/>
    </xf>
    <xf numFmtId="0" fontId="3" fillId="3" borderId="27" xfId="0" applyFont="1" applyFill="1" applyBorder="1" applyAlignment="1" applyProtection="1">
      <alignment horizontal="center" vertical="center"/>
    </xf>
    <xf numFmtId="0" fontId="3" fillId="3" borderId="28" xfId="0" applyFont="1" applyFill="1" applyBorder="1" applyAlignment="1" applyProtection="1">
      <alignment horizontal="center" vertical="center"/>
    </xf>
    <xf numFmtId="165" fontId="3" fillId="3" borderId="26" xfId="0" applyNumberFormat="1" applyFont="1" applyFill="1" applyBorder="1" applyAlignment="1" applyProtection="1">
      <alignment horizontal="center" vertical="center"/>
    </xf>
    <xf numFmtId="165" fontId="3" fillId="3" borderId="27" xfId="0" applyNumberFormat="1" applyFont="1" applyFill="1" applyBorder="1" applyAlignment="1" applyProtection="1">
      <alignment horizontal="center" vertical="center"/>
    </xf>
    <xf numFmtId="165" fontId="3" fillId="3" borderId="28" xfId="0" applyNumberFormat="1" applyFont="1" applyFill="1" applyBorder="1" applyAlignment="1" applyProtection="1">
      <alignment horizontal="center" vertical="center"/>
    </xf>
    <xf numFmtId="166" fontId="10" fillId="0" borderId="26" xfId="1" applyNumberFormat="1" applyFont="1" applyFill="1" applyBorder="1" applyAlignment="1" applyProtection="1">
      <alignment horizontal="center" vertical="center"/>
    </xf>
    <xf numFmtId="166" fontId="10" fillId="0" borderId="15" xfId="1" applyNumberFormat="1" applyFont="1" applyFill="1" applyBorder="1" applyAlignment="1" applyProtection="1">
      <alignment horizontal="center" vertical="center"/>
    </xf>
    <xf numFmtId="166" fontId="10" fillId="0" borderId="29" xfId="1" applyNumberFormat="1" applyFont="1" applyFill="1" applyBorder="1" applyAlignment="1" applyProtection="1">
      <alignment horizontal="center" vertical="center"/>
    </xf>
    <xf numFmtId="0" fontId="3" fillId="3" borderId="29" xfId="0" applyFont="1" applyFill="1" applyBorder="1" applyAlignment="1" applyProtection="1">
      <alignment horizontal="center" vertical="center"/>
    </xf>
    <xf numFmtId="167" fontId="12" fillId="0" borderId="23" xfId="5" applyNumberFormat="1" applyFont="1" applyFill="1" applyBorder="1" applyAlignment="1" applyProtection="1">
      <alignment horizontal="center"/>
    </xf>
    <xf numFmtId="167" fontId="12" fillId="0" borderId="19" xfId="5" applyNumberFormat="1" applyFont="1" applyFill="1" applyBorder="1" applyAlignment="1" applyProtection="1">
      <alignment horizontal="center"/>
    </xf>
    <xf numFmtId="167" fontId="12" fillId="0" borderId="30" xfId="5" applyNumberFormat="1" applyFont="1" applyFill="1" applyBorder="1" applyAlignment="1" applyProtection="1">
      <alignment horizontal="center"/>
    </xf>
    <xf numFmtId="0" fontId="2" fillId="0" borderId="31" xfId="0" applyFont="1" applyFill="1" applyBorder="1" applyAlignment="1" applyProtection="1">
      <alignment horizontal="center" vertical="center" wrapText="1" readingOrder="1"/>
    </xf>
    <xf numFmtId="0" fontId="4" fillId="0" borderId="31" xfId="0" applyFont="1" applyFill="1" applyBorder="1" applyAlignment="1" applyProtection="1">
      <alignment horizontal="center" vertical="center" wrapText="1" readingOrder="1"/>
    </xf>
    <xf numFmtId="0" fontId="8" fillId="0" borderId="32" xfId="0" applyFont="1" applyFill="1" applyBorder="1" applyAlignment="1" applyProtection="1">
      <alignment horizontal="left" vertical="center"/>
    </xf>
    <xf numFmtId="0" fontId="10" fillId="0" borderId="32" xfId="0" applyFont="1" applyFill="1" applyBorder="1" applyAlignment="1" applyProtection="1">
      <alignment horizontal="left" vertical="center"/>
    </xf>
    <xf numFmtId="0" fontId="8" fillId="2" borderId="10" xfId="4" applyFont="1" applyFill="1" applyBorder="1" applyAlignment="1" applyProtection="1">
      <alignment horizontal="center" vertical="center" wrapText="1"/>
    </xf>
    <xf numFmtId="0" fontId="8" fillId="2" borderId="11" xfId="4" applyFont="1" applyFill="1" applyBorder="1" applyAlignment="1" applyProtection="1">
      <alignment horizontal="center" vertical="center" wrapText="1"/>
    </xf>
    <xf numFmtId="165" fontId="8" fillId="2" borderId="11" xfId="4" applyNumberFormat="1" applyFont="1" applyFill="1" applyBorder="1" applyAlignment="1" applyProtection="1">
      <alignment horizontal="center" vertical="center" wrapText="1"/>
    </xf>
    <xf numFmtId="0" fontId="13" fillId="0" borderId="11" xfId="4" applyFont="1" applyFill="1" applyBorder="1" applyAlignment="1" applyProtection="1">
      <alignment horizontal="center" vertical="center" wrapText="1"/>
    </xf>
    <xf numFmtId="0" fontId="13" fillId="2" borderId="11" xfId="4" applyFont="1" applyFill="1" applyBorder="1" applyAlignment="1" applyProtection="1">
      <alignment horizontal="center" vertical="center" wrapText="1"/>
    </xf>
    <xf numFmtId="10" fontId="13" fillId="2" borderId="11" xfId="4" applyNumberFormat="1" applyFont="1" applyFill="1" applyBorder="1" applyAlignment="1" applyProtection="1">
      <alignment horizontal="center" vertical="center" wrapText="1"/>
    </xf>
    <xf numFmtId="1" fontId="13" fillId="2" borderId="11" xfId="4" applyNumberFormat="1" applyFont="1" applyFill="1" applyBorder="1" applyAlignment="1" applyProtection="1">
      <alignment horizontal="center" vertical="center" wrapText="1"/>
    </xf>
    <xf numFmtId="165" fontId="8" fillId="2" borderId="12" xfId="4" applyNumberFormat="1" applyFont="1" applyFill="1" applyBorder="1" applyAlignment="1" applyProtection="1">
      <alignment horizontal="center" vertical="center" wrapText="1"/>
    </xf>
    <xf numFmtId="0" fontId="10" fillId="0" borderId="14" xfId="4" applyFont="1" applyBorder="1" applyAlignment="1" applyProtection="1">
      <alignment horizontal="center"/>
    </xf>
    <xf numFmtId="0" fontId="10" fillId="0" borderId="15" xfId="4" applyFont="1" applyBorder="1" applyProtection="1"/>
    <xf numFmtId="168" fontId="10" fillId="0" borderId="15" xfId="4" applyNumberFormat="1" applyFont="1" applyBorder="1" applyAlignment="1" applyProtection="1">
      <alignment horizontal="center"/>
    </xf>
    <xf numFmtId="168" fontId="8" fillId="0" borderId="15" xfId="5" applyNumberFormat="1" applyFont="1" applyBorder="1" applyAlignment="1" applyProtection="1">
      <alignment horizontal="center"/>
    </xf>
    <xf numFmtId="0" fontId="10" fillId="0" borderId="15" xfId="4" applyFont="1" applyBorder="1" applyAlignment="1" applyProtection="1">
      <alignment horizontal="center"/>
    </xf>
    <xf numFmtId="1" fontId="8" fillId="0" borderId="15" xfId="4" applyNumberFormat="1" applyFont="1" applyBorder="1" applyAlignment="1" applyProtection="1">
      <alignment horizontal="center"/>
    </xf>
    <xf numFmtId="0" fontId="10" fillId="0" borderId="16" xfId="4" applyFont="1" applyBorder="1" applyProtection="1"/>
    <xf numFmtId="168" fontId="14" fillId="3" borderId="15" xfId="4" applyNumberFormat="1" applyFont="1" applyFill="1" applyBorder="1" applyAlignment="1" applyProtection="1">
      <alignment horizontal="center"/>
    </xf>
    <xf numFmtId="165" fontId="10" fillId="0" borderId="15" xfId="4" applyNumberFormat="1" applyFont="1" applyBorder="1" applyAlignment="1" applyProtection="1">
      <alignment horizontal="center"/>
    </xf>
    <xf numFmtId="0" fontId="14" fillId="3" borderId="15" xfId="3" applyFont="1" applyFill="1" applyBorder="1" applyAlignment="1" applyProtection="1">
      <alignment horizontal="left" vertical="center" wrapText="1"/>
    </xf>
    <xf numFmtId="169" fontId="3" fillId="3" borderId="15" xfId="4" applyNumberFormat="1" applyFont="1" applyFill="1" applyBorder="1" applyAlignment="1" applyProtection="1">
      <alignment horizontal="center"/>
    </xf>
    <xf numFmtId="10" fontId="14" fillId="3" borderId="15" xfId="4" applyNumberFormat="1" applyFont="1" applyFill="1" applyBorder="1" applyAlignment="1" applyProtection="1">
      <alignment horizontal="center"/>
    </xf>
    <xf numFmtId="1" fontId="12" fillId="0" borderId="15" xfId="4" applyNumberFormat="1" applyFont="1" applyBorder="1" applyAlignment="1" applyProtection="1">
      <alignment horizontal="center"/>
    </xf>
    <xf numFmtId="169" fontId="14" fillId="3" borderId="15" xfId="4" applyNumberFormat="1" applyFont="1" applyFill="1" applyBorder="1" applyAlignment="1" applyProtection="1">
      <alignment horizontal="center"/>
    </xf>
    <xf numFmtId="166" fontId="10" fillId="0" borderId="15" xfId="4" applyNumberFormat="1" applyFont="1" applyBorder="1" applyAlignment="1" applyProtection="1">
      <alignment horizontal="center"/>
    </xf>
    <xf numFmtId="166" fontId="10" fillId="0" borderId="16" xfId="4" applyNumberFormat="1" applyFont="1" applyBorder="1" applyAlignment="1" applyProtection="1">
      <alignment horizontal="center"/>
    </xf>
    <xf numFmtId="0" fontId="3" fillId="3" borderId="15" xfId="3" applyFont="1" applyFill="1" applyBorder="1" applyAlignment="1" applyProtection="1">
      <alignment horizontal="left" vertical="center" wrapText="1"/>
    </xf>
    <xf numFmtId="0" fontId="14" fillId="3" borderId="15" xfId="4" applyFont="1" applyFill="1" applyBorder="1" applyAlignment="1" applyProtection="1">
      <alignment horizontal="left"/>
    </xf>
    <xf numFmtId="0" fontId="3" fillId="3" borderId="15" xfId="4" applyFont="1" applyFill="1" applyBorder="1" applyAlignment="1" applyProtection="1">
      <alignment horizontal="left" vertical="center"/>
    </xf>
    <xf numFmtId="0" fontId="3" fillId="3" borderId="15" xfId="4" applyFont="1" applyFill="1" applyBorder="1" applyAlignment="1" applyProtection="1">
      <alignment horizontal="left"/>
    </xf>
    <xf numFmtId="0" fontId="3" fillId="3" borderId="15" xfId="4" applyFont="1" applyFill="1" applyBorder="1" applyAlignment="1" applyProtection="1">
      <alignment horizontal="left" wrapText="1"/>
    </xf>
    <xf numFmtId="0" fontId="8" fillId="0" borderId="14" xfId="4" applyFont="1" applyBorder="1" applyProtection="1"/>
    <xf numFmtId="0" fontId="10" fillId="0" borderId="15" xfId="4" applyFont="1" applyFill="1" applyBorder="1" applyProtection="1"/>
    <xf numFmtId="0" fontId="8" fillId="0" borderId="15" xfId="4" applyFont="1" applyBorder="1" applyProtection="1"/>
    <xf numFmtId="7" fontId="10" fillId="0" borderId="15" xfId="4" applyNumberFormat="1" applyFont="1" applyBorder="1" applyAlignment="1" applyProtection="1">
      <alignment horizontal="center"/>
    </xf>
    <xf numFmtId="1" fontId="8" fillId="0" borderId="15" xfId="4" applyNumberFormat="1" applyFont="1" applyBorder="1" applyProtection="1"/>
    <xf numFmtId="0" fontId="8" fillId="0" borderId="16" xfId="4" applyFont="1" applyBorder="1" applyProtection="1"/>
    <xf numFmtId="0" fontId="10" fillId="0" borderId="15" xfId="4" applyFont="1" applyBorder="1" applyAlignment="1" applyProtection="1">
      <alignment horizontal="right"/>
    </xf>
    <xf numFmtId="170" fontId="14" fillId="3" borderId="15" xfId="4" applyNumberFormat="1" applyFont="1" applyFill="1" applyBorder="1" applyAlignment="1" applyProtection="1">
      <alignment horizontal="center"/>
    </xf>
    <xf numFmtId="1" fontId="14" fillId="0" borderId="15" xfId="4" applyNumberFormat="1" applyFont="1" applyFill="1" applyBorder="1" applyAlignment="1" applyProtection="1">
      <alignment horizontal="center"/>
    </xf>
    <xf numFmtId="171" fontId="14" fillId="3" borderId="15" xfId="2" applyNumberFormat="1" applyFont="1" applyFill="1" applyBorder="1" applyAlignment="1" applyProtection="1">
      <alignment horizontal="center"/>
    </xf>
    <xf numFmtId="172" fontId="10" fillId="0" borderId="15" xfId="4" applyNumberFormat="1" applyFont="1" applyBorder="1" applyAlignment="1" applyProtection="1">
      <alignment horizontal="center"/>
    </xf>
    <xf numFmtId="1" fontId="10" fillId="0" borderId="27" xfId="4" applyNumberFormat="1" applyFont="1" applyBorder="1" applyProtection="1"/>
    <xf numFmtId="0" fontId="0" fillId="0" borderId="15" xfId="0" applyBorder="1" applyProtection="1"/>
    <xf numFmtId="49" fontId="15" fillId="3" borderId="15" xfId="4" applyNumberFormat="1" applyFont="1" applyFill="1" applyBorder="1" applyAlignment="1" applyProtection="1">
      <alignment horizontal="left"/>
    </xf>
    <xf numFmtId="49" fontId="15" fillId="0" borderId="15" xfId="4" applyNumberFormat="1" applyFont="1" applyFill="1" applyBorder="1" applyAlignment="1" applyProtection="1">
      <alignment horizontal="left"/>
    </xf>
    <xf numFmtId="1" fontId="10" fillId="0" borderId="15" xfId="4" applyNumberFormat="1" applyFont="1" applyBorder="1" applyProtection="1"/>
    <xf numFmtId="0" fontId="8" fillId="0" borderId="33" xfId="4" applyFont="1" applyFill="1" applyBorder="1" applyProtection="1"/>
    <xf numFmtId="0" fontId="8" fillId="0" borderId="34" xfId="4" applyFont="1" applyFill="1" applyBorder="1" applyProtection="1"/>
    <xf numFmtId="167" fontId="8" fillId="0" borderId="34" xfId="4" applyNumberFormat="1" applyFont="1" applyFill="1" applyBorder="1" applyAlignment="1" applyProtection="1">
      <alignment horizontal="center"/>
    </xf>
    <xf numFmtId="0" fontId="8" fillId="0" borderId="34" xfId="4" applyFont="1" applyBorder="1" applyAlignment="1" applyProtection="1">
      <alignment horizontal="center"/>
    </xf>
    <xf numFmtId="0" fontId="8" fillId="0" borderId="34" xfId="4" applyFont="1" applyBorder="1" applyProtection="1"/>
    <xf numFmtId="1" fontId="8" fillId="0" borderId="34" xfId="4" applyNumberFormat="1" applyFont="1" applyBorder="1" applyProtection="1"/>
    <xf numFmtId="0" fontId="8" fillId="0" borderId="35" xfId="4" applyFont="1" applyBorder="1" applyProtection="1"/>
    <xf numFmtId="0" fontId="8" fillId="0" borderId="36" xfId="4" applyFont="1" applyFill="1" applyBorder="1" applyProtection="1"/>
    <xf numFmtId="0" fontId="8" fillId="0" borderId="37" xfId="4" applyFont="1" applyFill="1" applyBorder="1" applyProtection="1"/>
    <xf numFmtId="167" fontId="8" fillId="0" borderId="37" xfId="4" applyNumberFormat="1" applyFont="1" applyFill="1" applyBorder="1" applyAlignment="1" applyProtection="1">
      <alignment horizontal="center"/>
    </xf>
    <xf numFmtId="0" fontId="8" fillId="0" borderId="37" xfId="4" applyFont="1" applyBorder="1" applyAlignment="1" applyProtection="1">
      <alignment horizontal="center"/>
    </xf>
    <xf numFmtId="0" fontId="8" fillId="0" borderId="37" xfId="4" applyFont="1" applyBorder="1" applyProtection="1"/>
    <xf numFmtId="1" fontId="8" fillId="0" borderId="37" xfId="4" applyNumberFormat="1" applyFont="1" applyBorder="1" applyProtection="1"/>
    <xf numFmtId="0" fontId="8" fillId="0" borderId="38" xfId="4" applyFont="1" applyBorder="1" applyProtection="1"/>
    <xf numFmtId="0" fontId="8" fillId="0" borderId="14" xfId="4" applyFont="1" applyFill="1" applyBorder="1" applyProtection="1"/>
    <xf numFmtId="0" fontId="8" fillId="0" borderId="15" xfId="4" applyFont="1" applyFill="1" applyBorder="1" applyProtection="1"/>
    <xf numFmtId="165" fontId="10" fillId="0" borderId="39" xfId="4" applyNumberFormat="1" applyFont="1" applyBorder="1" applyAlignment="1" applyProtection="1">
      <alignment horizontal="center"/>
    </xf>
    <xf numFmtId="0" fontId="0" fillId="0" borderId="16" xfId="0" applyBorder="1" applyProtection="1"/>
    <xf numFmtId="0" fontId="8" fillId="0" borderId="14" xfId="4" applyFont="1" applyFill="1" applyBorder="1" applyAlignment="1" applyProtection="1">
      <alignment horizontal="left" indent="1"/>
    </xf>
    <xf numFmtId="172" fontId="10" fillId="0" borderId="39" xfId="4" applyNumberFormat="1" applyFont="1" applyBorder="1" applyAlignment="1" applyProtection="1">
      <alignment horizontal="center"/>
    </xf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16" xfId="0" applyFont="1" applyBorder="1" applyProtection="1"/>
    <xf numFmtId="1" fontId="10" fillId="0" borderId="15" xfId="4" applyNumberFormat="1" applyFont="1" applyBorder="1" applyAlignment="1" applyProtection="1">
      <alignment horizontal="center"/>
    </xf>
    <xf numFmtId="0" fontId="8" fillId="0" borderId="18" xfId="4" applyFont="1" applyFill="1" applyBorder="1" applyProtection="1"/>
    <xf numFmtId="0" fontId="0" fillId="0" borderId="19" xfId="0" applyBorder="1" applyProtection="1"/>
    <xf numFmtId="9" fontId="16" fillId="0" borderId="19" xfId="4" applyNumberFormat="1" applyFont="1" applyBorder="1" applyAlignment="1" applyProtection="1">
      <alignment horizontal="center"/>
    </xf>
    <xf numFmtId="0" fontId="0" fillId="0" borderId="20" xfId="0" applyBorder="1" applyProtection="1"/>
    <xf numFmtId="0" fontId="8" fillId="0" borderId="0" xfId="4" applyFont="1" applyFill="1" applyBorder="1" applyProtection="1"/>
    <xf numFmtId="0" fontId="5" fillId="2" borderId="1" xfId="0" applyFont="1" applyFill="1" applyBorder="1" applyAlignment="1" applyProtection="1">
      <alignment vertical="center"/>
    </xf>
    <xf numFmtId="0" fontId="20" fillId="0" borderId="33" xfId="4" applyFont="1" applyFill="1" applyBorder="1" applyProtection="1"/>
    <xf numFmtId="0" fontId="20" fillId="0" borderId="34" xfId="4" applyFont="1" applyBorder="1" applyProtection="1"/>
    <xf numFmtId="1" fontId="20" fillId="0" borderId="34" xfId="4" applyNumberFormat="1" applyFont="1" applyBorder="1" applyProtection="1"/>
    <xf numFmtId="0" fontId="20" fillId="0" borderId="35" xfId="4" applyFont="1" applyBorder="1" applyProtection="1"/>
    <xf numFmtId="0" fontId="21" fillId="0" borderId="0" xfId="0" applyFont="1" applyProtection="1"/>
    <xf numFmtId="0" fontId="3" fillId="4" borderId="11" xfId="3" applyFont="1" applyFill="1" applyBorder="1" applyAlignment="1" applyProtection="1">
      <alignment horizontal="left" vertical="center"/>
      <protection locked="0"/>
    </xf>
    <xf numFmtId="0" fontId="3" fillId="4" borderId="15" xfId="3" applyFont="1" applyFill="1" applyBorder="1" applyAlignment="1" applyProtection="1">
      <alignment horizontal="left" vertical="center"/>
      <protection locked="0"/>
    </xf>
    <xf numFmtId="0" fontId="3" fillId="4" borderId="19" xfId="3" applyFont="1" applyFill="1" applyBorder="1" applyAlignment="1" applyProtection="1">
      <alignment horizontal="left" vertical="center"/>
      <protection locked="0"/>
    </xf>
    <xf numFmtId="0" fontId="3" fillId="4" borderId="16" xfId="3" applyFont="1" applyFill="1" applyBorder="1" applyAlignment="1" applyProtection="1">
      <alignment horizontal="left" vertical="center"/>
      <protection locked="0"/>
    </xf>
    <xf numFmtId="0" fontId="3" fillId="4" borderId="11" xfId="0" applyFont="1" applyFill="1" applyBorder="1" applyAlignment="1" applyProtection="1">
      <alignment horizontal="center" vertical="center"/>
      <protection locked="0"/>
    </xf>
    <xf numFmtId="0" fontId="3" fillId="4" borderId="15" xfId="0" applyFont="1" applyFill="1" applyBorder="1" applyAlignment="1" applyProtection="1">
      <alignment horizontal="center" vertical="center"/>
      <protection locked="0"/>
    </xf>
    <xf numFmtId="3" fontId="3" fillId="4" borderId="19" xfId="0" applyNumberFormat="1" applyFont="1" applyFill="1" applyBorder="1" applyAlignment="1" applyProtection="1">
      <alignment horizontal="center" vertical="center"/>
      <protection locked="0"/>
    </xf>
    <xf numFmtId="0" fontId="3" fillId="4" borderId="12" xfId="3" applyFont="1" applyFill="1" applyBorder="1" applyAlignment="1" applyProtection="1">
      <alignment horizontal="center" vertical="center"/>
      <protection locked="0"/>
    </xf>
    <xf numFmtId="0" fontId="3" fillId="4" borderId="16" xfId="3" applyFont="1" applyFill="1" applyBorder="1" applyAlignment="1" applyProtection="1">
      <alignment horizontal="center" vertical="center"/>
      <protection locked="0"/>
    </xf>
    <xf numFmtId="0" fontId="3" fillId="4" borderId="20" xfId="3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 wrapText="1"/>
      <protection locked="0"/>
    </xf>
    <xf numFmtId="0" fontId="3" fillId="4" borderId="11" xfId="0" applyFont="1" applyFill="1" applyBorder="1" applyAlignment="1" applyProtection="1">
      <alignment horizontal="center" vertical="center" wrapText="1"/>
      <protection locked="0"/>
    </xf>
    <xf numFmtId="0" fontId="3" fillId="4" borderId="25" xfId="0" applyFont="1" applyFill="1" applyBorder="1" applyAlignment="1" applyProtection="1">
      <alignment horizontal="center" vertical="center" wrapText="1"/>
      <protection locked="0"/>
    </xf>
    <xf numFmtId="0" fontId="3" fillId="4" borderId="26" xfId="0" applyFont="1" applyFill="1" applyBorder="1" applyAlignment="1" applyProtection="1">
      <alignment horizontal="center" vertical="center"/>
      <protection locked="0"/>
    </xf>
    <xf numFmtId="0" fontId="3" fillId="4" borderId="27" xfId="0" applyFont="1" applyFill="1" applyBorder="1" applyAlignment="1" applyProtection="1">
      <alignment horizontal="center" vertical="center"/>
      <protection locked="0"/>
    </xf>
    <xf numFmtId="0" fontId="3" fillId="4" borderId="28" xfId="0" applyFont="1" applyFill="1" applyBorder="1" applyAlignment="1" applyProtection="1">
      <alignment horizontal="center" vertical="center"/>
      <protection locked="0"/>
    </xf>
    <xf numFmtId="165" fontId="3" fillId="4" borderId="26" xfId="0" applyNumberFormat="1" applyFont="1" applyFill="1" applyBorder="1" applyAlignment="1" applyProtection="1">
      <alignment horizontal="center" vertical="center"/>
      <protection locked="0"/>
    </xf>
    <xf numFmtId="0" fontId="3" fillId="4" borderId="29" xfId="0" applyFont="1" applyFill="1" applyBorder="1" applyAlignment="1" applyProtection="1">
      <alignment horizontal="center" vertical="center"/>
      <protection locked="0"/>
    </xf>
    <xf numFmtId="0" fontId="3" fillId="4" borderId="15" xfId="3" applyFont="1" applyFill="1" applyBorder="1" applyAlignment="1" applyProtection="1">
      <alignment horizontal="left" vertical="center" wrapText="1"/>
      <protection locked="0"/>
    </xf>
    <xf numFmtId="0" fontId="3" fillId="4" borderId="15" xfId="4" applyFont="1" applyFill="1" applyBorder="1" applyAlignment="1" applyProtection="1">
      <alignment horizontal="left" vertical="center"/>
      <protection locked="0"/>
    </xf>
    <xf numFmtId="0" fontId="3" fillId="4" borderId="15" xfId="4" applyFont="1" applyFill="1" applyBorder="1" applyAlignment="1" applyProtection="1">
      <alignment horizontal="left"/>
      <protection locked="0"/>
    </xf>
    <xf numFmtId="0" fontId="3" fillId="4" borderId="15" xfId="4" applyFont="1" applyFill="1" applyBorder="1" applyAlignment="1" applyProtection="1">
      <alignment horizontal="left" wrapText="1"/>
      <protection locked="0"/>
    </xf>
    <xf numFmtId="169" fontId="3" fillId="4" borderId="15" xfId="4" applyNumberFormat="1" applyFont="1" applyFill="1" applyBorder="1" applyAlignment="1" applyProtection="1">
      <alignment horizontal="center"/>
      <protection locked="0"/>
    </xf>
    <xf numFmtId="10" fontId="14" fillId="4" borderId="15" xfId="4" applyNumberFormat="1" applyFont="1" applyFill="1" applyBorder="1" applyAlignment="1" applyProtection="1">
      <alignment horizontal="center"/>
      <protection locked="0"/>
    </xf>
    <xf numFmtId="171" fontId="14" fillId="4" borderId="15" xfId="2" applyNumberFormat="1" applyFont="1" applyFill="1" applyBorder="1" applyAlignment="1" applyProtection="1">
      <alignment horizontal="center"/>
      <protection locked="0"/>
    </xf>
    <xf numFmtId="49" fontId="15" fillId="4" borderId="15" xfId="4" applyNumberFormat="1" applyFont="1" applyFill="1" applyBorder="1" applyAlignment="1" applyProtection="1">
      <alignment horizontal="left"/>
      <protection locked="0"/>
    </xf>
    <xf numFmtId="0" fontId="20" fillId="0" borderId="14" xfId="4" applyFont="1" applyFill="1" applyBorder="1" applyProtection="1"/>
    <xf numFmtId="0" fontId="21" fillId="0" borderId="15" xfId="0" applyFont="1" applyBorder="1" applyProtection="1"/>
    <xf numFmtId="0" fontId="20" fillId="0" borderId="18" xfId="4" applyFont="1" applyFill="1" applyBorder="1" applyProtection="1"/>
    <xf numFmtId="0" fontId="21" fillId="0" borderId="19" xfId="0" applyFont="1" applyBorder="1" applyProtection="1"/>
    <xf numFmtId="0" fontId="8" fillId="0" borderId="15" xfId="4" applyFont="1" applyBorder="1" applyAlignment="1" applyProtection="1">
      <alignment horizontal="center"/>
    </xf>
    <xf numFmtId="1" fontId="9" fillId="0" borderId="15" xfId="4" applyNumberFormat="1" applyFont="1" applyFill="1" applyBorder="1" applyAlignment="1" applyProtection="1">
      <alignment horizontal="center"/>
    </xf>
    <xf numFmtId="173" fontId="20" fillId="5" borderId="15" xfId="4" applyNumberFormat="1" applyFont="1" applyFill="1" applyBorder="1" applyAlignment="1" applyProtection="1">
      <alignment horizontal="center"/>
    </xf>
    <xf numFmtId="9" fontId="20" fillId="5" borderId="19" xfId="4" applyNumberFormat="1" applyFont="1" applyFill="1" applyBorder="1" applyAlignment="1" applyProtection="1">
      <alignment horizontal="center"/>
    </xf>
    <xf numFmtId="14" fontId="3" fillId="4" borderId="19" xfId="3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Border="1" applyAlignment="1" applyProtection="1">
      <alignment horizontal="left" vertical="center"/>
    </xf>
    <xf numFmtId="0" fontId="3" fillId="4" borderId="15" xfId="3" applyFont="1" applyFill="1" applyBorder="1" applyAlignment="1" applyProtection="1">
      <alignment horizontal="center" vertical="center" wrapText="1"/>
      <protection locked="0"/>
    </xf>
    <xf numFmtId="174" fontId="3" fillId="4" borderId="26" xfId="0" applyNumberFormat="1" applyFont="1" applyFill="1" applyBorder="1" applyAlignment="1" applyProtection="1">
      <alignment horizontal="center" vertical="center"/>
      <protection locked="0"/>
    </xf>
    <xf numFmtId="174" fontId="3" fillId="4" borderId="27" xfId="0" applyNumberFormat="1" applyFont="1" applyFill="1" applyBorder="1" applyAlignment="1" applyProtection="1">
      <alignment horizontal="center" vertical="center"/>
      <protection locked="0"/>
    </xf>
    <xf numFmtId="0" fontId="3" fillId="4" borderId="15" xfId="4" applyFont="1" applyFill="1" applyBorder="1" applyAlignment="1" applyProtection="1">
      <alignment horizontal="center"/>
      <protection locked="0"/>
    </xf>
    <xf numFmtId="165" fontId="8" fillId="2" borderId="0" xfId="4" applyNumberFormat="1" applyFont="1" applyFill="1" applyBorder="1" applyAlignment="1" applyProtection="1">
      <alignment horizontal="center" vertical="center" wrapText="1"/>
    </xf>
    <xf numFmtId="9" fontId="0" fillId="0" borderId="0" xfId="0" applyNumberFormat="1" applyFont="1" applyProtection="1"/>
    <xf numFmtId="175" fontId="3" fillId="4" borderId="27" xfId="0" applyNumberFormat="1" applyFont="1" applyFill="1" applyBorder="1" applyAlignment="1" applyProtection="1">
      <alignment horizontal="center" vertical="center"/>
      <protection locked="0"/>
    </xf>
    <xf numFmtId="175" fontId="3" fillId="4" borderId="28" xfId="0" applyNumberFormat="1" applyFont="1" applyFill="1" applyBorder="1" applyAlignment="1" applyProtection="1">
      <alignment horizontal="center" vertical="center"/>
      <protection locked="0"/>
    </xf>
    <xf numFmtId="175" fontId="8" fillId="0" borderId="32" xfId="0" applyNumberFormat="1" applyFont="1" applyFill="1" applyBorder="1" applyAlignment="1" applyProtection="1">
      <alignment horizontal="left" vertical="center"/>
    </xf>
    <xf numFmtId="175" fontId="10" fillId="0" borderId="32" xfId="0" applyNumberFormat="1" applyFont="1" applyFill="1" applyBorder="1" applyAlignment="1" applyProtection="1">
      <alignment horizontal="left" vertical="center"/>
    </xf>
    <xf numFmtId="175" fontId="0" fillId="0" borderId="0" xfId="0" applyNumberFormat="1" applyFont="1" applyProtection="1"/>
    <xf numFmtId="176" fontId="10" fillId="0" borderId="26" xfId="1" applyNumberFormat="1" applyFont="1" applyFill="1" applyBorder="1" applyAlignment="1" applyProtection="1">
      <alignment horizontal="center" vertical="center"/>
    </xf>
    <xf numFmtId="176" fontId="10" fillId="0" borderId="15" xfId="1" applyNumberFormat="1" applyFont="1" applyFill="1" applyBorder="1" applyAlignment="1" applyProtection="1">
      <alignment horizontal="center" vertical="center"/>
    </xf>
    <xf numFmtId="176" fontId="10" fillId="0" borderId="29" xfId="1" applyNumberFormat="1" applyFont="1" applyFill="1" applyBorder="1" applyAlignment="1" applyProtection="1">
      <alignment horizontal="center" vertical="center"/>
    </xf>
    <xf numFmtId="176" fontId="12" fillId="0" borderId="23" xfId="5" applyNumberFormat="1" applyFont="1" applyFill="1" applyBorder="1" applyAlignment="1" applyProtection="1">
      <alignment horizontal="center"/>
      <protection locked="0"/>
    </xf>
    <xf numFmtId="176" fontId="12" fillId="0" borderId="19" xfId="5" applyNumberFormat="1" applyFont="1" applyFill="1" applyBorder="1" applyAlignment="1" applyProtection="1">
      <alignment horizontal="center"/>
      <protection locked="0"/>
    </xf>
    <xf numFmtId="176" fontId="12" fillId="0" borderId="30" xfId="5" applyNumberFormat="1" applyFont="1" applyFill="1" applyBorder="1" applyAlignment="1" applyProtection="1">
      <alignment horizontal="center"/>
      <protection locked="0"/>
    </xf>
    <xf numFmtId="175" fontId="10" fillId="0" borderId="15" xfId="4" applyNumberFormat="1" applyFont="1" applyBorder="1" applyAlignment="1" applyProtection="1">
      <alignment horizontal="center"/>
    </xf>
    <xf numFmtId="175" fontId="14" fillId="4" borderId="15" xfId="4" applyNumberFormat="1" applyFont="1" applyFill="1" applyBorder="1" applyAlignment="1" applyProtection="1">
      <alignment horizontal="center"/>
      <protection locked="0"/>
    </xf>
    <xf numFmtId="175" fontId="0" fillId="0" borderId="15" xfId="0" applyNumberFormat="1" applyFont="1" applyBorder="1" applyProtection="1"/>
    <xf numFmtId="175" fontId="21" fillId="0" borderId="15" xfId="0" applyNumberFormat="1" applyFont="1" applyBorder="1" applyProtection="1"/>
    <xf numFmtId="175" fontId="21" fillId="0" borderId="19" xfId="0" applyNumberFormat="1" applyFont="1" applyBorder="1" applyProtection="1"/>
    <xf numFmtId="175" fontId="10" fillId="0" borderId="16" xfId="4" applyNumberFormat="1" applyFont="1" applyBorder="1" applyAlignment="1" applyProtection="1">
      <alignment horizontal="center"/>
    </xf>
    <xf numFmtId="176" fontId="10" fillId="0" borderId="15" xfId="4" applyNumberFormat="1" applyFont="1" applyBorder="1" applyAlignment="1" applyProtection="1">
      <alignment horizontal="center"/>
    </xf>
    <xf numFmtId="176" fontId="8" fillId="0" borderId="15" xfId="5" applyNumberFormat="1" applyFont="1" applyBorder="1" applyAlignment="1" applyProtection="1">
      <alignment horizontal="center"/>
    </xf>
    <xf numFmtId="176" fontId="14" fillId="4" borderId="15" xfId="4" applyNumberFormat="1" applyFont="1" applyFill="1" applyBorder="1" applyAlignment="1" applyProtection="1">
      <alignment horizontal="center"/>
      <protection locked="0"/>
    </xf>
    <xf numFmtId="176" fontId="20" fillId="5" borderId="34" xfId="4" applyNumberFormat="1" applyFont="1" applyFill="1" applyBorder="1" applyAlignment="1" applyProtection="1">
      <alignment horizontal="center"/>
    </xf>
    <xf numFmtId="176" fontId="20" fillId="0" borderId="34" xfId="4" applyNumberFormat="1" applyFont="1" applyBorder="1" applyAlignment="1" applyProtection="1">
      <alignment horizontal="center"/>
    </xf>
    <xf numFmtId="176" fontId="8" fillId="0" borderId="37" xfId="4" applyNumberFormat="1" applyFont="1" applyFill="1" applyBorder="1" applyAlignment="1" applyProtection="1">
      <alignment horizontal="center"/>
    </xf>
    <xf numFmtId="176" fontId="8" fillId="0" borderId="37" xfId="4" applyNumberFormat="1" applyFont="1" applyBorder="1" applyAlignment="1" applyProtection="1">
      <alignment horizontal="center"/>
    </xf>
    <xf numFmtId="176" fontId="10" fillId="0" borderId="39" xfId="4" applyNumberFormat="1" applyFont="1" applyBorder="1" applyAlignment="1" applyProtection="1">
      <alignment horizontal="center"/>
    </xf>
    <xf numFmtId="176" fontId="0" fillId="0" borderId="15" xfId="0" applyNumberFormat="1" applyBorder="1" applyProtection="1"/>
    <xf numFmtId="176" fontId="10" fillId="0" borderId="16" xfId="4" applyNumberFormat="1" applyFont="1" applyBorder="1" applyAlignment="1" applyProtection="1">
      <alignment horizontal="center"/>
    </xf>
    <xf numFmtId="0" fontId="25" fillId="6" borderId="15" xfId="6" applyFont="1" applyFill="1" applyBorder="1" applyAlignment="1">
      <alignment horizontal="center" vertical="center" wrapText="1"/>
    </xf>
    <xf numFmtId="2" fontId="25" fillId="6" borderId="15" xfId="6" applyNumberFormat="1" applyFont="1" applyFill="1" applyBorder="1" applyAlignment="1">
      <alignment horizontal="center" vertical="center" wrapText="1"/>
    </xf>
    <xf numFmtId="0" fontId="7" fillId="6" borderId="15" xfId="7" applyFont="1" applyFill="1" applyBorder="1" applyAlignment="1">
      <alignment horizontal="center" vertical="center" wrapText="1"/>
    </xf>
    <xf numFmtId="0" fontId="27" fillId="6" borderId="15" xfId="8" applyFont="1" applyFill="1" applyBorder="1" applyAlignment="1">
      <alignment horizontal="center" vertical="center" wrapText="1"/>
    </xf>
    <xf numFmtId="0" fontId="28" fillId="6" borderId="15" xfId="8" applyFont="1" applyFill="1" applyBorder="1" applyAlignment="1">
      <alignment horizontal="center" vertical="center" wrapText="1"/>
    </xf>
    <xf numFmtId="177" fontId="28" fillId="6" borderId="15" xfId="8" applyNumberFormat="1" applyFont="1" applyFill="1" applyBorder="1" applyAlignment="1">
      <alignment horizontal="center" vertical="center" wrapText="1"/>
    </xf>
    <xf numFmtId="0" fontId="1" fillId="0" borderId="0" xfId="8"/>
    <xf numFmtId="49" fontId="25" fillId="0" borderId="15" xfId="6" quotePrefix="1" applyNumberFormat="1" applyFont="1" applyFill="1" applyBorder="1" applyAlignment="1">
      <alignment horizontal="center" vertical="center" wrapText="1"/>
    </xf>
    <xf numFmtId="0" fontId="25" fillId="0" borderId="15" xfId="6" applyFont="1" applyFill="1" applyBorder="1" applyAlignment="1">
      <alignment horizontal="center" vertical="center" wrapText="1"/>
    </xf>
    <xf numFmtId="1" fontId="25" fillId="0" borderId="15" xfId="6" applyNumberFormat="1" applyFont="1" applyFill="1" applyBorder="1" applyAlignment="1">
      <alignment horizontal="center" vertical="center" wrapText="1"/>
    </xf>
    <xf numFmtId="0" fontId="29" fillId="0" borderId="15" xfId="9" applyFont="1" applyFill="1" applyBorder="1" applyAlignment="1">
      <alignment horizontal="center" vertical="center" wrapText="1"/>
    </xf>
    <xf numFmtId="0" fontId="7" fillId="0" borderId="15" xfId="7" applyFont="1" applyFill="1" applyBorder="1" applyAlignment="1">
      <alignment horizontal="center" vertical="center"/>
    </xf>
    <xf numFmtId="3" fontId="29" fillId="0" borderId="15" xfId="9" applyNumberFormat="1" applyFont="1" applyFill="1" applyBorder="1" applyAlignment="1">
      <alignment horizontal="center" vertical="center" wrapText="1"/>
    </xf>
    <xf numFmtId="177" fontId="29" fillId="0" borderId="15" xfId="9" applyNumberFormat="1" applyFont="1" applyFill="1" applyBorder="1" applyAlignment="1">
      <alignment horizontal="center" vertical="center" wrapText="1"/>
    </xf>
    <xf numFmtId="0" fontId="7" fillId="0" borderId="15" xfId="7" applyFont="1" applyFill="1" applyBorder="1" applyAlignment="1">
      <alignment horizontal="center" vertical="center" wrapText="1"/>
    </xf>
    <xf numFmtId="1" fontId="25" fillId="0" borderId="15" xfId="6" applyNumberFormat="1" applyFont="1" applyFill="1" applyBorder="1" applyAlignment="1">
      <alignment horizontal="center" vertical="center"/>
    </xf>
    <xf numFmtId="0" fontId="20" fillId="0" borderId="34" xfId="4" applyFont="1" applyFill="1" applyBorder="1" applyAlignment="1" applyProtection="1">
      <alignment horizontal="center"/>
    </xf>
    <xf numFmtId="49" fontId="42" fillId="4" borderId="20" xfId="110" applyNumberFormat="1" applyFill="1" applyBorder="1" applyAlignment="1" applyProtection="1">
      <alignment horizontal="left" vertical="center"/>
      <protection locked="0"/>
    </xf>
    <xf numFmtId="0" fontId="3" fillId="4" borderId="12" xfId="3" quotePrefix="1" applyFont="1" applyFill="1" applyBorder="1" applyAlignment="1" applyProtection="1">
      <alignment horizontal="left" vertical="center"/>
      <protection locked="0"/>
    </xf>
    <xf numFmtId="0" fontId="42" fillId="4" borderId="11" xfId="110" applyFill="1" applyBorder="1" applyAlignment="1" applyProtection="1">
      <alignment horizontal="left" vertical="center"/>
      <protection locked="0"/>
    </xf>
    <xf numFmtId="0" fontId="4" fillId="2" borderId="9" xfId="3" applyFont="1" applyFill="1" applyBorder="1" applyAlignment="1" applyProtection="1">
      <alignment horizontal="center" vertical="center" wrapText="1" readingOrder="1"/>
    </xf>
    <xf numFmtId="0" fontId="4" fillId="2" borderId="13" xfId="3" applyFont="1" applyFill="1" applyBorder="1" applyAlignment="1" applyProtection="1">
      <alignment horizontal="center" vertical="center" wrapText="1" readingOrder="1"/>
    </xf>
    <xf numFmtId="0" fontId="4" fillId="2" borderId="17" xfId="3" applyFont="1" applyFill="1" applyBorder="1" applyAlignment="1" applyProtection="1">
      <alignment horizontal="center" vertical="center" wrapText="1" readingOrder="1"/>
    </xf>
    <xf numFmtId="0" fontId="4" fillId="2" borderId="9" xfId="0" applyFont="1" applyFill="1" applyBorder="1" applyAlignment="1" applyProtection="1">
      <alignment horizontal="center" vertical="center" wrapText="1" readingOrder="1"/>
    </xf>
    <xf numFmtId="0" fontId="4" fillId="2" borderId="13" xfId="0" applyFont="1" applyFill="1" applyBorder="1" applyAlignment="1" applyProtection="1">
      <alignment horizontal="center" vertical="center" wrapText="1" readingOrder="1"/>
    </xf>
    <xf numFmtId="0" fontId="4" fillId="2" borderId="17" xfId="0" applyFont="1" applyFill="1" applyBorder="1" applyAlignment="1" applyProtection="1">
      <alignment horizontal="center" vertical="center" wrapText="1" readingOrder="1"/>
    </xf>
    <xf numFmtId="49" fontId="17" fillId="4" borderId="1" xfId="0" applyNumberFormat="1" applyFont="1" applyFill="1" applyBorder="1" applyAlignment="1" applyProtection="1">
      <alignment horizontal="left" vertical="top"/>
      <protection locked="0"/>
    </xf>
    <xf numFmtId="49" fontId="17" fillId="4" borderId="2" xfId="0" applyNumberFormat="1" applyFont="1" applyFill="1" applyBorder="1" applyAlignment="1" applyProtection="1">
      <alignment horizontal="left" vertical="top"/>
      <protection locked="0"/>
    </xf>
    <xf numFmtId="49" fontId="17" fillId="4" borderId="3" xfId="0" applyNumberFormat="1" applyFont="1" applyFill="1" applyBorder="1" applyAlignment="1" applyProtection="1">
      <alignment horizontal="left" vertical="top"/>
      <protection locked="0"/>
    </xf>
    <xf numFmtId="49" fontId="17" fillId="4" borderId="4" xfId="0" applyNumberFormat="1" applyFont="1" applyFill="1" applyBorder="1" applyAlignment="1" applyProtection="1">
      <alignment horizontal="left" vertical="top"/>
      <protection locked="0"/>
    </xf>
    <xf numFmtId="49" fontId="17" fillId="4" borderId="0" xfId="0" applyNumberFormat="1" applyFont="1" applyFill="1" applyBorder="1" applyAlignment="1" applyProtection="1">
      <alignment horizontal="left" vertical="top"/>
      <protection locked="0"/>
    </xf>
    <xf numFmtId="49" fontId="17" fillId="4" borderId="5" xfId="0" applyNumberFormat="1" applyFont="1" applyFill="1" applyBorder="1" applyAlignment="1" applyProtection="1">
      <alignment horizontal="left" vertical="top"/>
      <protection locked="0"/>
    </xf>
    <xf numFmtId="49" fontId="17" fillId="4" borderId="6" xfId="0" applyNumberFormat="1" applyFont="1" applyFill="1" applyBorder="1" applyAlignment="1" applyProtection="1">
      <alignment horizontal="left" vertical="top"/>
      <protection locked="0"/>
    </xf>
    <xf numFmtId="49" fontId="17" fillId="4" borderId="7" xfId="0" applyNumberFormat="1" applyFont="1" applyFill="1" applyBorder="1" applyAlignment="1" applyProtection="1">
      <alignment horizontal="left" vertical="top"/>
      <protection locked="0"/>
    </xf>
    <xf numFmtId="49" fontId="17" fillId="4" borderId="8" xfId="0" applyNumberFormat="1" applyFont="1" applyFill="1" applyBorder="1" applyAlignment="1" applyProtection="1">
      <alignment horizontal="left" vertical="top"/>
      <protection locked="0"/>
    </xf>
    <xf numFmtId="49" fontId="17" fillId="3" borderId="1" xfId="0" applyNumberFormat="1" applyFont="1" applyFill="1" applyBorder="1" applyAlignment="1" applyProtection="1">
      <alignment horizontal="left" vertical="top"/>
    </xf>
    <xf numFmtId="49" fontId="17" fillId="3" borderId="2" xfId="0" applyNumberFormat="1" applyFont="1" applyFill="1" applyBorder="1" applyAlignment="1" applyProtection="1">
      <alignment horizontal="left" vertical="top"/>
    </xf>
    <xf numFmtId="49" fontId="17" fillId="3" borderId="3" xfId="0" applyNumberFormat="1" applyFont="1" applyFill="1" applyBorder="1" applyAlignment="1" applyProtection="1">
      <alignment horizontal="left" vertical="top"/>
    </xf>
    <xf numFmtId="49" fontId="17" fillId="3" borderId="4" xfId="0" applyNumberFormat="1" applyFont="1" applyFill="1" applyBorder="1" applyAlignment="1" applyProtection="1">
      <alignment horizontal="left" vertical="top"/>
    </xf>
    <xf numFmtId="49" fontId="17" fillId="3" borderId="0" xfId="0" applyNumberFormat="1" applyFont="1" applyFill="1" applyBorder="1" applyAlignment="1" applyProtection="1">
      <alignment horizontal="left" vertical="top"/>
    </xf>
    <xf numFmtId="49" fontId="17" fillId="3" borderId="5" xfId="0" applyNumberFormat="1" applyFont="1" applyFill="1" applyBorder="1" applyAlignment="1" applyProtection="1">
      <alignment horizontal="left" vertical="top"/>
    </xf>
    <xf numFmtId="49" fontId="17" fillId="3" borderId="6" xfId="0" applyNumberFormat="1" applyFont="1" applyFill="1" applyBorder="1" applyAlignment="1" applyProtection="1">
      <alignment horizontal="left" vertical="top"/>
    </xf>
    <xf numFmtId="49" fontId="17" fillId="3" borderId="7" xfId="0" applyNumberFormat="1" applyFont="1" applyFill="1" applyBorder="1" applyAlignment="1" applyProtection="1">
      <alignment horizontal="left" vertical="top"/>
    </xf>
    <xf numFmtId="49" fontId="17" fillId="3" borderId="8" xfId="0" applyNumberFormat="1" applyFont="1" applyFill="1" applyBorder="1" applyAlignment="1" applyProtection="1">
      <alignment horizontal="left" vertical="top"/>
    </xf>
  </cellXfs>
  <cellStyles count="111">
    <cellStyle name="_ET_STYLE_NoName_00_" xfId="10"/>
    <cellStyle name="_ET_STYLE_NoName_00__副本3月计划" xfId="11"/>
    <cellStyle name="0,0_x000d__x000a_NA_x000d__x000a_" xfId="12"/>
    <cellStyle name="A4 Small 210 x 297 mm" xfId="13"/>
    <cellStyle name="A4 Small 210 x 297 mm 2" xfId="14"/>
    <cellStyle name="A4 Small 210 x 297 mm 2 2" xfId="15"/>
    <cellStyle name="A4 Small 210 x 297 mm 2 3" xfId="16"/>
    <cellStyle name="A4 Small 210 x 297 mm 3" xfId="17"/>
    <cellStyle name="A4 Small 210 x 297 mm 3 2" xfId="18"/>
    <cellStyle name="A4 Small 210 x 297 mm 3 3" xfId="19"/>
    <cellStyle name="Comma 2" xfId="20"/>
    <cellStyle name="Comma 2 2" xfId="21"/>
    <cellStyle name="Comma 2 2 2" xfId="22"/>
    <cellStyle name="Comma 2 3" xfId="23"/>
    <cellStyle name="Comma 2 4" xfId="24"/>
    <cellStyle name="Comma 2 5" xfId="25"/>
    <cellStyle name="Comma 2 6" xfId="26"/>
    <cellStyle name="Comma 2 7" xfId="27"/>
    <cellStyle name="Comma 2 8" xfId="28"/>
    <cellStyle name="Comma 3" xfId="29"/>
    <cellStyle name="Comma 3 2" xfId="30"/>
    <cellStyle name="Currency" xfId="1" builtinId="4"/>
    <cellStyle name="Hyperlink" xfId="110" builtinId="8"/>
    <cellStyle name="Normal" xfId="0" builtinId="0"/>
    <cellStyle name="Normal 10" xfId="31"/>
    <cellStyle name="Normal 10 2" xfId="32"/>
    <cellStyle name="Normal 10 2 2" xfId="33"/>
    <cellStyle name="Normal 10 2 3" xfId="34"/>
    <cellStyle name="Normal 10 3" xfId="35"/>
    <cellStyle name="Normal 10 4" xfId="36"/>
    <cellStyle name="Normal 11" xfId="37"/>
    <cellStyle name="Normal 13" xfId="38"/>
    <cellStyle name="Normal 13 2" xfId="39"/>
    <cellStyle name="Normal 13 3" xfId="40"/>
    <cellStyle name="Normal 15" xfId="41"/>
    <cellStyle name="Normal 2" xfId="7"/>
    <cellStyle name="Normal 2 2" xfId="3"/>
    <cellStyle name="Normal 2 2 2" xfId="6"/>
    <cellStyle name="Normal 2 2 3" xfId="42"/>
    <cellStyle name="Normal 2 3" xfId="43"/>
    <cellStyle name="Normal 2 4" xfId="44"/>
    <cellStyle name="Normal 3" xfId="45"/>
    <cellStyle name="Normal 3 2" xfId="46"/>
    <cellStyle name="Normal 3 2 2" xfId="47"/>
    <cellStyle name="Normal 3 2 3" xfId="48"/>
    <cellStyle name="Normal 3 3" xfId="49"/>
    <cellStyle name="Normal 3 4" xfId="50"/>
    <cellStyle name="Normal 4" xfId="51"/>
    <cellStyle name="Normal 4 2" xfId="52"/>
    <cellStyle name="Normal 4 3" xfId="53"/>
    <cellStyle name="Normal 4 4" xfId="54"/>
    <cellStyle name="Normal 5" xfId="55"/>
    <cellStyle name="Normal 5 2" xfId="56"/>
    <cellStyle name="Normal 5 3" xfId="57"/>
    <cellStyle name="Normal 6" xfId="58"/>
    <cellStyle name="Normal 6 2" xfId="59"/>
    <cellStyle name="Normal 6 3" xfId="60"/>
    <cellStyle name="Normal 7" xfId="61"/>
    <cellStyle name="Normal 7 2" xfId="62"/>
    <cellStyle name="Normal 7 3" xfId="63"/>
    <cellStyle name="Normal 8" xfId="64"/>
    <cellStyle name="Normal 8 2" xfId="65"/>
    <cellStyle name="Normal 8 3" xfId="66"/>
    <cellStyle name="Normal 9" xfId="9"/>
    <cellStyle name="Normal 9 2" xfId="67"/>
    <cellStyle name="Normal 9 2 2" xfId="68"/>
    <cellStyle name="Normal 9 2 3" xfId="69"/>
    <cellStyle name="Normal 9 3" xfId="70"/>
    <cellStyle name="Normal 9 4" xfId="71"/>
    <cellStyle name="Normal 9 5" xfId="72"/>
    <cellStyle name="Normal 9 6" xfId="73"/>
    <cellStyle name="Normal 9 7" xfId="74"/>
    <cellStyle name="Normal 9 8" xfId="75"/>
    <cellStyle name="Normal_BUC M84-Keyboard-02_01_07-check.xls 2" xfId="4"/>
    <cellStyle name="Normale" xfId="76"/>
    <cellStyle name="Normale 2" xfId="77"/>
    <cellStyle name="Normale 3" xfId="78"/>
    <cellStyle name="Normalny 2" xfId="8"/>
    <cellStyle name="Percent" xfId="2" builtinId="5"/>
    <cellStyle name="Percent 2" xfId="79"/>
    <cellStyle name="Percent 2 2" xfId="80"/>
    <cellStyle name="SAPBEXstdItem" xfId="81"/>
    <cellStyle name="千位分隔 2" xfId="82"/>
    <cellStyle name="千位分隔 2 2" xfId="83"/>
    <cellStyle name="千位分隔 2 2 2" xfId="84"/>
    <cellStyle name="千位分隔 2 2 3" xfId="85"/>
    <cellStyle name="千位分隔 2 3" xfId="86"/>
    <cellStyle name="千位分隔 2 4" xfId="87"/>
    <cellStyle name="千位分隔 2 5" xfId="88"/>
    <cellStyle name="千位分隔 2 6" xfId="89"/>
    <cellStyle name="千位分隔 2 7" xfId="90"/>
    <cellStyle name="千位分隔 2 8" xfId="91"/>
    <cellStyle name="常规 2" xfId="92"/>
    <cellStyle name="常规 2 2" xfId="93"/>
    <cellStyle name="常规 2 3" xfId="94"/>
    <cellStyle name="常规 2 4" xfId="95"/>
    <cellStyle name="常规 2 5" xfId="96"/>
    <cellStyle name="常规 2 6" xfId="97"/>
    <cellStyle name="常规 2 7" xfId="98"/>
    <cellStyle name="常规 3" xfId="99"/>
    <cellStyle name="常规 3 2" xfId="100"/>
    <cellStyle name="常规 3 3" xfId="101"/>
    <cellStyle name="常规 3 4" xfId="102"/>
    <cellStyle name="常规 3 5" xfId="103"/>
    <cellStyle name="常规 3 6" xfId="104"/>
    <cellStyle name="常规 3 7" xfId="105"/>
    <cellStyle name="常规 6 4" xfId="106"/>
    <cellStyle name="常规 6 4 2" xfId="107"/>
    <cellStyle name="常规 6 4 3" xfId="108"/>
    <cellStyle name="样式 1" xfId="109"/>
    <cellStyle name="貨幣_GP_PP RFQ_818-0511-17_K20 CTO Frame_1103 2" xfId="5"/>
  </cellStyles>
  <dxfs count="0"/>
  <tableStyles count="0" defaultTableStyle="TableStyleMedium2" defaultPivotStyle="PivotStyleLight16"/>
  <colors>
    <mruColors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1255143</xdr:colOff>
      <xdr:row>1</xdr:row>
      <xdr:rowOff>89647</xdr:rowOff>
    </xdr:from>
    <xdr:to>
      <xdr:col>9</xdr:col>
      <xdr:colOff>1221441</xdr:colOff>
      <xdr:row>2</xdr:row>
      <xdr:rowOff>145676</xdr:rowOff>
    </xdr:to>
    <xdr:pic>
      <xdr:nvPicPr>
        <xdr:cNvPr id="3" name="Picture 2" descr="C:\Users\SKoren\Pictures\Harrys_Logo_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9967" y="224118"/>
          <a:ext cx="1333415" cy="347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5</xdr:row>
      <xdr:rowOff>0</xdr:rowOff>
    </xdr:from>
    <xdr:to>
      <xdr:col>11</xdr:col>
      <xdr:colOff>95250</xdr:colOff>
      <xdr:row>33</xdr:row>
      <xdr:rowOff>154781</xdr:rowOff>
    </xdr:to>
    <xdr:sp macro="" textlink="">
      <xdr:nvSpPr>
        <xdr:cNvPr id="4" name="Rectangle 3"/>
        <xdr:cNvSpPr/>
      </xdr:nvSpPr>
      <xdr:spPr>
        <a:xfrm>
          <a:off x="119063" y="952500"/>
          <a:ext cx="16287750" cy="519112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>
              <a:solidFill>
                <a:srgbClr val="FF0000"/>
              </a:solidFill>
            </a:rPr>
            <a:t>SAMPLE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Private/Quotations/Kimball/2016-03_Siemens%20medical/Quotation/Kimball_Medical%20Sensor_Siemens_2015040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wimmo Plastics"/>
      <sheetName val="Tooling_data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mailto:Dariusz.Zawirski@hi-p.com" TargetMode="External"/><Relationship Id="rId2" Type="http://schemas.openxmlformats.org/officeDocument/2006/relationships/hyperlink" Target="http://www.hi-p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 enableFormatConditionsCalculation="0"/>
  <dimension ref="D1:Y75"/>
  <sheetViews>
    <sheetView showGridLines="0" tabSelected="1" view="pageBreakPreview" zoomScale="85" zoomScaleNormal="80" zoomScaleSheetLayoutView="85" zoomScalePageLayoutView="80" workbookViewId="0">
      <selection activeCell="J13" sqref="J13"/>
    </sheetView>
  </sheetViews>
  <sheetFormatPr baseColWidth="10" defaultColWidth="10.5" defaultRowHeight="14" x14ac:dyDescent="0"/>
  <cols>
    <col min="1" max="2" width="10.5" style="2"/>
    <col min="3" max="3" width="1.83203125" style="2" customWidth="1"/>
    <col min="4" max="4" width="21.83203125" style="2" customWidth="1"/>
    <col min="5" max="5" width="30.6640625" style="2" customWidth="1"/>
    <col min="6" max="6" width="33.6640625" style="2" bestFit="1" customWidth="1"/>
    <col min="7" max="8" width="20.1640625" style="2" customWidth="1"/>
    <col min="9" max="9" width="20.5" style="2" bestFit="1" customWidth="1"/>
    <col min="10" max="16" width="20.1640625" style="2" customWidth="1"/>
    <col min="17" max="17" width="1.83203125" style="2" customWidth="1"/>
    <col min="18" max="23" width="10.5" style="2" customWidth="1"/>
    <col min="24" max="16384" width="10.5" style="2"/>
  </cols>
  <sheetData>
    <row r="1" spans="4:24" ht="10.5" customHeight="1" thickBot="1"/>
    <row r="2" spans="4:24" s="5" customFormat="1" ht="22.5" customHeight="1">
      <c r="D2" s="171" t="s">
        <v>92</v>
      </c>
      <c r="E2" s="3"/>
      <c r="F2" s="3"/>
      <c r="G2" s="3"/>
      <c r="H2" s="3"/>
      <c r="I2" s="3"/>
      <c r="J2" s="4"/>
      <c r="O2" s="6"/>
      <c r="P2" s="7"/>
      <c r="Q2" s="6"/>
      <c r="R2" s="6"/>
      <c r="S2" s="6"/>
      <c r="T2" s="6"/>
    </row>
    <row r="3" spans="4:24" s="11" customFormat="1" ht="14.25" customHeight="1">
      <c r="D3" s="8" t="s">
        <v>93</v>
      </c>
      <c r="E3" s="9"/>
      <c r="F3" s="9"/>
      <c r="G3" s="9"/>
      <c r="H3" s="9"/>
      <c r="I3" s="9"/>
      <c r="J3" s="10"/>
      <c r="O3" s="12"/>
      <c r="P3" s="13"/>
      <c r="Q3" s="12"/>
      <c r="R3" s="12"/>
      <c r="S3" s="12"/>
      <c r="T3" s="12"/>
    </row>
    <row r="4" spans="4:24" s="11" customFormat="1" ht="14.25" customHeight="1">
      <c r="D4" s="8" t="s">
        <v>1</v>
      </c>
      <c r="E4" s="9"/>
      <c r="F4" s="9"/>
      <c r="G4" s="9"/>
      <c r="H4" s="9"/>
      <c r="I4" s="9"/>
      <c r="J4" s="10"/>
      <c r="O4" s="12"/>
      <c r="P4" s="13"/>
      <c r="Q4" s="12"/>
      <c r="R4" s="12"/>
      <c r="S4" s="12"/>
      <c r="T4" s="12"/>
    </row>
    <row r="5" spans="4:24" s="11" customFormat="1" ht="14.25" customHeight="1" thickBot="1">
      <c r="D5" s="14" t="s">
        <v>2</v>
      </c>
      <c r="E5" s="15"/>
      <c r="F5" s="15"/>
      <c r="G5" s="15"/>
      <c r="H5" s="15"/>
      <c r="I5" s="15"/>
      <c r="J5" s="16"/>
      <c r="O5" s="12"/>
      <c r="P5" s="17"/>
      <c r="Q5" s="12"/>
      <c r="R5" s="12"/>
      <c r="S5" s="212" t="s">
        <v>111</v>
      </c>
      <c r="T5" s="212" t="s">
        <v>112</v>
      </c>
    </row>
    <row r="6" spans="4:24" s="20" customFormat="1" ht="14.25" customHeight="1" thickBot="1">
      <c r="D6" s="18"/>
      <c r="E6" s="19"/>
      <c r="F6" s="19"/>
      <c r="G6" s="19"/>
      <c r="H6" s="19"/>
      <c r="I6" s="19"/>
      <c r="J6" s="19"/>
      <c r="P6" s="21"/>
      <c r="S6" s="20">
        <v>1</v>
      </c>
      <c r="T6" s="20">
        <v>1</v>
      </c>
    </row>
    <row r="7" spans="4:24" s="27" customFormat="1" ht="14.25" customHeight="1">
      <c r="D7" s="266" t="s">
        <v>3</v>
      </c>
      <c r="E7" s="22" t="s">
        <v>4</v>
      </c>
      <c r="F7" s="177" t="s">
        <v>94</v>
      </c>
      <c r="G7" s="24" t="s">
        <v>5</v>
      </c>
      <c r="H7" s="265" t="s">
        <v>172</v>
      </c>
      <c r="I7" s="25" t="s">
        <v>6</v>
      </c>
      <c r="J7" s="264" t="s">
        <v>170</v>
      </c>
      <c r="S7" s="28"/>
      <c r="T7" s="28"/>
      <c r="U7" s="28"/>
      <c r="V7" s="28"/>
      <c r="W7" s="28"/>
      <c r="X7" s="28"/>
    </row>
    <row r="8" spans="4:24" s="34" customFormat="1" ht="14.25" customHeight="1">
      <c r="D8" s="267"/>
      <c r="E8" s="29" t="s">
        <v>7</v>
      </c>
      <c r="F8" s="178" t="s">
        <v>171</v>
      </c>
      <c r="G8" s="31" t="s">
        <v>8</v>
      </c>
      <c r="H8" s="178" t="s">
        <v>96</v>
      </c>
      <c r="I8" s="32" t="s">
        <v>9</v>
      </c>
      <c r="J8" s="180"/>
      <c r="S8" s="35"/>
      <c r="T8" s="35"/>
      <c r="U8" s="35"/>
      <c r="V8" s="35"/>
      <c r="W8" s="35"/>
      <c r="X8" s="36"/>
    </row>
    <row r="9" spans="4:24" s="43" customFormat="1" ht="14.25" customHeight="1" thickBot="1">
      <c r="D9" s="268"/>
      <c r="E9" s="37" t="s">
        <v>10</v>
      </c>
      <c r="F9" s="179" t="s">
        <v>95</v>
      </c>
      <c r="G9" s="39" t="s">
        <v>11</v>
      </c>
      <c r="H9" s="211">
        <v>42509</v>
      </c>
      <c r="I9" s="41" t="s">
        <v>12</v>
      </c>
      <c r="J9" s="263" t="s">
        <v>169</v>
      </c>
      <c r="S9" s="35"/>
      <c r="T9" s="35"/>
      <c r="U9" s="35"/>
      <c r="V9" s="35"/>
      <c r="W9" s="35"/>
      <c r="X9" s="44"/>
    </row>
    <row r="10" spans="4:24" s="50" customFormat="1" ht="14.25" customHeight="1">
      <c r="D10" s="45"/>
      <c r="E10" s="46"/>
      <c r="F10" s="47"/>
      <c r="G10" s="46"/>
      <c r="H10" s="47"/>
      <c r="I10" s="48"/>
      <c r="J10" s="49"/>
      <c r="S10" s="51"/>
      <c r="T10" s="51"/>
      <c r="U10" s="51"/>
      <c r="V10" s="51"/>
      <c r="W10" s="51"/>
      <c r="X10" s="46"/>
    </row>
    <row r="11" spans="4:24" s="55" customFormat="1" ht="9" customHeight="1" thickBot="1">
      <c r="D11" s="2"/>
      <c r="E11" s="52"/>
      <c r="F11" s="53"/>
      <c r="G11" s="53"/>
      <c r="H11" s="53"/>
      <c r="I11" s="53"/>
      <c r="J11" s="54"/>
      <c r="K11" s="54"/>
      <c r="L11" s="54"/>
      <c r="M11" s="54"/>
      <c r="N11" s="54"/>
      <c r="O11" s="54"/>
      <c r="P11" s="54"/>
      <c r="Q11" s="54"/>
      <c r="R11" s="54"/>
    </row>
    <row r="12" spans="4:24" ht="15" customHeight="1">
      <c r="D12" s="269" t="s">
        <v>13</v>
      </c>
      <c r="E12" s="56" t="s">
        <v>14</v>
      </c>
      <c r="F12" s="181" t="s">
        <v>128</v>
      </c>
      <c r="G12" s="24" t="s">
        <v>15</v>
      </c>
      <c r="H12" s="184">
        <v>8</v>
      </c>
      <c r="K12" s="54"/>
      <c r="L12" s="54"/>
      <c r="M12" s="54"/>
      <c r="N12" s="54"/>
      <c r="O12" s="54"/>
      <c r="P12" s="54"/>
      <c r="Q12" s="54"/>
      <c r="R12" s="54"/>
    </row>
    <row r="13" spans="4:24">
      <c r="D13" s="270"/>
      <c r="E13" s="59" t="s">
        <v>16</v>
      </c>
      <c r="F13" s="182" t="s">
        <v>131</v>
      </c>
      <c r="G13" s="31" t="s">
        <v>17</v>
      </c>
      <c r="H13" s="185">
        <v>3</v>
      </c>
      <c r="K13" s="54"/>
      <c r="L13" s="54"/>
      <c r="M13" s="54"/>
      <c r="N13" s="54"/>
      <c r="O13" s="54"/>
      <c r="P13" s="54"/>
      <c r="Q13" s="54"/>
      <c r="R13" s="54"/>
    </row>
    <row r="14" spans="4:24" ht="15" thickBot="1">
      <c r="D14" s="271"/>
      <c r="E14" s="62" t="s">
        <v>18</v>
      </c>
      <c r="F14" s="183">
        <f>(3600*7.5*3)/72*8</f>
        <v>9000</v>
      </c>
      <c r="G14" s="39" t="s">
        <v>19</v>
      </c>
      <c r="H14" s="186">
        <v>235</v>
      </c>
      <c r="K14" s="54"/>
      <c r="L14" s="54"/>
      <c r="M14" s="54"/>
      <c r="N14" s="54"/>
      <c r="O14" s="54"/>
      <c r="P14" s="54"/>
      <c r="Q14" s="54"/>
      <c r="R14" s="54"/>
    </row>
    <row r="15" spans="4:24" s="70" customFormat="1" ht="15" thickBot="1">
      <c r="D15" s="65"/>
      <c r="E15" s="66"/>
      <c r="F15" s="67"/>
      <c r="G15" s="68"/>
      <c r="H15" s="45"/>
      <c r="I15" s="46"/>
      <c r="J15" s="47"/>
      <c r="K15" s="69"/>
      <c r="L15" s="69"/>
      <c r="M15" s="69"/>
      <c r="N15" s="69"/>
      <c r="O15" s="69"/>
      <c r="P15" s="69"/>
      <c r="Q15" s="69"/>
      <c r="R15" s="69"/>
    </row>
    <row r="16" spans="4:24" s="77" customFormat="1" ht="42" hidden="1">
      <c r="D16" s="71"/>
      <c r="E16" s="72"/>
      <c r="F16" s="67" t="str">
        <f>F18&amp;"/"&amp;F19&amp;"/"&amp;TEXT(F20,"$#,###.000")&amp;"/"&amp;TEXT(F22,"$#,###.000")</f>
        <v>Pusher/ABS 757/$1.760/$.002</v>
      </c>
      <c r="G16" s="73" t="str">
        <f t="shared" ref="G16:P16" si="0">G18&amp;"/"&amp;G19&amp;"/"&amp;TEXT(G20,"$#,###.000")&amp;"/"&amp;TEXT(G22,"$#,###.000")</f>
        <v>Chassis - PC insert/PC+GF/$4.850/$.007</v>
      </c>
      <c r="H16" s="74" t="str">
        <f t="shared" si="0"/>
        <v>Chassis - ABS/ABS 757/$1.760/$.006</v>
      </c>
      <c r="I16" s="75" t="str">
        <f t="shared" si="0"/>
        <v>Top Grip Hard/ABS 757/$1.760/$.001</v>
      </c>
      <c r="J16" s="75" t="str">
        <f t="shared" si="0"/>
        <v>Top Grip Soft/TPU/$9.400/$.006</v>
      </c>
      <c r="K16" s="76" t="str">
        <f t="shared" si="0"/>
        <v>Bottom Grip Hard/ABS 757/$1.760/$.003</v>
      </c>
      <c r="L16" s="76" t="str">
        <f t="shared" si="0"/>
        <v>Bottom Grip Soft/TPU/$9.400/$.014</v>
      </c>
      <c r="M16" s="76" t="str">
        <f t="shared" si="0"/>
        <v>Top Cover/Chrome plated Zinc/$.000/$.410</v>
      </c>
      <c r="N16" s="76" t="str">
        <f t="shared" si="0"/>
        <v>Bottom Cover/Chrome Plated Zinc/$.000/$.400</v>
      </c>
      <c r="O16" s="76" t="str">
        <f t="shared" si="0"/>
        <v>//$.000/$.000</v>
      </c>
      <c r="P16" s="76" t="str">
        <f t="shared" si="0"/>
        <v>//$.000/$.000</v>
      </c>
    </row>
    <row r="17" spans="4:25" s="77" customFormat="1" ht="15" hidden="1" thickBot="1">
      <c r="D17" s="71"/>
      <c r="E17" s="72"/>
      <c r="F17" s="67">
        <f>IF(F18="","",1)</f>
        <v>1</v>
      </c>
      <c r="G17" s="73">
        <f t="shared" ref="G17:P17" si="1">IF(G18="","",1)</f>
        <v>1</v>
      </c>
      <c r="H17" s="74">
        <f t="shared" si="1"/>
        <v>1</v>
      </c>
      <c r="I17" s="75">
        <f t="shared" si="1"/>
        <v>1</v>
      </c>
      <c r="J17" s="75">
        <f t="shared" si="1"/>
        <v>1</v>
      </c>
      <c r="K17" s="76">
        <f t="shared" si="1"/>
        <v>1</v>
      </c>
      <c r="L17" s="76">
        <f t="shared" si="1"/>
        <v>1</v>
      </c>
      <c r="M17" s="76">
        <f t="shared" si="1"/>
        <v>1</v>
      </c>
      <c r="N17" s="76">
        <f t="shared" si="1"/>
        <v>1</v>
      </c>
      <c r="O17" s="76" t="str">
        <f t="shared" si="1"/>
        <v/>
      </c>
      <c r="P17" s="76" t="str">
        <f t="shared" si="1"/>
        <v/>
      </c>
    </row>
    <row r="18" spans="4:25">
      <c r="D18" s="269" t="s">
        <v>20</v>
      </c>
      <c r="E18" s="56" t="s">
        <v>21</v>
      </c>
      <c r="F18" s="187" t="s">
        <v>97</v>
      </c>
      <c r="G18" s="188" t="s">
        <v>103</v>
      </c>
      <c r="H18" s="188" t="s">
        <v>104</v>
      </c>
      <c r="I18" s="188" t="s">
        <v>106</v>
      </c>
      <c r="J18" s="188" t="s">
        <v>107</v>
      </c>
      <c r="K18" s="188" t="s">
        <v>109</v>
      </c>
      <c r="L18" s="188" t="s">
        <v>108</v>
      </c>
      <c r="M18" s="188" t="s">
        <v>98</v>
      </c>
      <c r="N18" s="188" t="s">
        <v>99</v>
      </c>
      <c r="O18" s="188"/>
      <c r="P18" s="189"/>
      <c r="Q18" s="54"/>
      <c r="R18" s="54"/>
      <c r="S18" s="54"/>
      <c r="T18" s="54"/>
    </row>
    <row r="19" spans="4:25">
      <c r="D19" s="270"/>
      <c r="E19" s="59" t="s">
        <v>22</v>
      </c>
      <c r="F19" s="190" t="s">
        <v>105</v>
      </c>
      <c r="G19" s="191" t="s">
        <v>102</v>
      </c>
      <c r="H19" s="191" t="s">
        <v>105</v>
      </c>
      <c r="I19" s="191" t="s">
        <v>105</v>
      </c>
      <c r="J19" s="191" t="s">
        <v>110</v>
      </c>
      <c r="K19" s="191" t="s">
        <v>105</v>
      </c>
      <c r="L19" s="191" t="s">
        <v>110</v>
      </c>
      <c r="M19" s="191" t="s">
        <v>100</v>
      </c>
      <c r="N19" s="191" t="s">
        <v>101</v>
      </c>
      <c r="O19" s="191"/>
      <c r="P19" s="192"/>
      <c r="Q19" s="54"/>
      <c r="R19" s="54"/>
      <c r="S19" s="54"/>
      <c r="T19" s="54"/>
    </row>
    <row r="20" spans="4:25">
      <c r="D20" s="270"/>
      <c r="E20" s="59" t="s">
        <v>23</v>
      </c>
      <c r="F20" s="193">
        <f>1.76*$S$6</f>
        <v>1.76</v>
      </c>
      <c r="G20" s="219">
        <f>4.85*$S$6</f>
        <v>4.8499999999999996</v>
      </c>
      <c r="H20" s="219">
        <f>1.76*$S$6</f>
        <v>1.76</v>
      </c>
      <c r="I20" s="219">
        <f>1.76*$S$6</f>
        <v>1.76</v>
      </c>
      <c r="J20" s="219">
        <f>9.4*$S$6</f>
        <v>9.4</v>
      </c>
      <c r="K20" s="219">
        <f>1.76*$S$6</f>
        <v>1.76</v>
      </c>
      <c r="L20" s="219">
        <f>9.4*$S$6</f>
        <v>9.4</v>
      </c>
      <c r="M20" s="219"/>
      <c r="N20" s="219"/>
      <c r="O20" s="219"/>
      <c r="P20" s="220"/>
      <c r="Q20" s="54"/>
      <c r="R20" s="54"/>
      <c r="S20" s="54"/>
      <c r="T20" s="54"/>
    </row>
    <row r="21" spans="4:25">
      <c r="D21" s="270"/>
      <c r="E21" s="59" t="s">
        <v>24</v>
      </c>
      <c r="F21" s="214">
        <f>(0.5*1.05)*2.2*0.001</f>
        <v>1.1550000000000002E-3</v>
      </c>
      <c r="G21" s="215">
        <f>(1*1.4)*0.001</f>
        <v>1.4E-3</v>
      </c>
      <c r="H21" s="215">
        <f>(3*1.05)*0.001</f>
        <v>3.1500000000000005E-3</v>
      </c>
      <c r="I21" s="215">
        <f>(0.5*1.05)*0.001</f>
        <v>5.2500000000000008E-4</v>
      </c>
      <c r="J21" s="215">
        <f>(0.5*1.2)*0.001</f>
        <v>5.9999999999999995E-4</v>
      </c>
      <c r="K21" s="215">
        <f>(1.5*1.05)*0.001</f>
        <v>1.5750000000000002E-3</v>
      </c>
      <c r="L21" s="215">
        <f>(1.2*1.2)*0.001</f>
        <v>1.4399999999999999E-3</v>
      </c>
      <c r="M21" s="191"/>
      <c r="N21" s="191"/>
      <c r="O21" s="191"/>
      <c r="P21" s="192"/>
      <c r="Q21" s="54"/>
      <c r="R21" s="54"/>
      <c r="S21" s="54"/>
      <c r="T21" s="54"/>
    </row>
    <row r="22" spans="4:25">
      <c r="D22" s="270"/>
      <c r="E22" s="59" t="s">
        <v>25</v>
      </c>
      <c r="F22" s="224">
        <f t="shared" ref="F22:K22" si="2">F20*F21</f>
        <v>2.0328000000000004E-3</v>
      </c>
      <c r="G22" s="225">
        <f t="shared" si="2"/>
        <v>6.7899999999999992E-3</v>
      </c>
      <c r="H22" s="225">
        <f t="shared" si="2"/>
        <v>5.5440000000000012E-3</v>
      </c>
      <c r="I22" s="225">
        <f t="shared" si="2"/>
        <v>9.2400000000000013E-4</v>
      </c>
      <c r="J22" s="225">
        <f t="shared" si="2"/>
        <v>5.64E-3</v>
      </c>
      <c r="K22" s="225">
        <f t="shared" si="2"/>
        <v>2.7720000000000006E-3</v>
      </c>
      <c r="L22" s="225">
        <f>L20*L21</f>
        <v>1.3535999999999999E-2</v>
      </c>
      <c r="M22" s="225">
        <v>0.41</v>
      </c>
      <c r="N22" s="225">
        <v>0.4</v>
      </c>
      <c r="O22" s="225"/>
      <c r="P22" s="226"/>
      <c r="Q22" s="54"/>
      <c r="R22" s="54"/>
      <c r="S22" s="54"/>
      <c r="T22" s="54"/>
    </row>
    <row r="23" spans="4:25">
      <c r="D23" s="270"/>
      <c r="E23" s="59" t="s">
        <v>26</v>
      </c>
      <c r="F23" s="190">
        <v>1</v>
      </c>
      <c r="G23" s="182">
        <v>1</v>
      </c>
      <c r="H23" s="182">
        <v>1</v>
      </c>
      <c r="I23" s="182">
        <v>1</v>
      </c>
      <c r="J23" s="182">
        <v>1</v>
      </c>
      <c r="K23" s="182">
        <v>1</v>
      </c>
      <c r="L23" s="182">
        <v>1</v>
      </c>
      <c r="M23" s="182">
        <v>1</v>
      </c>
      <c r="N23" s="182">
        <v>1</v>
      </c>
      <c r="O23" s="182"/>
      <c r="P23" s="194"/>
      <c r="Q23" s="54"/>
      <c r="R23" s="54"/>
      <c r="S23" s="54"/>
      <c r="T23" s="54"/>
    </row>
    <row r="24" spans="4:25" ht="15" thickBot="1">
      <c r="D24" s="271"/>
      <c r="E24" s="62" t="s">
        <v>27</v>
      </c>
      <c r="F24" s="227">
        <f t="shared" ref="F24:N24" si="3">(F22*F23)</f>
        <v>2.0328000000000004E-3</v>
      </c>
      <c r="G24" s="228">
        <f t="shared" si="3"/>
        <v>6.7899999999999992E-3</v>
      </c>
      <c r="H24" s="228">
        <f t="shared" si="3"/>
        <v>5.5440000000000012E-3</v>
      </c>
      <c r="I24" s="228">
        <f t="shared" si="3"/>
        <v>9.2400000000000013E-4</v>
      </c>
      <c r="J24" s="228">
        <f t="shared" si="3"/>
        <v>5.64E-3</v>
      </c>
      <c r="K24" s="228">
        <f t="shared" si="3"/>
        <v>2.7720000000000006E-3</v>
      </c>
      <c r="L24" s="228">
        <f t="shared" si="3"/>
        <v>1.3535999999999999E-2</v>
      </c>
      <c r="M24" s="228">
        <f t="shared" si="3"/>
        <v>0.41</v>
      </c>
      <c r="N24" s="228">
        <f t="shared" si="3"/>
        <v>0.4</v>
      </c>
      <c r="O24" s="228"/>
      <c r="P24" s="229"/>
      <c r="Q24" s="54"/>
      <c r="R24" s="54"/>
      <c r="S24" s="54"/>
      <c r="T24" s="54"/>
      <c r="U24" s="54"/>
      <c r="V24" s="54"/>
      <c r="W24" s="54"/>
      <c r="X24" s="54"/>
      <c r="Y24" s="54"/>
    </row>
    <row r="25" spans="4:25" s="55" customFormat="1" ht="14.25" customHeight="1" thickBot="1">
      <c r="D25" s="93"/>
      <c r="E25" s="94"/>
      <c r="F25" s="221"/>
      <c r="G25" s="221"/>
      <c r="H25" s="221"/>
      <c r="I25" s="222"/>
      <c r="J25" s="222"/>
      <c r="K25" s="223"/>
      <c r="L25" s="223"/>
      <c r="M25" s="223"/>
      <c r="N25" s="223"/>
      <c r="O25" s="223"/>
      <c r="P25" s="223"/>
      <c r="Q25" s="54"/>
      <c r="R25" s="54"/>
      <c r="S25" s="54"/>
      <c r="T25" s="54"/>
      <c r="U25" s="54"/>
      <c r="V25" s="54"/>
      <c r="W25" s="54"/>
    </row>
    <row r="26" spans="4:25" ht="28">
      <c r="D26" s="97" t="s">
        <v>28</v>
      </c>
      <c r="E26" s="98" t="s">
        <v>29</v>
      </c>
      <c r="F26" s="99" t="s">
        <v>30</v>
      </c>
      <c r="G26" s="99" t="s">
        <v>31</v>
      </c>
      <c r="H26" s="99" t="s">
        <v>32</v>
      </c>
      <c r="I26" s="100" t="s">
        <v>33</v>
      </c>
      <c r="J26" s="101" t="s">
        <v>34</v>
      </c>
      <c r="K26" s="102" t="s">
        <v>35</v>
      </c>
      <c r="L26" s="103" t="s">
        <v>36</v>
      </c>
      <c r="M26" s="100" t="s">
        <v>37</v>
      </c>
      <c r="N26" s="99" t="s">
        <v>38</v>
      </c>
      <c r="O26" s="99" t="s">
        <v>39</v>
      </c>
      <c r="P26" s="104" t="s">
        <v>40</v>
      </c>
      <c r="Q26" s="54"/>
      <c r="R26" s="217" t="s">
        <v>127</v>
      </c>
    </row>
    <row r="27" spans="4:25">
      <c r="D27" s="105">
        <v>0</v>
      </c>
      <c r="E27" s="106"/>
      <c r="F27" s="236">
        <f>G27+H27</f>
        <v>0</v>
      </c>
      <c r="G27" s="237"/>
      <c r="H27" s="236">
        <v>0</v>
      </c>
      <c r="I27" s="106"/>
      <c r="J27" s="106"/>
      <c r="K27" s="106"/>
      <c r="L27" s="110" t="s">
        <v>41</v>
      </c>
      <c r="M27" s="106"/>
      <c r="N27" s="106"/>
      <c r="O27" s="106"/>
      <c r="P27" s="111"/>
      <c r="Q27" s="54"/>
      <c r="R27" s="54"/>
    </row>
    <row r="28" spans="4:25">
      <c r="D28" s="105">
        <v>1</v>
      </c>
      <c r="E28" s="178" t="s">
        <v>116</v>
      </c>
      <c r="F28" s="236">
        <f>F27+G28+H28</f>
        <v>2.3707610049019612E-2</v>
      </c>
      <c r="G28" s="238">
        <f>F24</f>
        <v>2.0328000000000004E-3</v>
      </c>
      <c r="H28" s="236">
        <f t="shared" ref="H28:H55" si="4">SUM(N28:P28)</f>
        <v>2.1674810049019611E-2</v>
      </c>
      <c r="I28" s="213" t="s">
        <v>118</v>
      </c>
      <c r="J28" s="199">
        <f>61/16</f>
        <v>3.8125</v>
      </c>
      <c r="K28" s="200">
        <v>0.97</v>
      </c>
      <c r="L28" s="117">
        <f>(1-K28)*L29+L29</f>
        <v>11171.954344408401</v>
      </c>
      <c r="M28" s="231">
        <f>(13.39+3.5)*$S$6</f>
        <v>16.89</v>
      </c>
      <c r="N28" s="236">
        <f>(M28/3600)*J28/R28</f>
        <v>2.1043504901960785E-2</v>
      </c>
      <c r="O28" s="236">
        <f>(1-K28)*N28</f>
        <v>6.3130514705882408E-4</v>
      </c>
      <c r="P28" s="245">
        <f>(1-K28)*F27</f>
        <v>0</v>
      </c>
      <c r="Q28" s="54"/>
      <c r="R28" s="218">
        <v>0.85</v>
      </c>
    </row>
    <row r="29" spans="4:25">
      <c r="D29" s="105">
        <v>2</v>
      </c>
      <c r="E29" s="195" t="s">
        <v>113</v>
      </c>
      <c r="F29" s="236">
        <f t="shared" ref="F29:F55" si="5">F28+G29+H29</f>
        <v>0.1192505199632353</v>
      </c>
      <c r="G29" s="238">
        <f>G24+H24</f>
        <v>1.2334000000000001E-2</v>
      </c>
      <c r="H29" s="236">
        <f t="shared" si="4"/>
        <v>8.3208909914215687E-2</v>
      </c>
      <c r="I29" s="213" t="s">
        <v>117</v>
      </c>
      <c r="J29" s="199">
        <f>72/8</f>
        <v>9</v>
      </c>
      <c r="K29" s="200">
        <v>0.95</v>
      </c>
      <c r="L29" s="117">
        <f t="shared" ref="L29:L54" si="6">(1-K29)*L30+L30</f>
        <v>10846.557615930486</v>
      </c>
      <c r="M29" s="231">
        <f>26.56*$S$6</f>
        <v>26.56</v>
      </c>
      <c r="N29" s="236">
        <f t="shared" ref="N29:N39" si="7">(M29/3600)*J29/R29</f>
        <v>7.8117647058823528E-2</v>
      </c>
      <c r="O29" s="236">
        <f t="shared" ref="O29:O55" si="8">(1-K29)*N29</f>
        <v>3.90588235294118E-3</v>
      </c>
      <c r="P29" s="245">
        <f t="shared" ref="P29:P55" si="9">(1-K29)*F28</f>
        <v>1.1853805024509816E-3</v>
      </c>
      <c r="Q29" s="54"/>
      <c r="R29" s="218">
        <v>0.85</v>
      </c>
    </row>
    <row r="30" spans="4:25">
      <c r="D30" s="105">
        <v>3</v>
      </c>
      <c r="E30" s="195" t="s">
        <v>114</v>
      </c>
      <c r="F30" s="236">
        <f t="shared" si="5"/>
        <v>0.17392802635355392</v>
      </c>
      <c r="G30" s="238">
        <f>I24+J24</f>
        <v>6.5640000000000004E-3</v>
      </c>
      <c r="H30" s="236">
        <f t="shared" si="4"/>
        <v>4.8113506390318632E-2</v>
      </c>
      <c r="I30" s="213" t="s">
        <v>117</v>
      </c>
      <c r="J30" s="199">
        <f>37/8</f>
        <v>4.625</v>
      </c>
      <c r="K30" s="200">
        <v>0.95</v>
      </c>
      <c r="L30" s="117">
        <f t="shared" si="6"/>
        <v>10330.054872314748</v>
      </c>
      <c r="M30" s="231">
        <f t="shared" ref="M30:M31" si="10">26.56*$S$6</f>
        <v>26.56</v>
      </c>
      <c r="N30" s="236">
        <f t="shared" si="7"/>
        <v>4.0143790849673198E-2</v>
      </c>
      <c r="O30" s="236">
        <f t="shared" si="8"/>
        <v>2.0071895424836617E-3</v>
      </c>
      <c r="P30" s="245">
        <f t="shared" si="9"/>
        <v>5.96252599816177E-3</v>
      </c>
      <c r="Q30" s="54"/>
      <c r="R30" s="218">
        <v>0.85</v>
      </c>
    </row>
    <row r="31" spans="4:25">
      <c r="D31" s="105">
        <v>4</v>
      </c>
      <c r="E31" s="195" t="s">
        <v>115</v>
      </c>
      <c r="F31" s="236">
        <f t="shared" si="5"/>
        <v>0.26026981485657885</v>
      </c>
      <c r="G31" s="238">
        <f>K24+L24</f>
        <v>1.6308E-2</v>
      </c>
      <c r="H31" s="236">
        <f t="shared" si="4"/>
        <v>7.0033788503024927E-2</v>
      </c>
      <c r="I31" s="213" t="s">
        <v>117</v>
      </c>
      <c r="J31" s="199">
        <f>58/8</f>
        <v>7.25</v>
      </c>
      <c r="K31" s="200">
        <v>0.97</v>
      </c>
      <c r="L31" s="117">
        <f t="shared" si="6"/>
        <v>9838.1474974426164</v>
      </c>
      <c r="M31" s="231">
        <f t="shared" si="10"/>
        <v>26.56</v>
      </c>
      <c r="N31" s="236">
        <f t="shared" si="7"/>
        <v>6.2928104575163402E-2</v>
      </c>
      <c r="O31" s="236">
        <f t="shared" si="8"/>
        <v>1.8878431372549038E-3</v>
      </c>
      <c r="P31" s="245">
        <f t="shared" si="9"/>
        <v>5.2178407906066223E-3</v>
      </c>
      <c r="Q31" s="54"/>
      <c r="R31" s="218">
        <v>0.85</v>
      </c>
    </row>
    <row r="32" spans="4:25">
      <c r="D32" s="105">
        <v>5</v>
      </c>
      <c r="E32" s="195" t="s">
        <v>119</v>
      </c>
      <c r="F32" s="236">
        <f t="shared" si="5"/>
        <v>0.34361712498855074</v>
      </c>
      <c r="G32" s="238">
        <v>0.02</v>
      </c>
      <c r="H32" s="236">
        <f t="shared" si="4"/>
        <v>6.3347310131971882E-2</v>
      </c>
      <c r="I32" s="195"/>
      <c r="J32" s="199">
        <v>15</v>
      </c>
      <c r="K32" s="200">
        <v>0.97</v>
      </c>
      <c r="L32" s="117">
        <f t="shared" si="6"/>
        <v>9551.599512080209</v>
      </c>
      <c r="M32" s="231">
        <f>11*$S$6</f>
        <v>11</v>
      </c>
      <c r="N32" s="236">
        <f t="shared" si="7"/>
        <v>5.3921568627450983E-2</v>
      </c>
      <c r="O32" s="236">
        <f t="shared" si="8"/>
        <v>1.617647058823531E-3</v>
      </c>
      <c r="P32" s="245">
        <f t="shared" si="9"/>
        <v>7.8080944456973729E-3</v>
      </c>
      <c r="Q32" s="54"/>
      <c r="R32" s="218">
        <v>0.85</v>
      </c>
    </row>
    <row r="33" spans="4:18">
      <c r="D33" s="105">
        <v>6</v>
      </c>
      <c r="E33" s="178" t="s">
        <v>120</v>
      </c>
      <c r="F33" s="236">
        <f t="shared" si="5"/>
        <v>1.1930227106134934</v>
      </c>
      <c r="G33" s="238">
        <f>M24+N24</f>
        <v>0.81</v>
      </c>
      <c r="H33" s="236">
        <f t="shared" si="4"/>
        <v>3.9405585624942757E-2</v>
      </c>
      <c r="I33" s="216" t="s">
        <v>124</v>
      </c>
      <c r="J33" s="199">
        <v>15.3</v>
      </c>
      <c r="K33" s="200">
        <v>0.995</v>
      </c>
      <c r="L33" s="117">
        <f>(1-K33)*L34+L34</f>
        <v>9273.3975845438927</v>
      </c>
      <c r="M33" s="231">
        <f>7.5*$S$6</f>
        <v>7.5</v>
      </c>
      <c r="N33" s="236">
        <f t="shared" si="7"/>
        <v>3.7499999999999999E-2</v>
      </c>
      <c r="O33" s="236">
        <f t="shared" si="8"/>
        <v>1.8750000000000017E-4</v>
      </c>
      <c r="P33" s="245">
        <f t="shared" si="9"/>
        <v>1.7180856249427552E-3</v>
      </c>
      <c r="Q33" s="54"/>
      <c r="R33" s="218">
        <v>0.85</v>
      </c>
    </row>
    <row r="34" spans="4:18">
      <c r="D34" s="105">
        <v>7</v>
      </c>
      <c r="E34" s="196" t="s">
        <v>121</v>
      </c>
      <c r="F34" s="236">
        <f>F33+G34+H34</f>
        <v>1.2109591476959727</v>
      </c>
      <c r="G34" s="238">
        <v>0</v>
      </c>
      <c r="H34" s="236">
        <f t="shared" ref="H34:H38" si="11">SUM(N34:P34)</f>
        <v>1.7936437082479238E-2</v>
      </c>
      <c r="I34" s="216" t="s">
        <v>124</v>
      </c>
      <c r="J34" s="199">
        <v>4.8600000000000003</v>
      </c>
      <c r="K34" s="200">
        <v>0.995</v>
      </c>
      <c r="L34" s="117">
        <f t="shared" ref="L34:L38" si="12">(1-K34)*L35+L35</f>
        <v>9227.2612781531261</v>
      </c>
      <c r="M34" s="231">
        <f t="shared" ref="M34:M38" si="13">7.5*$S$6</f>
        <v>7.5</v>
      </c>
      <c r="N34" s="236">
        <f t="shared" ref="N34:N38" si="14">(M34/3600)*J34/R34</f>
        <v>1.1911764705882354E-2</v>
      </c>
      <c r="O34" s="236">
        <f t="shared" ref="O34:O38" si="15">(1-K34)*N34</f>
        <v>5.9558823529411827E-5</v>
      </c>
      <c r="P34" s="245">
        <f>(1-K34)*F33</f>
        <v>5.9651135530674722E-3</v>
      </c>
      <c r="Q34" s="54"/>
      <c r="R34" s="218">
        <v>0.85</v>
      </c>
    </row>
    <row r="35" spans="4:18">
      <c r="D35" s="105">
        <v>8</v>
      </c>
      <c r="E35" s="196" t="s">
        <v>122</v>
      </c>
      <c r="F35" s="236">
        <f t="shared" ref="F35:F38" si="16">F34+G35+H35</f>
        <v>1.2289852669638643</v>
      </c>
      <c r="G35" s="238">
        <v>0</v>
      </c>
      <c r="H35" s="236">
        <f t="shared" si="11"/>
        <v>1.8026119267891636E-2</v>
      </c>
      <c r="I35" s="216" t="s">
        <v>124</v>
      </c>
      <c r="J35" s="199">
        <v>4.8600000000000003</v>
      </c>
      <c r="K35" s="200">
        <v>0.995</v>
      </c>
      <c r="L35" s="117">
        <f t="shared" si="12"/>
        <v>9181.3545056250005</v>
      </c>
      <c r="M35" s="231">
        <f t="shared" si="13"/>
        <v>7.5</v>
      </c>
      <c r="N35" s="236">
        <f t="shared" si="14"/>
        <v>1.1911764705882354E-2</v>
      </c>
      <c r="O35" s="236">
        <f t="shared" si="15"/>
        <v>5.9558823529411827E-5</v>
      </c>
      <c r="P35" s="245">
        <f t="shared" ref="P35:P38" si="17">(1-K35)*F34</f>
        <v>6.0547957384798684E-3</v>
      </c>
      <c r="Q35" s="54"/>
      <c r="R35" s="218">
        <v>0.85</v>
      </c>
    </row>
    <row r="36" spans="4:18">
      <c r="D36" s="105">
        <v>9</v>
      </c>
      <c r="E36" s="178" t="s">
        <v>123</v>
      </c>
      <c r="F36" s="236">
        <f t="shared" si="16"/>
        <v>1.2479882815339778</v>
      </c>
      <c r="G36" s="238">
        <v>0</v>
      </c>
      <c r="H36" s="236">
        <f t="shared" si="11"/>
        <v>1.9003014570113441E-2</v>
      </c>
      <c r="I36" s="216" t="s">
        <v>124</v>
      </c>
      <c r="J36" s="199">
        <v>5.22</v>
      </c>
      <c r="K36" s="200">
        <v>0.995</v>
      </c>
      <c r="L36" s="117">
        <f t="shared" si="12"/>
        <v>9135.676125</v>
      </c>
      <c r="M36" s="231">
        <f t="shared" si="13"/>
        <v>7.5</v>
      </c>
      <c r="N36" s="236">
        <f t="shared" si="14"/>
        <v>1.2794117647058822E-2</v>
      </c>
      <c r="O36" s="236">
        <f t="shared" si="15"/>
        <v>6.3970588235294173E-5</v>
      </c>
      <c r="P36" s="245">
        <f t="shared" si="17"/>
        <v>6.144926334819327E-3</v>
      </c>
      <c r="Q36" s="54"/>
      <c r="R36" s="218">
        <v>0.85</v>
      </c>
    </row>
    <row r="37" spans="4:18">
      <c r="D37" s="105">
        <v>10</v>
      </c>
      <c r="E37" s="195" t="s">
        <v>126</v>
      </c>
      <c r="F37" s="236">
        <f t="shared" si="16"/>
        <v>1.2739341052945889</v>
      </c>
      <c r="G37" s="238">
        <v>0</v>
      </c>
      <c r="H37" s="236">
        <f t="shared" si="11"/>
        <v>2.594582376061107E-2</v>
      </c>
      <c r="I37" s="195"/>
      <c r="J37" s="199">
        <v>8</v>
      </c>
      <c r="K37" s="200">
        <v>0.995</v>
      </c>
      <c r="L37" s="117">
        <f t="shared" si="12"/>
        <v>9090.2250000000004</v>
      </c>
      <c r="M37" s="231">
        <f t="shared" si="13"/>
        <v>7.5</v>
      </c>
      <c r="N37" s="236">
        <f t="shared" si="14"/>
        <v>1.9607843137254902E-2</v>
      </c>
      <c r="O37" s="236">
        <f t="shared" si="15"/>
        <v>9.8039215686274601E-5</v>
      </c>
      <c r="P37" s="245">
        <f t="shared" si="17"/>
        <v>6.2399414076698941E-3</v>
      </c>
      <c r="Q37" s="54"/>
      <c r="R37" s="218">
        <v>0.85</v>
      </c>
    </row>
    <row r="38" spans="4:18">
      <c r="D38" s="105">
        <v>11</v>
      </c>
      <c r="E38" s="197" t="s">
        <v>125</v>
      </c>
      <c r="F38" s="236">
        <f t="shared" si="16"/>
        <v>1.2926199522916502</v>
      </c>
      <c r="G38" s="238">
        <v>0</v>
      </c>
      <c r="H38" s="236">
        <f t="shared" si="11"/>
        <v>1.8685846997061186E-2</v>
      </c>
      <c r="I38" s="195"/>
      <c r="J38" s="199">
        <v>5</v>
      </c>
      <c r="K38" s="200">
        <v>0.995</v>
      </c>
      <c r="L38" s="117">
        <f t="shared" si="12"/>
        <v>9045</v>
      </c>
      <c r="M38" s="231">
        <f t="shared" si="13"/>
        <v>7.5</v>
      </c>
      <c r="N38" s="236">
        <f t="shared" si="14"/>
        <v>1.2254901960784314E-2</v>
      </c>
      <c r="O38" s="236">
        <f t="shared" si="15"/>
        <v>6.1274509803921622E-5</v>
      </c>
      <c r="P38" s="245">
        <f t="shared" si="17"/>
        <v>6.3696705264729503E-3</v>
      </c>
      <c r="Q38" s="54"/>
      <c r="R38" s="218">
        <v>0.85</v>
      </c>
    </row>
    <row r="39" spans="4:18">
      <c r="D39" s="105">
        <v>12</v>
      </c>
      <c r="E39" s="197"/>
      <c r="F39" s="236">
        <f t="shared" si="5"/>
        <v>1.2926199522916502</v>
      </c>
      <c r="G39" s="238">
        <v>0</v>
      </c>
      <c r="H39" s="236">
        <v>0</v>
      </c>
      <c r="I39" s="195"/>
      <c r="J39" s="199"/>
      <c r="K39" s="200">
        <v>1</v>
      </c>
      <c r="L39" s="117">
        <f t="shared" si="6"/>
        <v>9000</v>
      </c>
      <c r="M39" s="231">
        <v>0</v>
      </c>
      <c r="N39" s="236">
        <f t="shared" si="7"/>
        <v>0</v>
      </c>
      <c r="O39" s="236">
        <f t="shared" si="8"/>
        <v>0</v>
      </c>
      <c r="P39" s="245">
        <f t="shared" si="9"/>
        <v>0</v>
      </c>
      <c r="Q39" s="54"/>
      <c r="R39" s="218">
        <v>0.85</v>
      </c>
    </row>
    <row r="40" spans="4:18">
      <c r="D40" s="105">
        <v>13</v>
      </c>
      <c r="E40" s="178"/>
      <c r="F40" s="236">
        <f t="shared" si="5"/>
        <v>1.2926199522916502</v>
      </c>
      <c r="G40" s="238">
        <v>0</v>
      </c>
      <c r="H40" s="236">
        <f t="shared" si="4"/>
        <v>0</v>
      </c>
      <c r="I40" s="195"/>
      <c r="J40" s="199"/>
      <c r="K40" s="200">
        <v>1</v>
      </c>
      <c r="L40" s="117">
        <f t="shared" si="6"/>
        <v>9000</v>
      </c>
      <c r="M40" s="231">
        <v>0</v>
      </c>
      <c r="N40" s="230">
        <f t="shared" ref="N40:N55" si="18">(M40/3600)*J40</f>
        <v>0</v>
      </c>
      <c r="O40" s="230">
        <f t="shared" si="8"/>
        <v>0</v>
      </c>
      <c r="P40" s="235">
        <f t="shared" si="9"/>
        <v>0</v>
      </c>
      <c r="Q40" s="54"/>
      <c r="R40" s="54"/>
    </row>
    <row r="41" spans="4:18">
      <c r="D41" s="105">
        <v>14</v>
      </c>
      <c r="E41" s="178"/>
      <c r="F41" s="236">
        <f t="shared" si="5"/>
        <v>1.2926199522916502</v>
      </c>
      <c r="G41" s="238">
        <v>0</v>
      </c>
      <c r="H41" s="236">
        <f t="shared" si="4"/>
        <v>0</v>
      </c>
      <c r="I41" s="195"/>
      <c r="J41" s="199"/>
      <c r="K41" s="200">
        <v>1</v>
      </c>
      <c r="L41" s="117">
        <f t="shared" si="6"/>
        <v>9000</v>
      </c>
      <c r="M41" s="231">
        <v>0</v>
      </c>
      <c r="N41" s="230">
        <f t="shared" si="18"/>
        <v>0</v>
      </c>
      <c r="O41" s="230">
        <f t="shared" si="8"/>
        <v>0</v>
      </c>
      <c r="P41" s="235">
        <f t="shared" si="9"/>
        <v>0</v>
      </c>
      <c r="Q41" s="54"/>
      <c r="R41" s="54"/>
    </row>
    <row r="42" spans="4:18">
      <c r="D42" s="105">
        <v>15</v>
      </c>
      <c r="E42" s="195"/>
      <c r="F42" s="236">
        <f t="shared" si="5"/>
        <v>1.2926199522916502</v>
      </c>
      <c r="G42" s="238">
        <v>0</v>
      </c>
      <c r="H42" s="236">
        <f t="shared" si="4"/>
        <v>0</v>
      </c>
      <c r="I42" s="197"/>
      <c r="J42" s="199"/>
      <c r="K42" s="200">
        <v>1</v>
      </c>
      <c r="L42" s="117">
        <f t="shared" si="6"/>
        <v>9000</v>
      </c>
      <c r="M42" s="231">
        <v>0</v>
      </c>
      <c r="N42" s="230">
        <f t="shared" si="18"/>
        <v>0</v>
      </c>
      <c r="O42" s="230">
        <f t="shared" si="8"/>
        <v>0</v>
      </c>
      <c r="P42" s="235">
        <f t="shared" si="9"/>
        <v>0</v>
      </c>
      <c r="Q42" s="54"/>
      <c r="R42" s="54"/>
    </row>
    <row r="43" spans="4:18">
      <c r="D43" s="105">
        <v>16</v>
      </c>
      <c r="E43" s="195"/>
      <c r="F43" s="236">
        <f t="shared" si="5"/>
        <v>1.2926199522916502</v>
      </c>
      <c r="G43" s="238">
        <v>0</v>
      </c>
      <c r="H43" s="236">
        <f t="shared" si="4"/>
        <v>0</v>
      </c>
      <c r="I43" s="197"/>
      <c r="J43" s="199"/>
      <c r="K43" s="200">
        <v>1</v>
      </c>
      <c r="L43" s="117">
        <f t="shared" si="6"/>
        <v>9000</v>
      </c>
      <c r="M43" s="231">
        <v>0</v>
      </c>
      <c r="N43" s="230">
        <f t="shared" si="18"/>
        <v>0</v>
      </c>
      <c r="O43" s="230">
        <f t="shared" si="8"/>
        <v>0</v>
      </c>
      <c r="P43" s="235">
        <f t="shared" si="9"/>
        <v>0</v>
      </c>
      <c r="Q43" s="54"/>
      <c r="R43" s="54"/>
    </row>
    <row r="44" spans="4:18">
      <c r="D44" s="105">
        <v>17</v>
      </c>
      <c r="E44" s="178"/>
      <c r="F44" s="236">
        <f t="shared" si="5"/>
        <v>1.2926199522916502</v>
      </c>
      <c r="G44" s="238">
        <v>0</v>
      </c>
      <c r="H44" s="236">
        <f t="shared" si="4"/>
        <v>0</v>
      </c>
      <c r="I44" s="197"/>
      <c r="J44" s="199"/>
      <c r="K44" s="200">
        <v>1</v>
      </c>
      <c r="L44" s="117">
        <f t="shared" si="6"/>
        <v>9000</v>
      </c>
      <c r="M44" s="231">
        <v>0</v>
      </c>
      <c r="N44" s="230">
        <f t="shared" si="18"/>
        <v>0</v>
      </c>
      <c r="O44" s="230">
        <f t="shared" si="8"/>
        <v>0</v>
      </c>
      <c r="P44" s="235">
        <f t="shared" si="9"/>
        <v>0</v>
      </c>
      <c r="Q44" s="54"/>
      <c r="R44" s="54"/>
    </row>
    <row r="45" spans="4:18">
      <c r="D45" s="105">
        <v>18</v>
      </c>
      <c r="E45" s="198"/>
      <c r="F45" s="236">
        <f t="shared" si="5"/>
        <v>1.2926199522916502</v>
      </c>
      <c r="G45" s="238">
        <v>0</v>
      </c>
      <c r="H45" s="236">
        <f t="shared" si="4"/>
        <v>0</v>
      </c>
      <c r="I45" s="197"/>
      <c r="J45" s="199"/>
      <c r="K45" s="200">
        <v>1</v>
      </c>
      <c r="L45" s="117">
        <f t="shared" si="6"/>
        <v>9000</v>
      </c>
      <c r="M45" s="231">
        <v>0</v>
      </c>
      <c r="N45" s="230">
        <f t="shared" si="18"/>
        <v>0</v>
      </c>
      <c r="O45" s="230">
        <f t="shared" si="8"/>
        <v>0</v>
      </c>
      <c r="P45" s="235">
        <f t="shared" si="9"/>
        <v>0</v>
      </c>
      <c r="Q45" s="54"/>
      <c r="R45" s="54"/>
    </row>
    <row r="46" spans="4:18">
      <c r="D46" s="105">
        <v>19</v>
      </c>
      <c r="E46" s="197"/>
      <c r="F46" s="236">
        <f t="shared" si="5"/>
        <v>1.2926199522916502</v>
      </c>
      <c r="G46" s="238">
        <v>0</v>
      </c>
      <c r="H46" s="236">
        <f t="shared" si="4"/>
        <v>0</v>
      </c>
      <c r="I46" s="197"/>
      <c r="J46" s="199"/>
      <c r="K46" s="200">
        <v>1</v>
      </c>
      <c r="L46" s="117">
        <f t="shared" si="6"/>
        <v>9000</v>
      </c>
      <c r="M46" s="231">
        <v>0</v>
      </c>
      <c r="N46" s="230">
        <f t="shared" si="18"/>
        <v>0</v>
      </c>
      <c r="O46" s="230">
        <f t="shared" si="8"/>
        <v>0</v>
      </c>
      <c r="P46" s="235">
        <f t="shared" si="9"/>
        <v>0</v>
      </c>
      <c r="Q46" s="54"/>
      <c r="R46" s="54"/>
    </row>
    <row r="47" spans="4:18">
      <c r="D47" s="105">
        <v>20</v>
      </c>
      <c r="E47" s="197"/>
      <c r="F47" s="236">
        <f t="shared" si="5"/>
        <v>1.2926199522916502</v>
      </c>
      <c r="G47" s="238">
        <v>0</v>
      </c>
      <c r="H47" s="236">
        <f t="shared" si="4"/>
        <v>0</v>
      </c>
      <c r="I47" s="197"/>
      <c r="J47" s="199"/>
      <c r="K47" s="200">
        <v>1</v>
      </c>
      <c r="L47" s="117">
        <f t="shared" si="6"/>
        <v>9000</v>
      </c>
      <c r="M47" s="231">
        <v>0</v>
      </c>
      <c r="N47" s="230">
        <f t="shared" si="18"/>
        <v>0</v>
      </c>
      <c r="O47" s="230">
        <f t="shared" si="8"/>
        <v>0</v>
      </c>
      <c r="P47" s="235">
        <f t="shared" si="9"/>
        <v>0</v>
      </c>
      <c r="Q47" s="54"/>
      <c r="R47" s="54"/>
    </row>
    <row r="48" spans="4:18">
      <c r="D48" s="105">
        <v>21</v>
      </c>
      <c r="E48" s="197"/>
      <c r="F48" s="236">
        <f t="shared" si="5"/>
        <v>1.2926199522916502</v>
      </c>
      <c r="G48" s="238">
        <v>0</v>
      </c>
      <c r="H48" s="236">
        <f t="shared" si="4"/>
        <v>0</v>
      </c>
      <c r="I48" s="197"/>
      <c r="J48" s="199"/>
      <c r="K48" s="200">
        <v>1</v>
      </c>
      <c r="L48" s="117">
        <f t="shared" si="6"/>
        <v>9000</v>
      </c>
      <c r="M48" s="231">
        <v>0</v>
      </c>
      <c r="N48" s="230">
        <f t="shared" si="18"/>
        <v>0</v>
      </c>
      <c r="O48" s="230">
        <f t="shared" si="8"/>
        <v>0</v>
      </c>
      <c r="P48" s="235">
        <f t="shared" si="9"/>
        <v>0</v>
      </c>
      <c r="Q48" s="54"/>
      <c r="R48" s="54"/>
    </row>
    <row r="49" spans="4:18">
      <c r="D49" s="105">
        <v>22</v>
      </c>
      <c r="E49" s="197"/>
      <c r="F49" s="236">
        <f t="shared" si="5"/>
        <v>1.2926199522916502</v>
      </c>
      <c r="G49" s="238">
        <v>0</v>
      </c>
      <c r="H49" s="236">
        <f t="shared" si="4"/>
        <v>0</v>
      </c>
      <c r="I49" s="197"/>
      <c r="J49" s="199"/>
      <c r="K49" s="200">
        <v>1</v>
      </c>
      <c r="L49" s="117">
        <f t="shared" si="6"/>
        <v>9000</v>
      </c>
      <c r="M49" s="231">
        <v>0</v>
      </c>
      <c r="N49" s="230">
        <f t="shared" si="18"/>
        <v>0</v>
      </c>
      <c r="O49" s="230">
        <f t="shared" si="8"/>
        <v>0</v>
      </c>
      <c r="P49" s="235">
        <f t="shared" si="9"/>
        <v>0</v>
      </c>
      <c r="Q49" s="54"/>
      <c r="R49" s="54"/>
    </row>
    <row r="50" spans="4:18">
      <c r="D50" s="105">
        <v>23</v>
      </c>
      <c r="E50" s="197"/>
      <c r="F50" s="236">
        <f t="shared" si="5"/>
        <v>1.2926199522916502</v>
      </c>
      <c r="G50" s="238">
        <v>0</v>
      </c>
      <c r="H50" s="236">
        <f t="shared" si="4"/>
        <v>0</v>
      </c>
      <c r="I50" s="197"/>
      <c r="J50" s="199"/>
      <c r="K50" s="200">
        <v>1</v>
      </c>
      <c r="L50" s="117">
        <f t="shared" si="6"/>
        <v>9000</v>
      </c>
      <c r="M50" s="231">
        <v>0</v>
      </c>
      <c r="N50" s="230">
        <f t="shared" si="18"/>
        <v>0</v>
      </c>
      <c r="O50" s="230">
        <f t="shared" si="8"/>
        <v>0</v>
      </c>
      <c r="P50" s="235">
        <f t="shared" si="9"/>
        <v>0</v>
      </c>
      <c r="Q50" s="54"/>
      <c r="R50" s="54"/>
    </row>
    <row r="51" spans="4:18">
      <c r="D51" s="105">
        <v>24</v>
      </c>
      <c r="E51" s="178"/>
      <c r="F51" s="236">
        <f t="shared" si="5"/>
        <v>1.2926199522916502</v>
      </c>
      <c r="G51" s="238">
        <v>0</v>
      </c>
      <c r="H51" s="236">
        <f t="shared" si="4"/>
        <v>0</v>
      </c>
      <c r="I51" s="197"/>
      <c r="J51" s="199"/>
      <c r="K51" s="200">
        <v>1</v>
      </c>
      <c r="L51" s="117">
        <f t="shared" si="6"/>
        <v>9000</v>
      </c>
      <c r="M51" s="231">
        <v>0</v>
      </c>
      <c r="N51" s="230">
        <f t="shared" si="18"/>
        <v>0</v>
      </c>
      <c r="O51" s="230">
        <f t="shared" si="8"/>
        <v>0</v>
      </c>
      <c r="P51" s="235">
        <f t="shared" si="9"/>
        <v>0</v>
      </c>
      <c r="Q51" s="54"/>
      <c r="R51" s="54"/>
    </row>
    <row r="52" spans="4:18">
      <c r="D52" s="105">
        <v>25</v>
      </c>
      <c r="E52" s="178"/>
      <c r="F52" s="236">
        <f t="shared" si="5"/>
        <v>1.2926199522916502</v>
      </c>
      <c r="G52" s="238">
        <v>0</v>
      </c>
      <c r="H52" s="236">
        <f t="shared" si="4"/>
        <v>0</v>
      </c>
      <c r="I52" s="197"/>
      <c r="J52" s="199"/>
      <c r="K52" s="200">
        <v>1</v>
      </c>
      <c r="L52" s="117">
        <f t="shared" si="6"/>
        <v>9000</v>
      </c>
      <c r="M52" s="231">
        <v>0</v>
      </c>
      <c r="N52" s="230">
        <f t="shared" si="18"/>
        <v>0</v>
      </c>
      <c r="O52" s="230">
        <f t="shared" si="8"/>
        <v>0</v>
      </c>
      <c r="P52" s="235">
        <f t="shared" si="9"/>
        <v>0</v>
      </c>
      <c r="Q52" s="54"/>
      <c r="R52" s="54"/>
    </row>
    <row r="53" spans="4:18">
      <c r="D53" s="105">
        <v>26</v>
      </c>
      <c r="E53" s="178"/>
      <c r="F53" s="236">
        <f t="shared" si="5"/>
        <v>1.2926199522916502</v>
      </c>
      <c r="G53" s="238">
        <v>0</v>
      </c>
      <c r="H53" s="236">
        <f t="shared" si="4"/>
        <v>0</v>
      </c>
      <c r="I53" s="197"/>
      <c r="J53" s="199"/>
      <c r="K53" s="200">
        <v>1</v>
      </c>
      <c r="L53" s="117">
        <f t="shared" si="6"/>
        <v>9000</v>
      </c>
      <c r="M53" s="231">
        <v>0</v>
      </c>
      <c r="N53" s="230">
        <f t="shared" si="18"/>
        <v>0</v>
      </c>
      <c r="O53" s="230">
        <f t="shared" si="8"/>
        <v>0</v>
      </c>
      <c r="P53" s="235">
        <f t="shared" si="9"/>
        <v>0</v>
      </c>
      <c r="Q53" s="54"/>
      <c r="R53" s="54"/>
    </row>
    <row r="54" spans="4:18">
      <c r="D54" s="126" t="s">
        <v>42</v>
      </c>
      <c r="E54" s="127" t="s">
        <v>129</v>
      </c>
      <c r="F54" s="236">
        <f t="shared" si="5"/>
        <v>1.3026199522916502</v>
      </c>
      <c r="G54" s="238">
        <v>0.01</v>
      </c>
      <c r="H54" s="236">
        <f t="shared" si="4"/>
        <v>0</v>
      </c>
      <c r="I54" s="113">
        <f>SUM(G54:H54)</f>
        <v>0.01</v>
      </c>
      <c r="J54" s="199"/>
      <c r="K54" s="200">
        <v>1</v>
      </c>
      <c r="L54" s="117">
        <f t="shared" si="6"/>
        <v>9000</v>
      </c>
      <c r="M54" s="231">
        <v>0</v>
      </c>
      <c r="N54" s="230">
        <f t="shared" si="18"/>
        <v>0</v>
      </c>
      <c r="O54" s="230">
        <f t="shared" si="8"/>
        <v>0</v>
      </c>
      <c r="P54" s="235">
        <f t="shared" si="9"/>
        <v>0</v>
      </c>
      <c r="Q54" s="54"/>
      <c r="R54" s="54"/>
    </row>
    <row r="55" spans="4:18">
      <c r="D55" s="126" t="s">
        <v>43</v>
      </c>
      <c r="E55" s="127" t="s">
        <v>130</v>
      </c>
      <c r="F55" s="236">
        <f t="shared" si="5"/>
        <v>1.3052866189583168</v>
      </c>
      <c r="G55" s="238">
        <f>(0.8*$S$6)/300</f>
        <v>2.666666666666667E-3</v>
      </c>
      <c r="H55" s="236">
        <f t="shared" si="4"/>
        <v>0</v>
      </c>
      <c r="I55" s="113">
        <f>SUM(G55:H55)</f>
        <v>2.666666666666667E-3</v>
      </c>
      <c r="J55" s="199"/>
      <c r="K55" s="200">
        <v>1</v>
      </c>
      <c r="L55" s="117">
        <f>(1-K55)*L57+L57</f>
        <v>9000</v>
      </c>
      <c r="M55" s="231">
        <v>0</v>
      </c>
      <c r="N55" s="230">
        <f t="shared" si="18"/>
        <v>0</v>
      </c>
      <c r="O55" s="230">
        <f t="shared" si="8"/>
        <v>0</v>
      </c>
      <c r="P55" s="235">
        <f t="shared" si="9"/>
        <v>0</v>
      </c>
      <c r="Q55" s="54"/>
      <c r="R55" s="54"/>
    </row>
    <row r="56" spans="4:18">
      <c r="D56" s="126" t="s">
        <v>44</v>
      </c>
      <c r="E56" s="128"/>
      <c r="F56" s="236">
        <f>F55</f>
        <v>1.3052866189583168</v>
      </c>
      <c r="G56" s="236">
        <f>SUM(G27:G55)</f>
        <v>0.8799054666666668</v>
      </c>
      <c r="H56" s="236">
        <f>SUM(H27:H55)</f>
        <v>0.42538115229164997</v>
      </c>
      <c r="I56" s="128"/>
      <c r="J56" s="128"/>
      <c r="K56" s="128"/>
      <c r="L56" s="130"/>
      <c r="M56" s="128"/>
      <c r="N56" s="128"/>
      <c r="O56" s="128"/>
      <c r="P56" s="131"/>
      <c r="Q56" s="54"/>
      <c r="R56" s="54"/>
    </row>
    <row r="57" spans="4:18">
      <c r="D57" s="126" t="s">
        <v>45</v>
      </c>
      <c r="E57" s="132"/>
      <c r="F57" s="236">
        <f>F56+H57</f>
        <v>1.3052866189583168</v>
      </c>
      <c r="G57" s="236"/>
      <c r="H57" s="238">
        <v>0</v>
      </c>
      <c r="I57" s="106"/>
      <c r="J57" s="106"/>
      <c r="K57" s="207" t="s">
        <v>46</v>
      </c>
      <c r="L57" s="208">
        <f>F14</f>
        <v>9000</v>
      </c>
      <c r="M57" s="106"/>
      <c r="N57" s="106"/>
      <c r="O57" s="106"/>
      <c r="P57" s="111"/>
      <c r="Q57" s="54"/>
      <c r="R57" s="54"/>
    </row>
    <row r="58" spans="4:18">
      <c r="D58" s="126" t="s">
        <v>47</v>
      </c>
      <c r="E58" s="201">
        <v>0.05</v>
      </c>
      <c r="F58" s="236">
        <f>F57+H58</f>
        <v>1.3705509499062325</v>
      </c>
      <c r="G58" s="236"/>
      <c r="H58" s="236">
        <f>F55*E58</f>
        <v>6.5264330947915838E-2</v>
      </c>
      <c r="I58" s="106"/>
      <c r="J58" s="106"/>
      <c r="K58" s="106"/>
      <c r="L58" s="137"/>
      <c r="M58" s="106"/>
      <c r="N58" s="106"/>
      <c r="O58" s="106"/>
      <c r="P58" s="111"/>
      <c r="Q58" s="54"/>
      <c r="R58" s="54"/>
    </row>
    <row r="59" spans="4:18">
      <c r="D59" s="126" t="s">
        <v>48</v>
      </c>
      <c r="E59" s="201">
        <v>0.05</v>
      </c>
      <c r="F59" s="236">
        <f>F58+H59</f>
        <v>1.4358152808541482</v>
      </c>
      <c r="G59" s="236"/>
      <c r="H59" s="236">
        <f>F56*E59</f>
        <v>6.5264330947915838E-2</v>
      </c>
      <c r="I59" s="128"/>
      <c r="J59" s="138"/>
      <c r="K59" s="138"/>
      <c r="L59" s="130"/>
      <c r="M59" s="106"/>
      <c r="N59" s="106"/>
      <c r="O59" s="106"/>
      <c r="P59" s="111"/>
      <c r="Q59" s="54"/>
      <c r="R59" s="54"/>
    </row>
    <row r="60" spans="4:18">
      <c r="D60" s="126" t="s">
        <v>49</v>
      </c>
      <c r="E60" s="202" t="s">
        <v>50</v>
      </c>
      <c r="F60" s="236">
        <f>F59+H60</f>
        <v>1.4358152808541482</v>
      </c>
      <c r="G60" s="236"/>
      <c r="H60" s="238">
        <v>0</v>
      </c>
      <c r="I60" s="140"/>
      <c r="J60" s="106"/>
      <c r="K60" s="106"/>
      <c r="L60" s="141"/>
      <c r="M60" s="106"/>
      <c r="N60" s="106"/>
      <c r="O60" s="106"/>
      <c r="P60" s="111"/>
      <c r="Q60" s="54"/>
      <c r="R60" s="54"/>
    </row>
    <row r="61" spans="4:18" s="176" customFormat="1" ht="21" thickBot="1">
      <c r="D61" s="172" t="s">
        <v>51</v>
      </c>
      <c r="E61" s="262" t="s">
        <v>112</v>
      </c>
      <c r="F61" s="239">
        <f>F60</f>
        <v>1.4358152808541482</v>
      </c>
      <c r="G61" s="240"/>
      <c r="H61" s="240"/>
      <c r="I61" s="173"/>
      <c r="J61" s="173"/>
      <c r="K61" s="173"/>
      <c r="L61" s="174"/>
      <c r="M61" s="173"/>
      <c r="N61" s="173"/>
      <c r="O61" s="173"/>
      <c r="P61" s="175"/>
    </row>
    <row r="62" spans="4:18" ht="5" customHeight="1">
      <c r="D62" s="149"/>
      <c r="E62" s="150"/>
      <c r="F62" s="241"/>
      <c r="G62" s="242"/>
      <c r="H62" s="242"/>
      <c r="I62" s="153"/>
      <c r="J62" s="153"/>
      <c r="K62" s="153"/>
      <c r="L62" s="154"/>
      <c r="M62" s="153"/>
      <c r="N62" s="153"/>
      <c r="O62" s="153"/>
      <c r="P62" s="155"/>
      <c r="Q62" s="54"/>
      <c r="R62" s="54"/>
    </row>
    <row r="63" spans="4:18">
      <c r="D63" s="156" t="s">
        <v>52</v>
      </c>
      <c r="E63" s="157"/>
      <c r="F63" s="243">
        <f>SUM(H27:H55)</f>
        <v>0.42538115229164997</v>
      </c>
      <c r="G63" s="236"/>
      <c r="H63" s="244"/>
      <c r="I63" s="128"/>
      <c r="J63" s="128"/>
      <c r="K63" s="128"/>
      <c r="L63" s="130"/>
      <c r="M63" s="128"/>
      <c r="N63" s="138"/>
      <c r="O63" s="138"/>
      <c r="P63" s="159"/>
      <c r="Q63" s="54"/>
      <c r="R63" s="54"/>
    </row>
    <row r="64" spans="4:18">
      <c r="D64" s="160" t="s">
        <v>168</v>
      </c>
      <c r="E64" s="157"/>
      <c r="F64" s="243">
        <f>SUM(N28:N55)</f>
        <v>0.3621350081699346</v>
      </c>
      <c r="G64" s="236"/>
      <c r="H64" s="244"/>
      <c r="I64" s="128"/>
      <c r="J64" s="128"/>
      <c r="K64" s="128"/>
      <c r="L64" s="130"/>
      <c r="M64" s="128"/>
      <c r="N64" s="119"/>
      <c r="O64" s="119"/>
      <c r="P64" s="120"/>
      <c r="Q64" s="54"/>
      <c r="R64" s="54"/>
    </row>
    <row r="65" spans="4:18">
      <c r="D65" s="160" t="s">
        <v>54</v>
      </c>
      <c r="E65" s="157"/>
      <c r="F65" s="243">
        <f>SUM(O28:O55)</f>
        <v>1.0579769199346414E-2</v>
      </c>
      <c r="G65" s="236"/>
      <c r="H65" s="244"/>
      <c r="I65" s="128"/>
      <c r="J65" s="128"/>
      <c r="K65" s="128"/>
      <c r="L65" s="130"/>
      <c r="M65" s="128"/>
      <c r="N65" s="119"/>
      <c r="O65" s="119"/>
      <c r="P65" s="120"/>
      <c r="Q65" s="54"/>
      <c r="R65" s="54"/>
    </row>
    <row r="66" spans="4:18">
      <c r="D66" s="160" t="s">
        <v>55</v>
      </c>
      <c r="E66" s="157"/>
      <c r="F66" s="243">
        <f>SUM(P28:P55)</f>
        <v>5.2666374922369016E-2</v>
      </c>
      <c r="G66" s="236"/>
      <c r="H66" s="244"/>
      <c r="I66" s="128"/>
      <c r="J66" s="128"/>
      <c r="K66" s="128"/>
      <c r="L66" s="130"/>
      <c r="M66" s="128"/>
      <c r="N66" s="119"/>
      <c r="O66" s="119"/>
      <c r="P66" s="120"/>
      <c r="Q66" s="54"/>
      <c r="R66" s="54"/>
    </row>
    <row r="67" spans="4:18">
      <c r="D67" s="156" t="s">
        <v>56</v>
      </c>
      <c r="E67" s="157"/>
      <c r="F67" s="243">
        <f>SUM(G27:G55)</f>
        <v>0.8799054666666668</v>
      </c>
      <c r="G67" s="244"/>
      <c r="H67" s="236"/>
      <c r="I67" s="128"/>
      <c r="J67" s="128"/>
      <c r="K67" s="128"/>
      <c r="L67" s="130"/>
      <c r="M67" s="128"/>
      <c r="N67" s="128"/>
      <c r="O67" s="128"/>
      <c r="P67" s="131"/>
      <c r="Q67" s="54"/>
      <c r="R67" s="54"/>
    </row>
    <row r="68" spans="4:18" ht="5" customHeight="1">
      <c r="D68" s="162"/>
      <c r="E68" s="163"/>
      <c r="F68" s="232"/>
      <c r="G68" s="232"/>
      <c r="H68" s="232"/>
      <c r="I68" s="163"/>
      <c r="J68" s="163"/>
      <c r="K68" s="163"/>
      <c r="L68" s="163"/>
      <c r="M68" s="163"/>
      <c r="N68" s="163"/>
      <c r="O68" s="163"/>
      <c r="P68" s="164"/>
      <c r="Q68" s="54"/>
      <c r="R68" s="54"/>
    </row>
    <row r="69" spans="4:18" ht="20">
      <c r="D69" s="203" t="s">
        <v>57</v>
      </c>
      <c r="E69" s="204"/>
      <c r="F69" s="233"/>
      <c r="G69" s="233"/>
      <c r="H69" s="233"/>
      <c r="I69" s="204"/>
      <c r="J69" s="209">
        <f>SUM(J28:J55)</f>
        <v>82.927499999999995</v>
      </c>
      <c r="K69" s="204"/>
      <c r="L69" s="138"/>
      <c r="M69" s="138"/>
      <c r="N69" s="138"/>
      <c r="O69" s="138"/>
      <c r="P69" s="159"/>
    </row>
    <row r="70" spans="4:18" ht="21" thickBot="1">
      <c r="D70" s="205" t="s">
        <v>35</v>
      </c>
      <c r="E70" s="206"/>
      <c r="F70" s="234"/>
      <c r="G70" s="234"/>
      <c r="H70" s="234"/>
      <c r="I70" s="206"/>
      <c r="J70" s="206"/>
      <c r="K70" s="210">
        <f>PRODUCT(K28:K55)</f>
        <v>0.79928359228161905</v>
      </c>
      <c r="L70" s="167"/>
      <c r="M70" s="167"/>
      <c r="N70" s="167"/>
      <c r="O70" s="167"/>
      <c r="P70" s="169"/>
    </row>
    <row r="72" spans="4:18" ht="15" thickBot="1">
      <c r="D72" s="170" t="s">
        <v>58</v>
      </c>
    </row>
    <row r="73" spans="4:18">
      <c r="D73" s="272" t="s">
        <v>132</v>
      </c>
      <c r="E73" s="273"/>
      <c r="F73" s="273"/>
      <c r="G73" s="273"/>
      <c r="H73" s="274"/>
    </row>
    <row r="74" spans="4:18">
      <c r="D74" s="275"/>
      <c r="E74" s="276"/>
      <c r="F74" s="276"/>
      <c r="G74" s="276"/>
      <c r="H74" s="277"/>
    </row>
    <row r="75" spans="4:18" ht="15" thickBot="1">
      <c r="D75" s="278"/>
      <c r="E75" s="279"/>
      <c r="F75" s="279"/>
      <c r="G75" s="279"/>
      <c r="H75" s="280"/>
    </row>
  </sheetData>
  <mergeCells count="4">
    <mergeCell ref="D7:D9"/>
    <mergeCell ref="D12:D14"/>
    <mergeCell ref="D18:D24"/>
    <mergeCell ref="D73:H75"/>
  </mergeCells>
  <dataValidations count="9">
    <dataValidation type="decimal" operator="greaterThan" allowBlank="1" showInputMessage="1" showErrorMessage="1" errorTitle="Invalid format" error="Must enter number only" sqref="F14 H12:H14">
      <formula1>0</formula1>
    </dataValidation>
    <dataValidation type="decimal" allowBlank="1" showInputMessage="1" showErrorMessage="1" errorTitle="Invalid entry" error="Yield must be between 0-100%" sqref="K28:K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M28:M55">
      <formula1>0</formula1>
    </dataValidation>
    <dataValidation type="decimal" operator="greaterThanOrEqual" allowBlank="1" showInputMessage="1" showErrorMessage="1" errorTitle="Invalid entry" error="Cycle time must be greater than 0 seconds_x000a_" sqref="J28:J55">
      <formula1>0</formula1>
    </dataValidation>
    <dataValidation type="decimal" operator="greaterThanOrEqual" allowBlank="1" showInputMessage="1" showErrorMessage="1" errorTitle="Invalid entry" error="Components / Part must be greater than 0" sqref="F23:P23">
      <formula1>0</formula1>
    </dataValidation>
    <dataValidation type="decimal" operator="greaterThanOrEqual" allowBlank="1" showInputMessage="1" showErrorMessage="1" errorTitle="Invalid entry" error="Kg Material / Component must be greater than 0" sqref="F21:P21">
      <formula1>0</formula1>
    </dataValidation>
    <dataValidation type="decimal" operator="greaterThanOrEqual" allowBlank="1" showInputMessage="1" showErrorMessage="1" errorTitle="Invalid entry" error="Material cost / Kg must be greater than $0" sqref="F20:P20">
      <formula1>0</formula1>
    </dataValidation>
    <dataValidation type="decimal" operator="greaterThanOrEqual" allowBlank="1" showInputMessage="1" showErrorMessage="1" errorTitle="Invalid entry" error="Must be greater than or equal to $0" sqref="F24 H60 H57 G28:G55">
      <formula1>0</formula1>
    </dataValidation>
    <dataValidation type="decimal" allowBlank="1" showInputMessage="1" showErrorMessage="1" errorTitle="Invalid entry" error="Must be between 0-100%" sqref="E58:E59">
      <formula1>0</formula1>
      <formula2>1</formula2>
    </dataValidation>
  </dataValidations>
  <hyperlinks>
    <hyperlink ref="J9" r:id="rId1"/>
    <hyperlink ref="H7" r:id="rId2"/>
  </hyperlinks>
  <pageMargins left="0.7" right="0.7" top="0.75" bottom="0.75" header="0.3" footer="0.3"/>
  <pageSetup scale="30" orientation="portrait"/>
  <ignoredErrors>
    <ignoredError sqref="F24:N24" unlockedFormula="1"/>
  </ignoredErrors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"/>
  <sheetViews>
    <sheetView topLeftCell="B1" zoomScale="70" zoomScaleNormal="70" zoomScalePageLayoutView="70" workbookViewId="0">
      <selection activeCell="I7" sqref="I7"/>
    </sheetView>
  </sheetViews>
  <sheetFormatPr baseColWidth="10" defaultColWidth="8.83203125" defaultRowHeight="14" x14ac:dyDescent="0"/>
  <cols>
    <col min="1" max="1" width="8.83203125" style="252"/>
    <col min="2" max="2" width="23.83203125" style="252" customWidth="1"/>
    <col min="3" max="3" width="29.1640625" style="252" customWidth="1"/>
    <col min="4" max="4" width="24.5" style="252" customWidth="1"/>
    <col min="5" max="5" width="11.6640625" style="252" customWidth="1"/>
    <col min="6" max="6" width="12.1640625" style="252" customWidth="1"/>
    <col min="7" max="7" width="27.1640625" style="252" bestFit="1" customWidth="1"/>
    <col min="8" max="8" width="10.83203125" style="252" bestFit="1" customWidth="1"/>
    <col min="9" max="9" width="20" style="252" customWidth="1"/>
    <col min="10" max="11" width="13.5" style="252" customWidth="1"/>
    <col min="12" max="13" width="13.33203125" style="252" customWidth="1"/>
    <col min="14" max="14" width="40.5" style="252" customWidth="1"/>
    <col min="15" max="16384" width="8.83203125" style="252"/>
  </cols>
  <sheetData>
    <row r="2" spans="2:14" ht="30">
      <c r="B2" s="246" t="s">
        <v>133</v>
      </c>
      <c r="C2" s="246" t="s">
        <v>134</v>
      </c>
      <c r="D2" s="246" t="s">
        <v>135</v>
      </c>
      <c r="E2" s="247" t="s">
        <v>136</v>
      </c>
      <c r="F2" s="248" t="s">
        <v>137</v>
      </c>
      <c r="G2" s="249" t="s">
        <v>138</v>
      </c>
      <c r="H2" s="248" t="s">
        <v>139</v>
      </c>
      <c r="I2" s="248" t="s">
        <v>140</v>
      </c>
      <c r="J2" s="249" t="s">
        <v>141</v>
      </c>
      <c r="K2" s="249" t="s">
        <v>142</v>
      </c>
      <c r="L2" s="250" t="s">
        <v>143</v>
      </c>
      <c r="M2" s="251" t="s">
        <v>144</v>
      </c>
      <c r="N2" s="250" t="s">
        <v>145</v>
      </c>
    </row>
    <row r="3" spans="2:14" ht="75" customHeight="1">
      <c r="B3" s="253" t="s">
        <v>97</v>
      </c>
      <c r="C3" s="253" t="s">
        <v>146</v>
      </c>
      <c r="D3" s="254" t="s">
        <v>105</v>
      </c>
      <c r="E3" s="255">
        <v>16</v>
      </c>
      <c r="F3" s="256" t="s">
        <v>147</v>
      </c>
      <c r="G3" s="256" t="s">
        <v>148</v>
      </c>
      <c r="H3" s="256" t="s">
        <v>149</v>
      </c>
      <c r="I3" s="257" t="s">
        <v>150</v>
      </c>
      <c r="J3" s="256" t="s">
        <v>151</v>
      </c>
      <c r="K3" s="256" t="s">
        <v>152</v>
      </c>
      <c r="L3" s="258">
        <v>1000000</v>
      </c>
      <c r="M3" s="259">
        <v>24087.760000000002</v>
      </c>
      <c r="N3" s="258"/>
    </row>
    <row r="4" spans="2:14" ht="75" customHeight="1">
      <c r="B4" s="254" t="s">
        <v>153</v>
      </c>
      <c r="C4" s="254" t="s">
        <v>154</v>
      </c>
      <c r="D4" s="254" t="s">
        <v>155</v>
      </c>
      <c r="E4" s="255" t="s">
        <v>156</v>
      </c>
      <c r="F4" s="256" t="s">
        <v>147</v>
      </c>
      <c r="G4" s="256" t="s">
        <v>148</v>
      </c>
      <c r="H4" s="256" t="s">
        <v>149</v>
      </c>
      <c r="I4" s="260" t="s">
        <v>157</v>
      </c>
      <c r="J4" s="256" t="s">
        <v>151</v>
      </c>
      <c r="K4" s="256" t="s">
        <v>158</v>
      </c>
      <c r="L4" s="258">
        <v>1000000</v>
      </c>
      <c r="M4" s="259">
        <v>51543.240000000005</v>
      </c>
      <c r="N4" s="260" t="s">
        <v>159</v>
      </c>
    </row>
    <row r="5" spans="2:14" ht="75" customHeight="1">
      <c r="B5" s="254" t="s">
        <v>160</v>
      </c>
      <c r="C5" s="254" t="s">
        <v>161</v>
      </c>
      <c r="D5" s="254" t="s">
        <v>162</v>
      </c>
      <c r="E5" s="255" t="s">
        <v>156</v>
      </c>
      <c r="F5" s="256">
        <v>1.2343999999999999</v>
      </c>
      <c r="G5" s="256" t="s">
        <v>148</v>
      </c>
      <c r="H5" s="256" t="s">
        <v>149</v>
      </c>
      <c r="I5" s="260" t="s">
        <v>157</v>
      </c>
      <c r="J5" s="256" t="s">
        <v>151</v>
      </c>
      <c r="K5" s="256" t="s">
        <v>163</v>
      </c>
      <c r="L5" s="258">
        <v>1000000</v>
      </c>
      <c r="M5" s="259">
        <v>68710.05</v>
      </c>
      <c r="N5" s="260" t="s">
        <v>164</v>
      </c>
    </row>
    <row r="6" spans="2:14" ht="75" customHeight="1">
      <c r="B6" s="253" t="s">
        <v>165</v>
      </c>
      <c r="C6" s="254" t="s">
        <v>161</v>
      </c>
      <c r="D6" s="254" t="s">
        <v>162</v>
      </c>
      <c r="E6" s="261" t="s">
        <v>156</v>
      </c>
      <c r="F6" s="256" t="s">
        <v>147</v>
      </c>
      <c r="G6" s="256" t="s">
        <v>148</v>
      </c>
      <c r="H6" s="256" t="s">
        <v>149</v>
      </c>
      <c r="I6" s="260" t="s">
        <v>157</v>
      </c>
      <c r="J6" s="256" t="s">
        <v>151</v>
      </c>
      <c r="K6" s="256" t="s">
        <v>166</v>
      </c>
      <c r="L6" s="258">
        <v>1000000</v>
      </c>
      <c r="M6" s="259">
        <v>73290.720000000001</v>
      </c>
      <c r="N6" s="260" t="s">
        <v>164</v>
      </c>
    </row>
    <row r="7" spans="2:14" ht="75" customHeight="1">
      <c r="B7" s="253" t="s">
        <v>98</v>
      </c>
      <c r="C7" s="254"/>
      <c r="D7" s="254" t="s">
        <v>167</v>
      </c>
      <c r="E7" s="261">
        <v>12</v>
      </c>
      <c r="F7" s="256"/>
      <c r="G7" s="256"/>
      <c r="H7" s="256"/>
      <c r="I7" s="260"/>
      <c r="J7" s="256"/>
      <c r="K7" s="256"/>
      <c r="L7" s="258">
        <v>500000</v>
      </c>
      <c r="M7" s="259">
        <v>25000</v>
      </c>
      <c r="N7" s="260"/>
    </row>
    <row r="8" spans="2:14" ht="75" customHeight="1">
      <c r="B8" s="253" t="s">
        <v>99</v>
      </c>
      <c r="C8" s="254"/>
      <c r="D8" s="254" t="s">
        <v>167</v>
      </c>
      <c r="E8" s="261">
        <v>12</v>
      </c>
      <c r="F8" s="256"/>
      <c r="G8" s="256"/>
      <c r="H8" s="256"/>
      <c r="I8" s="260"/>
      <c r="J8" s="256"/>
      <c r="K8" s="256"/>
      <c r="L8" s="258">
        <v>500000</v>
      </c>
      <c r="M8" s="259">
        <v>25000</v>
      </c>
      <c r="N8" s="260"/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W75"/>
  <sheetViews>
    <sheetView showGridLines="0" zoomScale="80" zoomScaleNormal="80" zoomScalePageLayoutView="80" workbookViewId="0">
      <selection activeCell="B4" sqref="B4"/>
    </sheetView>
  </sheetViews>
  <sheetFormatPr baseColWidth="10" defaultColWidth="10.5" defaultRowHeight="14" x14ac:dyDescent="0"/>
  <cols>
    <col min="1" max="1" width="1.83203125" style="2" customWidth="1"/>
    <col min="2" max="2" width="21.83203125" style="2" customWidth="1"/>
    <col min="3" max="3" width="39.83203125" style="2" bestFit="1" customWidth="1"/>
    <col min="4" max="4" width="24.83203125" style="2" customWidth="1"/>
    <col min="5" max="5" width="22.5" style="2" customWidth="1"/>
    <col min="6" max="6" width="23" style="2" customWidth="1"/>
    <col min="7" max="7" width="25.5" style="2" customWidth="1"/>
    <col min="8" max="8" width="25" style="2" customWidth="1"/>
    <col min="9" max="14" width="20.1640625" style="2" customWidth="1"/>
    <col min="15" max="15" width="1.83203125" style="2" customWidth="1"/>
    <col min="16" max="21" width="10.5" style="2" customWidth="1"/>
    <col min="22" max="16384" width="10.5" style="2"/>
  </cols>
  <sheetData>
    <row r="1" spans="2:22" ht="10.5" customHeight="1" thickBot="1"/>
    <row r="2" spans="2:22" s="5" customFormat="1" ht="22.5" customHeight="1">
      <c r="B2" s="1" t="s">
        <v>91</v>
      </c>
      <c r="C2" s="3"/>
      <c r="D2" s="3"/>
      <c r="E2" s="3"/>
      <c r="F2" s="3"/>
      <c r="G2" s="3"/>
      <c r="H2" s="4"/>
      <c r="M2" s="6"/>
      <c r="N2" s="7"/>
      <c r="O2" s="6"/>
      <c r="P2" s="6"/>
      <c r="Q2" s="6"/>
      <c r="R2" s="6"/>
    </row>
    <row r="3" spans="2:22" s="11" customFormat="1" ht="14.25" customHeight="1">
      <c r="B3" s="8" t="s">
        <v>0</v>
      </c>
      <c r="C3" s="9"/>
      <c r="D3" s="9"/>
      <c r="E3" s="9"/>
      <c r="F3" s="9"/>
      <c r="G3" s="9"/>
      <c r="H3" s="10"/>
      <c r="M3" s="12"/>
      <c r="N3" s="13"/>
      <c r="O3" s="12"/>
      <c r="P3" s="12"/>
      <c r="Q3" s="12"/>
      <c r="R3" s="12"/>
    </row>
    <row r="4" spans="2:22" s="11" customFormat="1" ht="14.25" customHeight="1">
      <c r="B4" s="8" t="s">
        <v>1</v>
      </c>
      <c r="C4" s="9"/>
      <c r="D4" s="9"/>
      <c r="E4" s="9"/>
      <c r="F4" s="9"/>
      <c r="G4" s="9"/>
      <c r="H4" s="10"/>
      <c r="M4" s="12"/>
      <c r="N4" s="13"/>
      <c r="O4" s="12"/>
      <c r="P4" s="12"/>
      <c r="Q4" s="12"/>
      <c r="R4" s="12"/>
    </row>
    <row r="5" spans="2:22" s="11" customFormat="1" ht="14.25" customHeight="1" thickBot="1">
      <c r="B5" s="14" t="s">
        <v>2</v>
      </c>
      <c r="C5" s="15"/>
      <c r="D5" s="15"/>
      <c r="E5" s="15"/>
      <c r="F5" s="15"/>
      <c r="G5" s="15"/>
      <c r="H5" s="16"/>
      <c r="M5" s="12"/>
      <c r="N5" s="17"/>
      <c r="O5" s="12"/>
      <c r="P5" s="12"/>
      <c r="Q5" s="12"/>
      <c r="R5" s="12"/>
    </row>
    <row r="6" spans="2:22" s="20" customFormat="1" ht="14.25" customHeight="1" thickBot="1">
      <c r="B6" s="18"/>
      <c r="C6" s="19"/>
      <c r="D6" s="19"/>
      <c r="E6" s="19"/>
      <c r="F6" s="19"/>
      <c r="G6" s="19"/>
      <c r="H6" s="19"/>
      <c r="N6" s="21"/>
    </row>
    <row r="7" spans="2:22" s="27" customFormat="1" ht="14.25" customHeight="1">
      <c r="B7" s="266" t="s">
        <v>3</v>
      </c>
      <c r="C7" s="22" t="s">
        <v>4</v>
      </c>
      <c r="D7" s="23" t="s">
        <v>59</v>
      </c>
      <c r="E7" s="24" t="s">
        <v>5</v>
      </c>
      <c r="F7" s="23" t="s">
        <v>61</v>
      </c>
      <c r="G7" s="25" t="s">
        <v>6</v>
      </c>
      <c r="H7" s="26" t="s">
        <v>63</v>
      </c>
      <c r="Q7" s="28"/>
      <c r="R7" s="28"/>
      <c r="S7" s="28"/>
      <c r="T7" s="28"/>
      <c r="U7" s="28"/>
      <c r="V7" s="28"/>
    </row>
    <row r="8" spans="2:22" s="34" customFormat="1" ht="14.25" customHeight="1">
      <c r="B8" s="267"/>
      <c r="C8" s="29" t="s">
        <v>7</v>
      </c>
      <c r="D8" s="30" t="s">
        <v>60</v>
      </c>
      <c r="E8" s="31" t="s">
        <v>8</v>
      </c>
      <c r="F8" s="30" t="s">
        <v>62</v>
      </c>
      <c r="G8" s="32" t="s">
        <v>9</v>
      </c>
      <c r="H8" s="33" t="s">
        <v>90</v>
      </c>
      <c r="Q8" s="35"/>
      <c r="R8" s="35"/>
      <c r="S8" s="35"/>
      <c r="T8" s="35"/>
      <c r="U8" s="35"/>
      <c r="V8" s="36"/>
    </row>
    <row r="9" spans="2:22" s="43" customFormat="1" ht="14.25" customHeight="1" thickBot="1">
      <c r="B9" s="268"/>
      <c r="C9" s="37" t="s">
        <v>10</v>
      </c>
      <c r="D9" s="38" t="s">
        <v>60</v>
      </c>
      <c r="E9" s="39" t="s">
        <v>11</v>
      </c>
      <c r="F9" s="40">
        <v>42005</v>
      </c>
      <c r="G9" s="41" t="s">
        <v>12</v>
      </c>
      <c r="H9" s="42" t="s">
        <v>64</v>
      </c>
      <c r="Q9" s="35"/>
      <c r="R9" s="35"/>
      <c r="S9" s="35"/>
      <c r="T9" s="35"/>
      <c r="U9" s="35"/>
      <c r="V9" s="44"/>
    </row>
    <row r="10" spans="2:22" s="50" customFormat="1" ht="14.25" customHeight="1">
      <c r="B10" s="45"/>
      <c r="C10" s="46"/>
      <c r="D10" s="47"/>
      <c r="E10" s="46"/>
      <c r="F10" s="47"/>
      <c r="G10" s="48"/>
      <c r="H10" s="49"/>
      <c r="Q10" s="51"/>
      <c r="R10" s="51"/>
      <c r="S10" s="51"/>
      <c r="T10" s="51"/>
      <c r="U10" s="51"/>
      <c r="V10" s="46"/>
    </row>
    <row r="11" spans="2:22" s="55" customFormat="1" ht="9" customHeight="1" thickBot="1">
      <c r="B11" s="2"/>
      <c r="C11" s="52"/>
      <c r="D11" s="53"/>
      <c r="E11" s="53"/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</row>
    <row r="12" spans="2:22" ht="15" customHeight="1">
      <c r="B12" s="269" t="s">
        <v>13</v>
      </c>
      <c r="C12" s="56" t="s">
        <v>14</v>
      </c>
      <c r="D12" s="57">
        <v>123</v>
      </c>
      <c r="E12" s="24" t="s">
        <v>15</v>
      </c>
      <c r="F12" s="58">
        <v>8</v>
      </c>
      <c r="I12" s="54"/>
      <c r="J12" s="54"/>
      <c r="K12" s="54"/>
      <c r="L12" s="54"/>
      <c r="M12" s="54"/>
      <c r="N12" s="54"/>
      <c r="O12" s="54"/>
      <c r="P12" s="54"/>
    </row>
    <row r="13" spans="2:22">
      <c r="B13" s="270"/>
      <c r="C13" s="59" t="s">
        <v>16</v>
      </c>
      <c r="D13" s="60" t="s">
        <v>89</v>
      </c>
      <c r="E13" s="31" t="s">
        <v>17</v>
      </c>
      <c r="F13" s="61">
        <v>2</v>
      </c>
      <c r="I13" s="54"/>
      <c r="J13" s="54"/>
      <c r="K13" s="54"/>
      <c r="L13" s="54"/>
      <c r="M13" s="54"/>
      <c r="N13" s="54"/>
      <c r="O13" s="54"/>
      <c r="P13" s="54"/>
    </row>
    <row r="14" spans="2:22" ht="15" thickBot="1">
      <c r="B14" s="271"/>
      <c r="C14" s="62" t="s">
        <v>18</v>
      </c>
      <c r="D14" s="63">
        <v>12345</v>
      </c>
      <c r="E14" s="39" t="s">
        <v>19</v>
      </c>
      <c r="F14" s="64">
        <v>365</v>
      </c>
      <c r="I14" s="54"/>
      <c r="J14" s="54"/>
      <c r="K14" s="54"/>
      <c r="L14" s="54"/>
      <c r="M14" s="54"/>
      <c r="N14" s="54"/>
      <c r="O14" s="54"/>
      <c r="P14" s="54"/>
    </row>
    <row r="15" spans="2:22" s="70" customFormat="1" ht="15" thickBot="1">
      <c r="B15" s="65"/>
      <c r="C15" s="66"/>
      <c r="D15" s="67"/>
      <c r="E15" s="68"/>
      <c r="F15" s="45"/>
      <c r="G15" s="46"/>
      <c r="H15" s="47"/>
      <c r="I15" s="69"/>
      <c r="J15" s="69"/>
      <c r="K15" s="69"/>
      <c r="L15" s="69"/>
      <c r="M15" s="69"/>
      <c r="N15" s="69"/>
      <c r="O15" s="69"/>
      <c r="P15" s="69"/>
    </row>
    <row r="16" spans="2:22" s="77" customFormat="1" ht="29" hidden="1" thickBot="1">
      <c r="B16" s="71"/>
      <c r="C16" s="72"/>
      <c r="D16" s="67" t="str">
        <f>D18&amp;"/"&amp;D19&amp;"/"&amp;TEXT(D20,"$#,###.000")&amp;"/"&amp;TEXT(D22,"$#,###.000")</f>
        <v>Plastic Component A/TPE/ABS/PP…/$.200/$.020</v>
      </c>
      <c r="E16" s="73" t="str">
        <f t="shared" ref="E16:N16" si="0">E18&amp;"/"&amp;E19&amp;"/"&amp;TEXT(E20,"$#,###.000")&amp;"/"&amp;TEXT(E22,"$#,###.000")</f>
        <v>Alloy Component B/Alum/Steel/Copper…/$.400/$.080</v>
      </c>
      <c r="F16" s="74" t="str">
        <f t="shared" si="0"/>
        <v>Plastic Component C/TPE/ABS/PP…/$.600/$.180</v>
      </c>
      <c r="G16" s="75" t="str">
        <f t="shared" si="0"/>
        <v>Alloy Component D/Alum/Steel/Copper…/$.800/$.320</v>
      </c>
      <c r="H16" s="75" t="str">
        <f t="shared" si="0"/>
        <v>Fabric Component E/Nylon/Leather/Cotton/…/$1.000/$.500</v>
      </c>
      <c r="I16" s="76" t="str">
        <f t="shared" si="0"/>
        <v>//$.000/$.000</v>
      </c>
      <c r="J16" s="76" t="str">
        <f t="shared" si="0"/>
        <v>//$.000/$.000</v>
      </c>
      <c r="K16" s="76" t="str">
        <f t="shared" si="0"/>
        <v>//$.000/$.000</v>
      </c>
      <c r="L16" s="76" t="str">
        <f t="shared" si="0"/>
        <v>//$.000/$.000</v>
      </c>
      <c r="M16" s="76" t="str">
        <f t="shared" si="0"/>
        <v>//$.000/$.000</v>
      </c>
      <c r="N16" s="76" t="str">
        <f t="shared" si="0"/>
        <v>//$.000/$.000</v>
      </c>
    </row>
    <row r="17" spans="2:23" s="77" customFormat="1" ht="15" hidden="1" thickBot="1">
      <c r="B17" s="71"/>
      <c r="C17" s="72"/>
      <c r="D17" s="67">
        <f>IF(D22&gt;0,1,"")</f>
        <v>1</v>
      </c>
      <c r="E17" s="73">
        <f t="shared" ref="E17:N17" si="1">IF(E22&gt;0,1,"")</f>
        <v>1</v>
      </c>
      <c r="F17" s="74">
        <f t="shared" si="1"/>
        <v>1</v>
      </c>
      <c r="G17" s="75">
        <f t="shared" si="1"/>
        <v>1</v>
      </c>
      <c r="H17" s="75">
        <f t="shared" si="1"/>
        <v>1</v>
      </c>
      <c r="I17" s="76" t="str">
        <f t="shared" si="1"/>
        <v/>
      </c>
      <c r="J17" s="76" t="str">
        <f t="shared" si="1"/>
        <v/>
      </c>
      <c r="K17" s="76" t="str">
        <f t="shared" si="1"/>
        <v/>
      </c>
      <c r="L17" s="76" t="str">
        <f t="shared" si="1"/>
        <v/>
      </c>
      <c r="M17" s="76" t="str">
        <f t="shared" si="1"/>
        <v/>
      </c>
      <c r="N17" s="76" t="str">
        <f t="shared" si="1"/>
        <v/>
      </c>
    </row>
    <row r="18" spans="2:23">
      <c r="B18" s="269" t="s">
        <v>20</v>
      </c>
      <c r="C18" s="56" t="s">
        <v>21</v>
      </c>
      <c r="D18" s="78" t="s">
        <v>65</v>
      </c>
      <c r="E18" s="57" t="s">
        <v>66</v>
      </c>
      <c r="F18" s="57" t="s">
        <v>67</v>
      </c>
      <c r="G18" s="57" t="s">
        <v>71</v>
      </c>
      <c r="H18" s="57" t="s">
        <v>70</v>
      </c>
      <c r="I18" s="57"/>
      <c r="J18" s="57"/>
      <c r="K18" s="57"/>
      <c r="L18" s="57"/>
      <c r="M18" s="57"/>
      <c r="N18" s="79"/>
      <c r="O18" s="54"/>
      <c r="P18" s="54"/>
      <c r="Q18" s="54"/>
      <c r="R18" s="54"/>
    </row>
    <row r="19" spans="2:23">
      <c r="B19" s="270"/>
      <c r="C19" s="59" t="s">
        <v>22</v>
      </c>
      <c r="D19" s="80" t="s">
        <v>68</v>
      </c>
      <c r="E19" s="81" t="s">
        <v>69</v>
      </c>
      <c r="F19" s="81" t="s">
        <v>68</v>
      </c>
      <c r="G19" s="81" t="s">
        <v>69</v>
      </c>
      <c r="H19" s="81" t="s">
        <v>72</v>
      </c>
      <c r="I19" s="81"/>
      <c r="J19" s="81"/>
      <c r="K19" s="81"/>
      <c r="L19" s="81"/>
      <c r="M19" s="81"/>
      <c r="N19" s="82"/>
      <c r="O19" s="54"/>
      <c r="P19" s="54"/>
      <c r="Q19" s="54"/>
      <c r="R19" s="54"/>
    </row>
    <row r="20" spans="2:23">
      <c r="B20" s="270"/>
      <c r="C20" s="59" t="s">
        <v>23</v>
      </c>
      <c r="D20" s="83">
        <v>0.2</v>
      </c>
      <c r="E20" s="84">
        <v>0.4</v>
      </c>
      <c r="F20" s="84">
        <v>0.6</v>
      </c>
      <c r="G20" s="84">
        <v>0.8</v>
      </c>
      <c r="H20" s="84">
        <v>1</v>
      </c>
      <c r="I20" s="84"/>
      <c r="J20" s="84"/>
      <c r="K20" s="84"/>
      <c r="L20" s="84"/>
      <c r="M20" s="84"/>
      <c r="N20" s="85"/>
      <c r="O20" s="54"/>
      <c r="P20" s="54"/>
      <c r="Q20" s="54"/>
      <c r="R20" s="54"/>
    </row>
    <row r="21" spans="2:23">
      <c r="B21" s="270"/>
      <c r="C21" s="59" t="s">
        <v>24</v>
      </c>
      <c r="D21" s="80">
        <v>0.1</v>
      </c>
      <c r="E21" s="81">
        <v>0.2</v>
      </c>
      <c r="F21" s="81">
        <v>0.3</v>
      </c>
      <c r="G21" s="81">
        <v>0.4</v>
      </c>
      <c r="H21" s="81">
        <v>0.5</v>
      </c>
      <c r="I21" s="81"/>
      <c r="J21" s="81"/>
      <c r="K21" s="81"/>
      <c r="L21" s="81"/>
      <c r="M21" s="81"/>
      <c r="N21" s="82"/>
      <c r="O21" s="54"/>
      <c r="P21" s="54"/>
      <c r="Q21" s="54"/>
      <c r="R21" s="54"/>
    </row>
    <row r="22" spans="2:23">
      <c r="B22" s="270"/>
      <c r="C22" s="59" t="s">
        <v>25</v>
      </c>
      <c r="D22" s="86">
        <f t="shared" ref="D22:I22" si="2">D20*D21</f>
        <v>2.0000000000000004E-2</v>
      </c>
      <c r="E22" s="87">
        <f t="shared" si="2"/>
        <v>8.0000000000000016E-2</v>
      </c>
      <c r="F22" s="87">
        <f t="shared" si="2"/>
        <v>0.18</v>
      </c>
      <c r="G22" s="87">
        <f t="shared" si="2"/>
        <v>0.32000000000000006</v>
      </c>
      <c r="H22" s="87">
        <f t="shared" si="2"/>
        <v>0.5</v>
      </c>
      <c r="I22" s="87">
        <f t="shared" si="2"/>
        <v>0</v>
      </c>
      <c r="J22" s="87">
        <f>J20*J21</f>
        <v>0</v>
      </c>
      <c r="K22" s="87">
        <f>K20*K21</f>
        <v>0</v>
      </c>
      <c r="L22" s="87">
        <f>L20*L21</f>
        <v>0</v>
      </c>
      <c r="M22" s="87">
        <f>M20*M21</f>
        <v>0</v>
      </c>
      <c r="N22" s="88">
        <f>N20*N21</f>
        <v>0</v>
      </c>
      <c r="O22" s="54"/>
      <c r="P22" s="54"/>
      <c r="Q22" s="54"/>
      <c r="R22" s="54"/>
    </row>
    <row r="23" spans="2:23">
      <c r="B23" s="270"/>
      <c r="C23" s="59" t="s">
        <v>26</v>
      </c>
      <c r="D23" s="80">
        <v>2</v>
      </c>
      <c r="E23" s="60">
        <v>2</v>
      </c>
      <c r="F23" s="60">
        <v>1</v>
      </c>
      <c r="G23" s="60">
        <v>1</v>
      </c>
      <c r="H23" s="60">
        <v>1</v>
      </c>
      <c r="I23" s="60"/>
      <c r="J23" s="60"/>
      <c r="K23" s="60"/>
      <c r="L23" s="60"/>
      <c r="M23" s="60"/>
      <c r="N23" s="89"/>
      <c r="O23" s="54"/>
      <c r="P23" s="54"/>
      <c r="Q23" s="54"/>
      <c r="R23" s="54"/>
    </row>
    <row r="24" spans="2:23" ht="15" thickBot="1">
      <c r="B24" s="271"/>
      <c r="C24" s="62" t="s">
        <v>27</v>
      </c>
      <c r="D24" s="90">
        <f t="shared" ref="D24:N24" si="3">(D22*D23)</f>
        <v>4.0000000000000008E-2</v>
      </c>
      <c r="E24" s="91">
        <f t="shared" si="3"/>
        <v>0.16000000000000003</v>
      </c>
      <c r="F24" s="91">
        <f t="shared" si="3"/>
        <v>0.18</v>
      </c>
      <c r="G24" s="91">
        <f t="shared" si="3"/>
        <v>0.32000000000000006</v>
      </c>
      <c r="H24" s="91">
        <f t="shared" si="3"/>
        <v>0.5</v>
      </c>
      <c r="I24" s="91">
        <f t="shared" si="3"/>
        <v>0</v>
      </c>
      <c r="J24" s="91">
        <f t="shared" si="3"/>
        <v>0</v>
      </c>
      <c r="K24" s="91">
        <f t="shared" si="3"/>
        <v>0</v>
      </c>
      <c r="L24" s="91">
        <f t="shared" si="3"/>
        <v>0</v>
      </c>
      <c r="M24" s="91">
        <f t="shared" si="3"/>
        <v>0</v>
      </c>
      <c r="N24" s="92">
        <f t="shared" si="3"/>
        <v>0</v>
      </c>
      <c r="O24" s="54"/>
      <c r="P24" s="54"/>
      <c r="Q24" s="54"/>
      <c r="R24" s="54"/>
      <c r="S24" s="54"/>
      <c r="T24" s="54"/>
      <c r="U24" s="54"/>
      <c r="V24" s="54"/>
      <c r="W24" s="54"/>
    </row>
    <row r="25" spans="2:23" s="55" customFormat="1" ht="14.25" customHeight="1" thickBot="1">
      <c r="B25" s="93"/>
      <c r="C25" s="94"/>
      <c r="D25" s="95"/>
      <c r="E25" s="95"/>
      <c r="F25" s="95"/>
      <c r="G25" s="96"/>
      <c r="H25" s="96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</row>
    <row r="26" spans="2:23" ht="28">
      <c r="B26" s="97" t="s">
        <v>28</v>
      </c>
      <c r="C26" s="98" t="s">
        <v>29</v>
      </c>
      <c r="D26" s="99" t="s">
        <v>30</v>
      </c>
      <c r="E26" s="99" t="s">
        <v>31</v>
      </c>
      <c r="F26" s="99" t="s">
        <v>32</v>
      </c>
      <c r="G26" s="100" t="s">
        <v>33</v>
      </c>
      <c r="H26" s="101" t="s">
        <v>34</v>
      </c>
      <c r="I26" s="102" t="s">
        <v>35</v>
      </c>
      <c r="J26" s="103" t="s">
        <v>36</v>
      </c>
      <c r="K26" s="100" t="s">
        <v>37</v>
      </c>
      <c r="L26" s="99" t="s">
        <v>38</v>
      </c>
      <c r="M26" s="99" t="s">
        <v>39</v>
      </c>
      <c r="N26" s="104" t="s">
        <v>40</v>
      </c>
      <c r="O26" s="54"/>
      <c r="P26" s="54"/>
    </row>
    <row r="27" spans="2:23">
      <c r="B27" s="105">
        <v>0</v>
      </c>
      <c r="C27" s="106"/>
      <c r="D27" s="107">
        <f>E27+F27</f>
        <v>1.2000000000000002</v>
      </c>
      <c r="E27" s="108">
        <f>SUM(D24:J24)</f>
        <v>1.2000000000000002</v>
      </c>
      <c r="F27" s="109">
        <v>0</v>
      </c>
      <c r="G27" s="106"/>
      <c r="H27" s="106"/>
      <c r="I27" s="106"/>
      <c r="J27" s="110" t="s">
        <v>41</v>
      </c>
      <c r="K27" s="106"/>
      <c r="L27" s="106"/>
      <c r="M27" s="106"/>
      <c r="N27" s="111"/>
      <c r="O27" s="54"/>
      <c r="P27" s="54"/>
    </row>
    <row r="28" spans="2:23">
      <c r="B28" s="105">
        <v>1</v>
      </c>
      <c r="C28" s="30" t="s">
        <v>73</v>
      </c>
      <c r="D28" s="107">
        <f t="shared" ref="D28:D55" si="4">D27+E28+F28</f>
        <v>1.2400555555555557</v>
      </c>
      <c r="E28" s="112">
        <v>0</v>
      </c>
      <c r="F28" s="113">
        <f t="shared" ref="F28:F55" si="5">SUM(L28:N28)</f>
        <v>4.0055555555555573E-2</v>
      </c>
      <c r="G28" s="114" t="s">
        <v>74</v>
      </c>
      <c r="H28" s="115">
        <v>5</v>
      </c>
      <c r="I28" s="116">
        <v>0.99</v>
      </c>
      <c r="J28" s="117">
        <f t="shared" ref="J28:J54" si="6">(1-I28)*J29+J29</f>
        <v>14740.740730737951</v>
      </c>
      <c r="K28" s="118">
        <v>20</v>
      </c>
      <c r="L28" s="119">
        <f t="shared" ref="L28:L55" si="7">(K28/3600)*H28</f>
        <v>2.777777777777778E-2</v>
      </c>
      <c r="M28" s="119">
        <f t="shared" ref="M28:M55" si="8">(1-I28)*L28</f>
        <v>2.7777777777777805E-4</v>
      </c>
      <c r="N28" s="120">
        <f t="shared" ref="N28:N55" si="9">(1-I28)*D27</f>
        <v>1.2000000000000012E-2</v>
      </c>
      <c r="O28" s="54"/>
      <c r="P28" s="54"/>
    </row>
    <row r="29" spans="2:23">
      <c r="B29" s="105">
        <v>2</v>
      </c>
      <c r="C29" s="121" t="s">
        <v>75</v>
      </c>
      <c r="D29" s="107">
        <f t="shared" si="4"/>
        <v>1.3084900000000002</v>
      </c>
      <c r="E29" s="112">
        <v>0</v>
      </c>
      <c r="F29" s="113">
        <f t="shared" si="5"/>
        <v>6.8434444444444464E-2</v>
      </c>
      <c r="G29" s="114" t="s">
        <v>76</v>
      </c>
      <c r="H29" s="115">
        <v>7</v>
      </c>
      <c r="I29" s="116">
        <v>0.98</v>
      </c>
      <c r="J29" s="117">
        <f t="shared" si="6"/>
        <v>14594.792802710843</v>
      </c>
      <c r="K29" s="118">
        <v>22</v>
      </c>
      <c r="L29" s="119">
        <f t="shared" si="7"/>
        <v>4.2777777777777783E-2</v>
      </c>
      <c r="M29" s="119">
        <f t="shared" si="8"/>
        <v>8.5555555555555645E-4</v>
      </c>
      <c r="N29" s="120">
        <f t="shared" si="9"/>
        <v>2.4801111111111135E-2</v>
      </c>
      <c r="O29" s="54"/>
      <c r="P29" s="54"/>
    </row>
    <row r="30" spans="2:23">
      <c r="B30" s="105">
        <v>3</v>
      </c>
      <c r="C30" s="121" t="s">
        <v>77</v>
      </c>
      <c r="D30" s="107">
        <f t="shared" si="4"/>
        <v>1.362622477777778</v>
      </c>
      <c r="E30" s="112">
        <v>0</v>
      </c>
      <c r="F30" s="113">
        <f t="shared" si="5"/>
        <v>5.413247777777782E-2</v>
      </c>
      <c r="G30" s="114" t="s">
        <v>80</v>
      </c>
      <c r="H30" s="115">
        <v>10</v>
      </c>
      <c r="I30" s="116">
        <v>0.97</v>
      </c>
      <c r="J30" s="117">
        <f t="shared" si="6"/>
        <v>14308.620394814552</v>
      </c>
      <c r="K30" s="118">
        <v>5.2</v>
      </c>
      <c r="L30" s="119">
        <f t="shared" si="7"/>
        <v>1.4444444444444446E-2</v>
      </c>
      <c r="M30" s="119">
        <f t="shared" si="8"/>
        <v>4.3333333333333375E-4</v>
      </c>
      <c r="N30" s="120">
        <f t="shared" si="9"/>
        <v>3.9254700000000038E-2</v>
      </c>
      <c r="O30" s="54"/>
      <c r="P30" s="54"/>
    </row>
    <row r="31" spans="2:23">
      <c r="B31" s="105">
        <v>4</v>
      </c>
      <c r="C31" s="121" t="s">
        <v>78</v>
      </c>
      <c r="D31" s="107">
        <f t="shared" si="4"/>
        <v>1.4166487025555559</v>
      </c>
      <c r="E31" s="112">
        <v>0</v>
      </c>
      <c r="F31" s="113">
        <f t="shared" si="5"/>
        <v>5.4026224777777791E-2</v>
      </c>
      <c r="G31" s="114" t="s">
        <v>79</v>
      </c>
      <c r="H31" s="115">
        <v>8</v>
      </c>
      <c r="I31" s="116">
        <v>0.99</v>
      </c>
      <c r="J31" s="117">
        <f t="shared" si="6"/>
        <v>13891.864460985002</v>
      </c>
      <c r="K31" s="118">
        <v>18</v>
      </c>
      <c r="L31" s="119">
        <f t="shared" si="7"/>
        <v>0.04</v>
      </c>
      <c r="M31" s="119">
        <f t="shared" si="8"/>
        <v>4.0000000000000034E-4</v>
      </c>
      <c r="N31" s="120">
        <f t="shared" si="9"/>
        <v>1.3626224777777793E-2</v>
      </c>
      <c r="O31" s="54"/>
      <c r="P31" s="54"/>
    </row>
    <row r="32" spans="2:23">
      <c r="B32" s="105">
        <v>5</v>
      </c>
      <c r="C32" s="121" t="s">
        <v>77</v>
      </c>
      <c r="D32" s="107">
        <f t="shared" si="4"/>
        <v>1.4484901895811115</v>
      </c>
      <c r="E32" s="112">
        <v>0</v>
      </c>
      <c r="F32" s="113">
        <f t="shared" si="5"/>
        <v>3.1841487025555573E-2</v>
      </c>
      <c r="G32" s="114" t="s">
        <v>81</v>
      </c>
      <c r="H32" s="115">
        <v>9</v>
      </c>
      <c r="I32" s="116">
        <v>0.99</v>
      </c>
      <c r="J32" s="117">
        <f t="shared" si="6"/>
        <v>13754.321248500002</v>
      </c>
      <c r="K32" s="118">
        <v>7</v>
      </c>
      <c r="L32" s="119">
        <f t="shared" si="7"/>
        <v>1.7499999999999998E-2</v>
      </c>
      <c r="M32" s="119">
        <f t="shared" si="8"/>
        <v>1.7500000000000013E-4</v>
      </c>
      <c r="N32" s="120">
        <f t="shared" si="9"/>
        <v>1.4166487025555572E-2</v>
      </c>
      <c r="O32" s="54"/>
      <c r="P32" s="54"/>
    </row>
    <row r="33" spans="2:16">
      <c r="B33" s="105">
        <v>6</v>
      </c>
      <c r="C33" s="30" t="s">
        <v>82</v>
      </c>
      <c r="D33" s="107">
        <f t="shared" si="4"/>
        <v>1.4989933267060671</v>
      </c>
      <c r="E33" s="112">
        <v>0</v>
      </c>
      <c r="F33" s="113">
        <f t="shared" si="5"/>
        <v>5.0503137124955591E-2</v>
      </c>
      <c r="G33" s="122" t="s">
        <v>83</v>
      </c>
      <c r="H33" s="115">
        <v>4</v>
      </c>
      <c r="I33" s="116">
        <v>0.98</v>
      </c>
      <c r="J33" s="117">
        <f t="shared" si="6"/>
        <v>13618.139850000001</v>
      </c>
      <c r="K33" s="118">
        <v>19</v>
      </c>
      <c r="L33" s="119">
        <f t="shared" si="7"/>
        <v>2.1111111111111112E-2</v>
      </c>
      <c r="M33" s="119">
        <f t="shared" si="8"/>
        <v>4.2222222222222259E-4</v>
      </c>
      <c r="N33" s="120">
        <f t="shared" si="9"/>
        <v>2.8969803791622256E-2</v>
      </c>
      <c r="O33" s="54"/>
      <c r="P33" s="54"/>
    </row>
    <row r="34" spans="2:16">
      <c r="B34" s="105">
        <v>7</v>
      </c>
      <c r="C34" s="30" t="s">
        <v>84</v>
      </c>
      <c r="D34" s="107">
        <f t="shared" si="4"/>
        <v>1.5131599933727338</v>
      </c>
      <c r="E34" s="112">
        <v>0</v>
      </c>
      <c r="F34" s="113">
        <f t="shared" si="5"/>
        <v>1.4166666666666668E-2</v>
      </c>
      <c r="G34" s="122" t="s">
        <v>85</v>
      </c>
      <c r="H34" s="115">
        <v>3</v>
      </c>
      <c r="I34" s="116">
        <v>1</v>
      </c>
      <c r="J34" s="117">
        <f t="shared" si="6"/>
        <v>13351.1175</v>
      </c>
      <c r="K34" s="118">
        <v>17</v>
      </c>
      <c r="L34" s="119">
        <f t="shared" si="7"/>
        <v>1.4166666666666668E-2</v>
      </c>
      <c r="M34" s="119">
        <f t="shared" si="8"/>
        <v>0</v>
      </c>
      <c r="N34" s="120">
        <f t="shared" si="9"/>
        <v>0</v>
      </c>
      <c r="O34" s="54"/>
      <c r="P34" s="54"/>
    </row>
    <row r="35" spans="2:16">
      <c r="B35" s="105">
        <v>8</v>
      </c>
      <c r="C35" s="123" t="s">
        <v>86</v>
      </c>
      <c r="D35" s="107">
        <f t="shared" si="4"/>
        <v>1.5843047931739158</v>
      </c>
      <c r="E35" s="112">
        <v>0</v>
      </c>
      <c r="F35" s="113">
        <f t="shared" si="5"/>
        <v>7.1144799801182046E-2</v>
      </c>
      <c r="G35" s="123" t="s">
        <v>87</v>
      </c>
      <c r="H35" s="115">
        <v>15</v>
      </c>
      <c r="I35" s="116">
        <v>0.97</v>
      </c>
      <c r="J35" s="117">
        <f t="shared" si="6"/>
        <v>13351.1175</v>
      </c>
      <c r="K35" s="118">
        <v>6</v>
      </c>
      <c r="L35" s="119">
        <f t="shared" si="7"/>
        <v>2.5000000000000001E-2</v>
      </c>
      <c r="M35" s="119">
        <f t="shared" si="8"/>
        <v>7.5000000000000067E-4</v>
      </c>
      <c r="N35" s="120">
        <f t="shared" si="9"/>
        <v>4.5394799801182051E-2</v>
      </c>
      <c r="O35" s="54"/>
      <c r="P35" s="54"/>
    </row>
    <row r="36" spans="2:16">
      <c r="B36" s="105">
        <v>9</v>
      </c>
      <c r="C36" s="123" t="s">
        <v>77</v>
      </c>
      <c r="D36" s="107">
        <f t="shared" si="4"/>
        <v>1.6711033661659449</v>
      </c>
      <c r="E36" s="112">
        <v>0</v>
      </c>
      <c r="F36" s="113">
        <f t="shared" si="5"/>
        <v>8.6798572992029185E-2</v>
      </c>
      <c r="G36" s="123" t="s">
        <v>80</v>
      </c>
      <c r="H36" s="115">
        <v>5</v>
      </c>
      <c r="I36" s="116">
        <v>0.95</v>
      </c>
      <c r="J36" s="117">
        <f t="shared" si="6"/>
        <v>12962.25</v>
      </c>
      <c r="K36" s="118">
        <v>5.2</v>
      </c>
      <c r="L36" s="119">
        <f t="shared" si="7"/>
        <v>7.2222222222222228E-3</v>
      </c>
      <c r="M36" s="119">
        <f t="shared" si="8"/>
        <v>3.6111111111111147E-4</v>
      </c>
      <c r="N36" s="120">
        <f t="shared" si="9"/>
        <v>7.9215239658695855E-2</v>
      </c>
      <c r="O36" s="54"/>
      <c r="P36" s="54"/>
    </row>
    <row r="37" spans="2:16">
      <c r="B37" s="105">
        <v>10</v>
      </c>
      <c r="C37" s="30"/>
      <c r="D37" s="107">
        <f t="shared" si="4"/>
        <v>1.6711033661659449</v>
      </c>
      <c r="E37" s="112">
        <v>0</v>
      </c>
      <c r="F37" s="113">
        <f t="shared" si="5"/>
        <v>0</v>
      </c>
      <c r="G37" s="121"/>
      <c r="H37" s="115"/>
      <c r="I37" s="116">
        <v>1</v>
      </c>
      <c r="J37" s="117">
        <f t="shared" si="6"/>
        <v>12345</v>
      </c>
      <c r="K37" s="118">
        <v>0</v>
      </c>
      <c r="L37" s="119">
        <f t="shared" si="7"/>
        <v>0</v>
      </c>
      <c r="M37" s="119">
        <f t="shared" si="8"/>
        <v>0</v>
      </c>
      <c r="N37" s="120">
        <f t="shared" si="9"/>
        <v>0</v>
      </c>
      <c r="O37" s="54"/>
      <c r="P37" s="54"/>
    </row>
    <row r="38" spans="2:16">
      <c r="B38" s="105">
        <v>11</v>
      </c>
      <c r="C38" s="121"/>
      <c r="D38" s="107">
        <f t="shared" si="4"/>
        <v>1.6711033661659449</v>
      </c>
      <c r="E38" s="112">
        <v>0</v>
      </c>
      <c r="F38" s="113">
        <f t="shared" si="5"/>
        <v>0</v>
      </c>
      <c r="G38" s="121"/>
      <c r="H38" s="115"/>
      <c r="I38" s="116">
        <v>1</v>
      </c>
      <c r="J38" s="117">
        <f t="shared" si="6"/>
        <v>12345</v>
      </c>
      <c r="K38" s="118">
        <v>0</v>
      </c>
      <c r="L38" s="119">
        <f t="shared" si="7"/>
        <v>0</v>
      </c>
      <c r="M38" s="119">
        <f t="shared" si="8"/>
        <v>0</v>
      </c>
      <c r="N38" s="120">
        <f t="shared" si="9"/>
        <v>0</v>
      </c>
      <c r="O38" s="54"/>
      <c r="P38" s="54"/>
    </row>
    <row r="39" spans="2:16">
      <c r="B39" s="105">
        <v>12</v>
      </c>
      <c r="C39" s="124"/>
      <c r="D39" s="107">
        <f t="shared" si="4"/>
        <v>1.6711033661659449</v>
      </c>
      <c r="E39" s="112">
        <v>0</v>
      </c>
      <c r="F39" s="113">
        <f t="shared" si="5"/>
        <v>0</v>
      </c>
      <c r="G39" s="121"/>
      <c r="H39" s="115"/>
      <c r="I39" s="116">
        <v>1</v>
      </c>
      <c r="J39" s="117">
        <f t="shared" si="6"/>
        <v>12345</v>
      </c>
      <c r="K39" s="118">
        <v>0</v>
      </c>
      <c r="L39" s="119">
        <f t="shared" si="7"/>
        <v>0</v>
      </c>
      <c r="M39" s="119">
        <f t="shared" si="8"/>
        <v>0</v>
      </c>
      <c r="N39" s="120">
        <f t="shared" si="9"/>
        <v>0</v>
      </c>
      <c r="O39" s="54"/>
      <c r="P39" s="54"/>
    </row>
    <row r="40" spans="2:16">
      <c r="B40" s="105">
        <v>13</v>
      </c>
      <c r="C40" s="30"/>
      <c r="D40" s="107">
        <f t="shared" si="4"/>
        <v>1.6711033661659449</v>
      </c>
      <c r="E40" s="112">
        <v>0</v>
      </c>
      <c r="F40" s="113">
        <f t="shared" si="5"/>
        <v>0</v>
      </c>
      <c r="G40" s="121"/>
      <c r="H40" s="115"/>
      <c r="I40" s="116">
        <v>1</v>
      </c>
      <c r="J40" s="117">
        <f t="shared" si="6"/>
        <v>12345</v>
      </c>
      <c r="K40" s="118">
        <v>0</v>
      </c>
      <c r="L40" s="119">
        <f t="shared" si="7"/>
        <v>0</v>
      </c>
      <c r="M40" s="119">
        <f t="shared" si="8"/>
        <v>0</v>
      </c>
      <c r="N40" s="120">
        <f t="shared" si="9"/>
        <v>0</v>
      </c>
      <c r="O40" s="54"/>
      <c r="P40" s="54"/>
    </row>
    <row r="41" spans="2:16">
      <c r="B41" s="105">
        <v>14</v>
      </c>
      <c r="C41" s="30"/>
      <c r="D41" s="107">
        <f t="shared" si="4"/>
        <v>1.6711033661659449</v>
      </c>
      <c r="E41" s="112">
        <v>0</v>
      </c>
      <c r="F41" s="113">
        <f t="shared" si="5"/>
        <v>0</v>
      </c>
      <c r="G41" s="121"/>
      <c r="H41" s="115"/>
      <c r="I41" s="116">
        <v>1</v>
      </c>
      <c r="J41" s="117">
        <f t="shared" si="6"/>
        <v>12345</v>
      </c>
      <c r="K41" s="118">
        <v>0</v>
      </c>
      <c r="L41" s="119">
        <f t="shared" si="7"/>
        <v>0</v>
      </c>
      <c r="M41" s="119">
        <f t="shared" si="8"/>
        <v>0</v>
      </c>
      <c r="N41" s="120">
        <f t="shared" si="9"/>
        <v>0</v>
      </c>
      <c r="O41" s="54"/>
      <c r="P41" s="54"/>
    </row>
    <row r="42" spans="2:16">
      <c r="B42" s="105">
        <v>15</v>
      </c>
      <c r="C42" s="121"/>
      <c r="D42" s="107">
        <f t="shared" si="4"/>
        <v>1.6711033661659449</v>
      </c>
      <c r="E42" s="112">
        <v>0</v>
      </c>
      <c r="F42" s="113">
        <f t="shared" si="5"/>
        <v>0</v>
      </c>
      <c r="G42" s="124"/>
      <c r="H42" s="115"/>
      <c r="I42" s="116">
        <v>1</v>
      </c>
      <c r="J42" s="117">
        <f t="shared" si="6"/>
        <v>12345</v>
      </c>
      <c r="K42" s="118">
        <v>0</v>
      </c>
      <c r="L42" s="119">
        <f t="shared" si="7"/>
        <v>0</v>
      </c>
      <c r="M42" s="119">
        <f t="shared" si="8"/>
        <v>0</v>
      </c>
      <c r="N42" s="120">
        <f t="shared" si="9"/>
        <v>0</v>
      </c>
      <c r="O42" s="54"/>
      <c r="P42" s="54"/>
    </row>
    <row r="43" spans="2:16">
      <c r="B43" s="105">
        <v>16</v>
      </c>
      <c r="C43" s="121"/>
      <c r="D43" s="107">
        <f t="shared" si="4"/>
        <v>1.6711033661659449</v>
      </c>
      <c r="E43" s="112">
        <v>0</v>
      </c>
      <c r="F43" s="113">
        <f t="shared" si="5"/>
        <v>0</v>
      </c>
      <c r="G43" s="124"/>
      <c r="H43" s="115"/>
      <c r="I43" s="116">
        <v>1</v>
      </c>
      <c r="J43" s="117">
        <f t="shared" si="6"/>
        <v>12345</v>
      </c>
      <c r="K43" s="118">
        <v>0</v>
      </c>
      <c r="L43" s="119">
        <f t="shared" si="7"/>
        <v>0</v>
      </c>
      <c r="M43" s="119">
        <f t="shared" si="8"/>
        <v>0</v>
      </c>
      <c r="N43" s="120">
        <f t="shared" si="9"/>
        <v>0</v>
      </c>
      <c r="O43" s="54"/>
      <c r="P43" s="54"/>
    </row>
    <row r="44" spans="2:16">
      <c r="B44" s="105">
        <v>17</v>
      </c>
      <c r="C44" s="30"/>
      <c r="D44" s="107">
        <f t="shared" si="4"/>
        <v>1.6711033661659449</v>
      </c>
      <c r="E44" s="112">
        <v>0</v>
      </c>
      <c r="F44" s="113">
        <f t="shared" si="5"/>
        <v>0</v>
      </c>
      <c r="G44" s="124"/>
      <c r="H44" s="115"/>
      <c r="I44" s="116">
        <v>1</v>
      </c>
      <c r="J44" s="117">
        <f t="shared" si="6"/>
        <v>12345</v>
      </c>
      <c r="K44" s="118">
        <v>0</v>
      </c>
      <c r="L44" s="119">
        <f t="shared" si="7"/>
        <v>0</v>
      </c>
      <c r="M44" s="119">
        <f t="shared" si="8"/>
        <v>0</v>
      </c>
      <c r="N44" s="120">
        <f t="shared" si="9"/>
        <v>0</v>
      </c>
      <c r="O44" s="54"/>
      <c r="P44" s="54"/>
    </row>
    <row r="45" spans="2:16">
      <c r="B45" s="105">
        <v>18</v>
      </c>
      <c r="C45" s="125"/>
      <c r="D45" s="107">
        <f t="shared" si="4"/>
        <v>1.6711033661659449</v>
      </c>
      <c r="E45" s="112">
        <v>0</v>
      </c>
      <c r="F45" s="113">
        <f t="shared" si="5"/>
        <v>0</v>
      </c>
      <c r="G45" s="124"/>
      <c r="H45" s="115"/>
      <c r="I45" s="116">
        <v>1</v>
      </c>
      <c r="J45" s="117">
        <f t="shared" si="6"/>
        <v>12345</v>
      </c>
      <c r="K45" s="118">
        <v>0</v>
      </c>
      <c r="L45" s="119">
        <f t="shared" si="7"/>
        <v>0</v>
      </c>
      <c r="M45" s="119">
        <f t="shared" si="8"/>
        <v>0</v>
      </c>
      <c r="N45" s="120">
        <f t="shared" si="9"/>
        <v>0</v>
      </c>
      <c r="O45" s="54"/>
      <c r="P45" s="54"/>
    </row>
    <row r="46" spans="2:16">
      <c r="B46" s="105">
        <v>19</v>
      </c>
      <c r="C46" s="124"/>
      <c r="D46" s="107">
        <f t="shared" si="4"/>
        <v>1.6711033661659449</v>
      </c>
      <c r="E46" s="112">
        <v>0</v>
      </c>
      <c r="F46" s="113">
        <f t="shared" si="5"/>
        <v>0</v>
      </c>
      <c r="G46" s="124"/>
      <c r="H46" s="115"/>
      <c r="I46" s="116">
        <v>1</v>
      </c>
      <c r="J46" s="117">
        <f t="shared" si="6"/>
        <v>12345</v>
      </c>
      <c r="K46" s="118">
        <v>0</v>
      </c>
      <c r="L46" s="119">
        <f t="shared" si="7"/>
        <v>0</v>
      </c>
      <c r="M46" s="119">
        <f t="shared" si="8"/>
        <v>0</v>
      </c>
      <c r="N46" s="120">
        <f t="shared" si="9"/>
        <v>0</v>
      </c>
      <c r="O46" s="54"/>
      <c r="P46" s="54"/>
    </row>
    <row r="47" spans="2:16">
      <c r="B47" s="105">
        <v>20</v>
      </c>
      <c r="C47" s="124"/>
      <c r="D47" s="107">
        <f t="shared" si="4"/>
        <v>1.6711033661659449</v>
      </c>
      <c r="E47" s="112">
        <v>0</v>
      </c>
      <c r="F47" s="113">
        <f t="shared" si="5"/>
        <v>0</v>
      </c>
      <c r="G47" s="124"/>
      <c r="H47" s="115"/>
      <c r="I47" s="116">
        <v>1</v>
      </c>
      <c r="J47" s="117">
        <f t="shared" si="6"/>
        <v>12345</v>
      </c>
      <c r="K47" s="118">
        <v>0</v>
      </c>
      <c r="L47" s="119">
        <f t="shared" si="7"/>
        <v>0</v>
      </c>
      <c r="M47" s="119">
        <f t="shared" si="8"/>
        <v>0</v>
      </c>
      <c r="N47" s="120">
        <f t="shared" si="9"/>
        <v>0</v>
      </c>
      <c r="O47" s="54"/>
      <c r="P47" s="54"/>
    </row>
    <row r="48" spans="2:16">
      <c r="B48" s="105">
        <v>21</v>
      </c>
      <c r="C48" s="124"/>
      <c r="D48" s="107">
        <f t="shared" si="4"/>
        <v>1.6711033661659449</v>
      </c>
      <c r="E48" s="112">
        <v>0</v>
      </c>
      <c r="F48" s="113">
        <f t="shared" si="5"/>
        <v>0</v>
      </c>
      <c r="G48" s="124"/>
      <c r="H48" s="115"/>
      <c r="I48" s="116">
        <v>1</v>
      </c>
      <c r="J48" s="117">
        <f t="shared" si="6"/>
        <v>12345</v>
      </c>
      <c r="K48" s="118">
        <v>0</v>
      </c>
      <c r="L48" s="119">
        <f t="shared" si="7"/>
        <v>0</v>
      </c>
      <c r="M48" s="119">
        <f t="shared" si="8"/>
        <v>0</v>
      </c>
      <c r="N48" s="120">
        <f t="shared" si="9"/>
        <v>0</v>
      </c>
      <c r="O48" s="54"/>
      <c r="P48" s="54"/>
    </row>
    <row r="49" spans="2:16">
      <c r="B49" s="105">
        <v>22</v>
      </c>
      <c r="C49" s="124"/>
      <c r="D49" s="107">
        <f t="shared" si="4"/>
        <v>1.6711033661659449</v>
      </c>
      <c r="E49" s="112">
        <v>0</v>
      </c>
      <c r="F49" s="113">
        <f t="shared" si="5"/>
        <v>0</v>
      </c>
      <c r="G49" s="124"/>
      <c r="H49" s="115"/>
      <c r="I49" s="116">
        <v>1</v>
      </c>
      <c r="J49" s="117">
        <f t="shared" si="6"/>
        <v>12345</v>
      </c>
      <c r="K49" s="118">
        <v>0</v>
      </c>
      <c r="L49" s="119">
        <f t="shared" si="7"/>
        <v>0</v>
      </c>
      <c r="M49" s="119">
        <f t="shared" si="8"/>
        <v>0</v>
      </c>
      <c r="N49" s="120">
        <f t="shared" si="9"/>
        <v>0</v>
      </c>
      <c r="O49" s="54"/>
      <c r="P49" s="54"/>
    </row>
    <row r="50" spans="2:16">
      <c r="B50" s="105">
        <v>23</v>
      </c>
      <c r="C50" s="124"/>
      <c r="D50" s="107">
        <f t="shared" si="4"/>
        <v>1.6711033661659449</v>
      </c>
      <c r="E50" s="112">
        <v>0</v>
      </c>
      <c r="F50" s="113">
        <f t="shared" si="5"/>
        <v>0</v>
      </c>
      <c r="G50" s="124"/>
      <c r="H50" s="115"/>
      <c r="I50" s="116">
        <v>1</v>
      </c>
      <c r="J50" s="117">
        <f t="shared" si="6"/>
        <v>12345</v>
      </c>
      <c r="K50" s="118">
        <v>0</v>
      </c>
      <c r="L50" s="119">
        <f t="shared" si="7"/>
        <v>0</v>
      </c>
      <c r="M50" s="119">
        <f t="shared" si="8"/>
        <v>0</v>
      </c>
      <c r="N50" s="120">
        <f t="shared" si="9"/>
        <v>0</v>
      </c>
      <c r="O50" s="54"/>
      <c r="P50" s="54"/>
    </row>
    <row r="51" spans="2:16">
      <c r="B51" s="105">
        <v>24</v>
      </c>
      <c r="C51" s="30"/>
      <c r="D51" s="107">
        <f t="shared" si="4"/>
        <v>1.6711033661659449</v>
      </c>
      <c r="E51" s="112">
        <v>0</v>
      </c>
      <c r="F51" s="113">
        <f t="shared" si="5"/>
        <v>0</v>
      </c>
      <c r="G51" s="124"/>
      <c r="H51" s="115"/>
      <c r="I51" s="116">
        <v>1</v>
      </c>
      <c r="J51" s="117">
        <f t="shared" si="6"/>
        <v>12345</v>
      </c>
      <c r="K51" s="118">
        <v>0</v>
      </c>
      <c r="L51" s="119">
        <f t="shared" si="7"/>
        <v>0</v>
      </c>
      <c r="M51" s="119">
        <f t="shared" si="8"/>
        <v>0</v>
      </c>
      <c r="N51" s="120">
        <f t="shared" si="9"/>
        <v>0</v>
      </c>
      <c r="O51" s="54"/>
      <c r="P51" s="54"/>
    </row>
    <row r="52" spans="2:16">
      <c r="B52" s="105">
        <v>25</v>
      </c>
      <c r="C52" s="30"/>
      <c r="D52" s="107">
        <f t="shared" si="4"/>
        <v>1.6711033661659449</v>
      </c>
      <c r="E52" s="112">
        <v>0</v>
      </c>
      <c r="F52" s="113">
        <f t="shared" si="5"/>
        <v>0</v>
      </c>
      <c r="G52" s="124"/>
      <c r="H52" s="115"/>
      <c r="I52" s="116">
        <v>1</v>
      </c>
      <c r="J52" s="117">
        <f t="shared" si="6"/>
        <v>12345</v>
      </c>
      <c r="K52" s="118">
        <v>0</v>
      </c>
      <c r="L52" s="119">
        <f t="shared" si="7"/>
        <v>0</v>
      </c>
      <c r="M52" s="119">
        <f t="shared" si="8"/>
        <v>0</v>
      </c>
      <c r="N52" s="120">
        <f t="shared" si="9"/>
        <v>0</v>
      </c>
      <c r="O52" s="54"/>
      <c r="P52" s="54"/>
    </row>
    <row r="53" spans="2:16">
      <c r="B53" s="105">
        <v>26</v>
      </c>
      <c r="C53" s="30"/>
      <c r="D53" s="107">
        <f t="shared" si="4"/>
        <v>1.6711033661659449</v>
      </c>
      <c r="E53" s="112">
        <v>0</v>
      </c>
      <c r="F53" s="113">
        <f t="shared" si="5"/>
        <v>0</v>
      </c>
      <c r="G53" s="124"/>
      <c r="H53" s="115"/>
      <c r="I53" s="116">
        <v>1</v>
      </c>
      <c r="J53" s="117">
        <f t="shared" si="6"/>
        <v>12345</v>
      </c>
      <c r="K53" s="118">
        <v>0</v>
      </c>
      <c r="L53" s="119">
        <f t="shared" si="7"/>
        <v>0</v>
      </c>
      <c r="M53" s="119">
        <f t="shared" si="8"/>
        <v>0</v>
      </c>
      <c r="N53" s="120">
        <f t="shared" si="9"/>
        <v>0</v>
      </c>
      <c r="O53" s="54"/>
      <c r="P53" s="54"/>
    </row>
    <row r="54" spans="2:16">
      <c r="B54" s="126" t="s">
        <v>42</v>
      </c>
      <c r="C54" s="127"/>
      <c r="D54" s="107">
        <f t="shared" si="4"/>
        <v>1.7754366994992783</v>
      </c>
      <c r="E54" s="112">
        <v>0.1</v>
      </c>
      <c r="F54" s="113">
        <f t="shared" si="5"/>
        <v>4.333333333333334E-3</v>
      </c>
      <c r="G54" s="113">
        <f>SUM(E54:F54)</f>
        <v>0.10433333333333333</v>
      </c>
      <c r="H54" s="115">
        <v>3</v>
      </c>
      <c r="I54" s="116">
        <v>1</v>
      </c>
      <c r="J54" s="117">
        <f t="shared" si="6"/>
        <v>12345</v>
      </c>
      <c r="K54" s="118">
        <v>5.2</v>
      </c>
      <c r="L54" s="119">
        <f t="shared" si="7"/>
        <v>4.333333333333334E-3</v>
      </c>
      <c r="M54" s="119">
        <f t="shared" si="8"/>
        <v>0</v>
      </c>
      <c r="N54" s="120">
        <f t="shared" si="9"/>
        <v>0</v>
      </c>
      <c r="O54" s="54"/>
      <c r="P54" s="54"/>
    </row>
    <row r="55" spans="2:16">
      <c r="B55" s="126" t="s">
        <v>43</v>
      </c>
      <c r="C55" s="127"/>
      <c r="D55" s="107">
        <f t="shared" si="4"/>
        <v>1.9326589217215004</v>
      </c>
      <c r="E55" s="112">
        <v>0.15</v>
      </c>
      <c r="F55" s="113">
        <f t="shared" si="5"/>
        <v>7.2222222222222228E-3</v>
      </c>
      <c r="G55" s="113">
        <f>SUM(E55:F55)</f>
        <v>0.15722222222222221</v>
      </c>
      <c r="H55" s="115">
        <v>5</v>
      </c>
      <c r="I55" s="116">
        <v>1</v>
      </c>
      <c r="J55" s="117">
        <f>(1-I55)*J57+J57</f>
        <v>12345</v>
      </c>
      <c r="K55" s="118">
        <v>5.2</v>
      </c>
      <c r="L55" s="119">
        <f t="shared" si="7"/>
        <v>7.2222222222222228E-3</v>
      </c>
      <c r="M55" s="119">
        <f t="shared" si="8"/>
        <v>0</v>
      </c>
      <c r="N55" s="120">
        <f t="shared" si="9"/>
        <v>0</v>
      </c>
      <c r="O55" s="54"/>
      <c r="P55" s="54"/>
    </row>
    <row r="56" spans="2:16">
      <c r="B56" s="126" t="s">
        <v>44</v>
      </c>
      <c r="C56" s="128"/>
      <c r="D56" s="107">
        <f>D55</f>
        <v>1.9326589217215004</v>
      </c>
      <c r="E56" s="107">
        <f>SUM(E27:E55)</f>
        <v>1.4500000000000002</v>
      </c>
      <c r="F56" s="129">
        <f>SUM(F27:F55)</f>
        <v>0.48265892172150032</v>
      </c>
      <c r="G56" s="128"/>
      <c r="H56" s="128"/>
      <c r="I56" s="128"/>
      <c r="J56" s="130"/>
      <c r="K56" s="128"/>
      <c r="L56" s="128"/>
      <c r="M56" s="128"/>
      <c r="N56" s="131"/>
      <c r="O56" s="54"/>
      <c r="P56" s="54"/>
    </row>
    <row r="57" spans="2:16">
      <c r="B57" s="126" t="s">
        <v>45</v>
      </c>
      <c r="C57" s="132"/>
      <c r="D57" s="107">
        <f>D56+F57</f>
        <v>2.4326589217215004</v>
      </c>
      <c r="E57" s="107"/>
      <c r="F57" s="133">
        <v>0.5</v>
      </c>
      <c r="G57" s="106"/>
      <c r="H57" s="106"/>
      <c r="I57" s="109" t="s">
        <v>46</v>
      </c>
      <c r="J57" s="134">
        <f>D14</f>
        <v>12345</v>
      </c>
      <c r="K57" s="106"/>
      <c r="L57" s="106"/>
      <c r="M57" s="106"/>
      <c r="N57" s="111"/>
      <c r="O57" s="54"/>
      <c r="P57" s="54"/>
    </row>
    <row r="58" spans="2:16">
      <c r="B58" s="126" t="s">
        <v>47</v>
      </c>
      <c r="C58" s="135">
        <v>0.03</v>
      </c>
      <c r="D58" s="107">
        <f>D57+F58</f>
        <v>2.4906386893731454</v>
      </c>
      <c r="E58" s="107">
        <v>0</v>
      </c>
      <c r="F58" s="136">
        <f>D55*C58</f>
        <v>5.797976765164501E-2</v>
      </c>
      <c r="G58" s="106"/>
      <c r="H58" s="106"/>
      <c r="I58" s="106"/>
      <c r="J58" s="137"/>
      <c r="K58" s="106"/>
      <c r="L58" s="106"/>
      <c r="M58" s="106"/>
      <c r="N58" s="111"/>
      <c r="O58" s="54"/>
      <c r="P58" s="54"/>
    </row>
    <row r="59" spans="2:16">
      <c r="B59" s="126" t="s">
        <v>48</v>
      </c>
      <c r="C59" s="135">
        <v>0.03</v>
      </c>
      <c r="D59" s="107">
        <f>D58+F59</f>
        <v>2.5486184570247903</v>
      </c>
      <c r="E59" s="107">
        <v>0</v>
      </c>
      <c r="F59" s="136">
        <f>D56*C59</f>
        <v>5.797976765164501E-2</v>
      </c>
      <c r="G59" s="128"/>
      <c r="H59" s="138"/>
      <c r="I59" s="138"/>
      <c r="J59" s="130"/>
      <c r="K59" s="106"/>
      <c r="L59" s="106"/>
      <c r="M59" s="106"/>
      <c r="N59" s="111"/>
      <c r="O59" s="54"/>
      <c r="P59" s="54"/>
    </row>
    <row r="60" spans="2:16">
      <c r="B60" s="126" t="s">
        <v>49</v>
      </c>
      <c r="C60" s="139" t="s">
        <v>50</v>
      </c>
      <c r="D60" s="107">
        <f>D59+F60</f>
        <v>2.5486184570247903</v>
      </c>
      <c r="E60" s="107"/>
      <c r="F60" s="133">
        <v>0</v>
      </c>
      <c r="G60" s="140"/>
      <c r="H60" s="106"/>
      <c r="I60" s="106"/>
      <c r="J60" s="141"/>
      <c r="K60" s="106"/>
      <c r="L60" s="106"/>
      <c r="M60" s="106"/>
      <c r="N60" s="111"/>
      <c r="O60" s="54"/>
      <c r="P60" s="54"/>
    </row>
    <row r="61" spans="2:16" ht="15" thickBot="1">
      <c r="B61" s="142" t="s">
        <v>51</v>
      </c>
      <c r="C61" s="143"/>
      <c r="D61" s="144">
        <f>D60</f>
        <v>2.5486184570247903</v>
      </c>
      <c r="E61" s="145"/>
      <c r="F61" s="145"/>
      <c r="G61" s="146"/>
      <c r="H61" s="146"/>
      <c r="I61" s="146"/>
      <c r="J61" s="147"/>
      <c r="K61" s="146"/>
      <c r="L61" s="146"/>
      <c r="M61" s="146"/>
      <c r="N61" s="148"/>
      <c r="O61" s="54"/>
      <c r="P61" s="54"/>
    </row>
    <row r="62" spans="2:16">
      <c r="B62" s="149"/>
      <c r="C62" s="150"/>
      <c r="D62" s="151"/>
      <c r="E62" s="152"/>
      <c r="F62" s="152"/>
      <c r="G62" s="153"/>
      <c r="H62" s="153"/>
      <c r="I62" s="153"/>
      <c r="J62" s="154"/>
      <c r="K62" s="153"/>
      <c r="L62" s="153"/>
      <c r="M62" s="153"/>
      <c r="N62" s="155"/>
      <c r="O62" s="54"/>
      <c r="P62" s="54"/>
    </row>
    <row r="63" spans="2:16">
      <c r="B63" s="156" t="s">
        <v>52</v>
      </c>
      <c r="C63" s="157"/>
      <c r="D63" s="158">
        <f>SUM(F27:F55)</f>
        <v>0.48265892172150032</v>
      </c>
      <c r="E63" s="109"/>
      <c r="F63" s="138"/>
      <c r="G63" s="128"/>
      <c r="H63" s="128"/>
      <c r="I63" s="128"/>
      <c r="J63" s="130"/>
      <c r="K63" s="128"/>
      <c r="L63" s="138"/>
      <c r="M63" s="138"/>
      <c r="N63" s="159"/>
      <c r="O63" s="54"/>
      <c r="P63" s="54"/>
    </row>
    <row r="64" spans="2:16">
      <c r="B64" s="160" t="s">
        <v>53</v>
      </c>
      <c r="C64" s="157"/>
      <c r="D64" s="158">
        <f>SUM(L28:L55)</f>
        <v>0.22155555555555551</v>
      </c>
      <c r="E64" s="109"/>
      <c r="F64" s="138"/>
      <c r="G64" s="128"/>
      <c r="H64" s="128"/>
      <c r="I64" s="128"/>
      <c r="J64" s="130"/>
      <c r="K64" s="128"/>
      <c r="L64" s="119"/>
      <c r="M64" s="119"/>
      <c r="N64" s="120"/>
      <c r="O64" s="54"/>
      <c r="P64" s="54"/>
    </row>
    <row r="65" spans="2:16">
      <c r="B65" s="160" t="s">
        <v>54</v>
      </c>
      <c r="C65" s="157"/>
      <c r="D65" s="158">
        <f>SUM(M28:M55)</f>
        <v>3.6750000000000038E-3</v>
      </c>
      <c r="E65" s="109"/>
      <c r="F65" s="138"/>
      <c r="G65" s="128"/>
      <c r="H65" s="128"/>
      <c r="I65" s="128"/>
      <c r="J65" s="130"/>
      <c r="K65" s="128"/>
      <c r="L65" s="119"/>
      <c r="M65" s="119"/>
      <c r="N65" s="120"/>
      <c r="O65" s="54"/>
      <c r="P65" s="54"/>
    </row>
    <row r="66" spans="2:16">
      <c r="B66" s="160" t="s">
        <v>55</v>
      </c>
      <c r="C66" s="157"/>
      <c r="D66" s="158">
        <f>SUM(N28:N55)</f>
        <v>0.25742836616594472</v>
      </c>
      <c r="E66" s="109"/>
      <c r="F66" s="138"/>
      <c r="G66" s="128"/>
      <c r="H66" s="128"/>
      <c r="I66" s="128"/>
      <c r="J66" s="130"/>
      <c r="K66" s="128"/>
      <c r="L66" s="119"/>
      <c r="M66" s="119"/>
      <c r="N66" s="120"/>
      <c r="O66" s="54"/>
      <c r="P66" s="54"/>
    </row>
    <row r="67" spans="2:16">
      <c r="B67" s="156" t="s">
        <v>56</v>
      </c>
      <c r="C67" s="157"/>
      <c r="D67" s="161">
        <f>SUM(E27:E55)</f>
        <v>1.4500000000000002</v>
      </c>
      <c r="E67" s="138"/>
      <c r="F67" s="113"/>
      <c r="G67" s="128"/>
      <c r="H67" s="128"/>
      <c r="I67" s="128"/>
      <c r="J67" s="130"/>
      <c r="K67" s="128"/>
      <c r="L67" s="128"/>
      <c r="M67" s="128"/>
      <c r="N67" s="131"/>
      <c r="O67" s="54"/>
      <c r="P67" s="54"/>
    </row>
    <row r="68" spans="2:16">
      <c r="B68" s="162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4"/>
      <c r="O68" s="54"/>
      <c r="P68" s="54"/>
    </row>
    <row r="69" spans="2:16">
      <c r="B69" s="156" t="s">
        <v>57</v>
      </c>
      <c r="C69" s="138"/>
      <c r="D69" s="138"/>
      <c r="E69" s="138"/>
      <c r="F69" s="138"/>
      <c r="G69" s="138"/>
      <c r="H69" s="165">
        <f>SUM(H28:H55)</f>
        <v>74</v>
      </c>
      <c r="I69" s="138"/>
      <c r="J69" s="138"/>
      <c r="K69" s="138"/>
      <c r="L69" s="138"/>
      <c r="M69" s="138"/>
      <c r="N69" s="159"/>
    </row>
    <row r="70" spans="2:16" ht="15" thickBot="1">
      <c r="B70" s="166" t="s">
        <v>35</v>
      </c>
      <c r="C70" s="167"/>
      <c r="D70" s="167"/>
      <c r="E70" s="167"/>
      <c r="F70" s="167"/>
      <c r="G70" s="167"/>
      <c r="H70" s="167"/>
      <c r="I70" s="168">
        <f>PRODUCT(I28:I55)</f>
        <v>0.83296127078425786</v>
      </c>
      <c r="J70" s="167"/>
      <c r="K70" s="167"/>
      <c r="L70" s="167"/>
      <c r="M70" s="167"/>
      <c r="N70" s="169"/>
    </row>
    <row r="72" spans="2:16" ht="15" thickBot="1">
      <c r="B72" s="170" t="s">
        <v>58</v>
      </c>
    </row>
    <row r="73" spans="2:16">
      <c r="B73" s="281" t="s">
        <v>88</v>
      </c>
      <c r="C73" s="282"/>
      <c r="D73" s="282"/>
      <c r="E73" s="282"/>
      <c r="F73" s="283"/>
    </row>
    <row r="74" spans="2:16">
      <c r="B74" s="284"/>
      <c r="C74" s="285"/>
      <c r="D74" s="285"/>
      <c r="E74" s="285"/>
      <c r="F74" s="286"/>
    </row>
    <row r="75" spans="2:16" ht="15" thickBot="1">
      <c r="B75" s="287"/>
      <c r="C75" s="288"/>
      <c r="D75" s="288"/>
      <c r="E75" s="288"/>
      <c r="F75" s="289"/>
    </row>
  </sheetData>
  <sheetProtection algorithmName="SHA-512" hashValue="gjg/qHrXpHAcKne/tgVtnoBlj/znEJo34QPNgTKTImGjjNRL8LAYkf5CuVzpalB0+8fD2L9vJALMWJHeekG6uw==" saltValue="evAjyEifUYXd0mFonDKR3w==" spinCount="100000" sheet="1" objects="1" scenarios="1"/>
  <mergeCells count="4">
    <mergeCell ref="B7:B9"/>
    <mergeCell ref="B12:B14"/>
    <mergeCell ref="B18:B24"/>
    <mergeCell ref="B73:F75"/>
  </mergeCell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BUC</vt:lpstr>
      <vt:lpstr>Tooling_data</vt:lpstr>
      <vt:lpstr>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Global Inc.</dc:creator>
  <cp:lastModifiedBy>Rodney Manzo</cp:lastModifiedBy>
  <dcterms:created xsi:type="dcterms:W3CDTF">2015-06-25T13:05:46Z</dcterms:created>
  <dcterms:modified xsi:type="dcterms:W3CDTF">2016-05-19T17:13:50Z</dcterms:modified>
</cp:coreProperties>
</file>