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-45840" yWindow="6900" windowWidth="27940" windowHeight="18040"/>
  </bookViews>
  <sheets>
    <sheet name="handle_1" sheetId="1" r:id="rId1"/>
    <sheet name="Zinc_tessera-1" sheetId="3" r:id="rId2"/>
    <sheet name="SAMPLE" sheetId="2" r:id="rId3"/>
  </sheets>
  <definedNames>
    <definedName name="_Fill" localSheetId="0" hidden="1">#REF!</definedName>
    <definedName name="_Fill" localSheetId="2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3" l="1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K35" i="1"/>
  <c r="L30" i="3"/>
  <c r="F57" i="3"/>
  <c r="E55" i="3"/>
  <c r="E54" i="3"/>
  <c r="L33" i="3"/>
  <c r="M33" i="3"/>
  <c r="K29" i="3"/>
  <c r="L29" i="3"/>
  <c r="M29" i="3"/>
  <c r="L28" i="3"/>
  <c r="D20" i="3"/>
  <c r="D22" i="3"/>
  <c r="D24" i="3"/>
  <c r="E22" i="3"/>
  <c r="E24" i="3"/>
  <c r="F22" i="3"/>
  <c r="F24" i="3"/>
  <c r="G22" i="3"/>
  <c r="G24" i="3"/>
  <c r="H22" i="3"/>
  <c r="H24" i="3"/>
  <c r="I22" i="3"/>
  <c r="I24" i="3"/>
  <c r="J22" i="3"/>
  <c r="J24" i="3"/>
  <c r="E27" i="3"/>
  <c r="D27" i="3"/>
  <c r="I70" i="3"/>
  <c r="H69" i="3"/>
  <c r="J29" i="3"/>
  <c r="J28" i="3"/>
  <c r="L55" i="3"/>
  <c r="L54" i="3"/>
  <c r="L53" i="3"/>
  <c r="L52" i="3"/>
  <c r="M52" i="3"/>
  <c r="L51" i="3"/>
  <c r="L50" i="3"/>
  <c r="M50" i="3"/>
  <c r="L49" i="3"/>
  <c r="L48" i="3"/>
  <c r="M48" i="3"/>
  <c r="L47" i="3"/>
  <c r="L46" i="3"/>
  <c r="M46" i="3"/>
  <c r="L45" i="3"/>
  <c r="L44" i="3"/>
  <c r="M44" i="3"/>
  <c r="L43" i="3"/>
  <c r="L42" i="3"/>
  <c r="M42" i="3"/>
  <c r="L41" i="3"/>
  <c r="L40" i="3"/>
  <c r="M40" i="3"/>
  <c r="L39" i="3"/>
  <c r="L38" i="3"/>
  <c r="M38" i="3"/>
  <c r="L37" i="3"/>
  <c r="L36" i="3"/>
  <c r="M36" i="3"/>
  <c r="L35" i="3"/>
  <c r="L34" i="3"/>
  <c r="L32" i="3"/>
  <c r="L31" i="3"/>
  <c r="M22" i="3"/>
  <c r="M24" i="3"/>
  <c r="N22" i="3"/>
  <c r="N24" i="3"/>
  <c r="L22" i="3"/>
  <c r="L16" i="3"/>
  <c r="K22" i="3"/>
  <c r="K24" i="3"/>
  <c r="H16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K16" i="3"/>
  <c r="J16" i="3"/>
  <c r="I16" i="3"/>
  <c r="G16" i="3"/>
  <c r="F16" i="3"/>
  <c r="E16" i="3"/>
  <c r="M30" i="3"/>
  <c r="E56" i="3"/>
  <c r="D67" i="3"/>
  <c r="M35" i="3"/>
  <c r="M43" i="3"/>
  <c r="M51" i="3"/>
  <c r="D16" i="3"/>
  <c r="L24" i="3"/>
  <c r="M32" i="3"/>
  <c r="M37" i="3"/>
  <c r="M45" i="3"/>
  <c r="M53" i="3"/>
  <c r="M55" i="3"/>
  <c r="M31" i="3"/>
  <c r="M41" i="3"/>
  <c r="M49" i="3"/>
  <c r="M54" i="3"/>
  <c r="M28" i="3"/>
  <c r="D64" i="3"/>
  <c r="M34" i="3"/>
  <c r="M39" i="3"/>
  <c r="M47" i="3"/>
  <c r="D65" i="3"/>
  <c r="N28" i="3"/>
  <c r="F28" i="3"/>
  <c r="F57" i="1"/>
  <c r="E55" i="1"/>
  <c r="E54" i="1"/>
  <c r="D20" i="1"/>
  <c r="D28" i="3"/>
  <c r="N17" i="1"/>
  <c r="M17" i="1"/>
  <c r="L17" i="1"/>
  <c r="K17" i="1"/>
  <c r="J17" i="1"/>
  <c r="I17" i="1"/>
  <c r="H17" i="1"/>
  <c r="G17" i="1"/>
  <c r="F17" i="1"/>
  <c r="E17" i="1"/>
  <c r="D17" i="1"/>
  <c r="N29" i="3"/>
  <c r="I70" i="2"/>
  <c r="H69" i="2"/>
  <c r="J57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5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J22" i="2"/>
  <c r="J24" i="2"/>
  <c r="N22" i="2"/>
  <c r="N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F29" i="3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29" i="3"/>
  <c r="D65" i="2"/>
  <c r="E27" i="2"/>
  <c r="N30" i="3"/>
  <c r="F30" i="3"/>
  <c r="D30" i="3"/>
  <c r="D31" i="3"/>
  <c r="D27" i="2"/>
  <c r="D67" i="2"/>
  <c r="E56" i="2"/>
  <c r="N28" i="2"/>
  <c r="F28" i="2"/>
  <c r="N31" i="3"/>
  <c r="D28" i="2"/>
  <c r="N29" i="2"/>
  <c r="F29" i="2"/>
  <c r="N32" i="3"/>
  <c r="F32" i="3"/>
  <c r="D32" i="3"/>
  <c r="D29" i="2"/>
  <c r="N30" i="2"/>
  <c r="N33" i="3"/>
  <c r="F33" i="3"/>
  <c r="D33" i="3"/>
  <c r="F30" i="2"/>
  <c r="N34" i="3"/>
  <c r="F34" i="3"/>
  <c r="D34" i="3"/>
  <c r="D30" i="2"/>
  <c r="N35" i="3"/>
  <c r="F35" i="3"/>
  <c r="D35" i="3"/>
  <c r="N31" i="2"/>
  <c r="N36" i="3"/>
  <c r="F36" i="3"/>
  <c r="D36" i="3"/>
  <c r="F31" i="2"/>
  <c r="N37" i="3"/>
  <c r="F37" i="3"/>
  <c r="D37" i="3"/>
  <c r="D31" i="2"/>
  <c r="N38" i="3"/>
  <c r="F38" i="3"/>
  <c r="D38" i="3"/>
  <c r="N32" i="2"/>
  <c r="N39" i="3"/>
  <c r="F39" i="3"/>
  <c r="D39" i="3"/>
  <c r="F32" i="2"/>
  <c r="N40" i="3"/>
  <c r="F40" i="3"/>
  <c r="D40" i="3"/>
  <c r="D32" i="2"/>
  <c r="N41" i="3"/>
  <c r="F41" i="3"/>
  <c r="D41" i="3"/>
  <c r="N33" i="2"/>
  <c r="F33" i="2"/>
  <c r="D33" i="2"/>
  <c r="N42" i="3"/>
  <c r="F42" i="3"/>
  <c r="D42" i="3"/>
  <c r="N34" i="2"/>
  <c r="F34" i="2"/>
  <c r="D34" i="2"/>
  <c r="N43" i="3"/>
  <c r="F43" i="3"/>
  <c r="D43" i="3"/>
  <c r="N35" i="2"/>
  <c r="F35" i="2"/>
  <c r="D35" i="2"/>
  <c r="N44" i="3"/>
  <c r="F44" i="3"/>
  <c r="D44" i="3"/>
  <c r="N36" i="2"/>
  <c r="F36" i="2"/>
  <c r="D36" i="2"/>
  <c r="N45" i="3"/>
  <c r="F45" i="3"/>
  <c r="D45" i="3"/>
  <c r="N37" i="2"/>
  <c r="F37" i="2"/>
  <c r="D37" i="2"/>
  <c r="N46" i="3"/>
  <c r="F46" i="3"/>
  <c r="D46" i="3"/>
  <c r="N38" i="2"/>
  <c r="F38" i="2"/>
  <c r="D38" i="2"/>
  <c r="N47" i="3"/>
  <c r="F47" i="3"/>
  <c r="D47" i="3"/>
  <c r="N39" i="2"/>
  <c r="F39" i="2"/>
  <c r="D39" i="2"/>
  <c r="N48" i="3"/>
  <c r="F48" i="3"/>
  <c r="D48" i="3"/>
  <c r="N40" i="2"/>
  <c r="F40" i="2"/>
  <c r="D40" i="2"/>
  <c r="N49" i="3"/>
  <c r="F49" i="3"/>
  <c r="D49" i="3"/>
  <c r="N41" i="2"/>
  <c r="F41" i="2"/>
  <c r="D41" i="2"/>
  <c r="N50" i="3"/>
  <c r="F50" i="3"/>
  <c r="D50" i="3"/>
  <c r="N42" i="2"/>
  <c r="F42" i="2"/>
  <c r="D42" i="2"/>
  <c r="N51" i="3"/>
  <c r="F51" i="3"/>
  <c r="D51" i="3"/>
  <c r="N43" i="2"/>
  <c r="F43" i="2"/>
  <c r="D43" i="2"/>
  <c r="N52" i="3"/>
  <c r="F52" i="3"/>
  <c r="D52" i="3"/>
  <c r="N44" i="2"/>
  <c r="F44" i="2"/>
  <c r="D44" i="2"/>
  <c r="N53" i="3"/>
  <c r="F53" i="3"/>
  <c r="D53" i="3"/>
  <c r="N45" i="2"/>
  <c r="F45" i="2"/>
  <c r="D45" i="2"/>
  <c r="N54" i="3"/>
  <c r="F54" i="3"/>
  <c r="G54" i="3"/>
  <c r="N46" i="2"/>
  <c r="F46" i="2"/>
  <c r="D46" i="2"/>
  <c r="D54" i="3"/>
  <c r="N55" i="3"/>
  <c r="N47" i="2"/>
  <c r="F47" i="2"/>
  <c r="D47" i="2"/>
  <c r="F55" i="3"/>
  <c r="D66" i="3"/>
  <c r="N48" i="2"/>
  <c r="F48" i="2"/>
  <c r="D48" i="2"/>
  <c r="G55" i="3"/>
  <c r="F56" i="3"/>
  <c r="D63" i="3"/>
  <c r="D55" i="3"/>
  <c r="N49" i="2"/>
  <c r="F49" i="2"/>
  <c r="D49" i="2"/>
  <c r="F58" i="3"/>
  <c r="D56" i="3"/>
  <c r="N50" i="2"/>
  <c r="F50" i="2"/>
  <c r="D50" i="2"/>
  <c r="D57" i="3"/>
  <c r="D58" i="3"/>
  <c r="F59" i="3"/>
  <c r="N51" i="2"/>
  <c r="F51" i="2"/>
  <c r="D51" i="2"/>
  <c r="D59" i="3"/>
  <c r="D60" i="3"/>
  <c r="D61" i="3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K22" i="1"/>
  <c r="K24" i="1"/>
  <c r="N22" i="1"/>
  <c r="M22" i="1"/>
  <c r="M16" i="1"/>
  <c r="L22" i="1"/>
  <c r="L24" i="1"/>
  <c r="K16" i="1"/>
  <c r="J22" i="1"/>
  <c r="I22" i="1"/>
  <c r="I16" i="1"/>
  <c r="H22" i="1"/>
  <c r="H24" i="1"/>
  <c r="G22" i="1"/>
  <c r="G24" i="1"/>
  <c r="F22" i="1"/>
  <c r="E22" i="1"/>
  <c r="E16" i="1"/>
  <c r="D22" i="1"/>
  <c r="D24" i="1"/>
  <c r="G16" i="1"/>
  <c r="F16" i="1"/>
  <c r="J35" i="1"/>
  <c r="J34" i="1"/>
  <c r="J33" i="1"/>
  <c r="J32" i="1"/>
  <c r="J31" i="1"/>
  <c r="J30" i="1"/>
  <c r="J29" i="1"/>
  <c r="J28" i="1"/>
  <c r="M28" i="1"/>
  <c r="E24" i="1"/>
  <c r="F24" i="1"/>
  <c r="I24" i="1"/>
  <c r="J24" i="1"/>
  <c r="E27" i="1"/>
  <c r="D27" i="1"/>
  <c r="N28" i="1"/>
  <c r="F28" i="1"/>
  <c r="D28" i="1"/>
  <c r="D16" i="1"/>
  <c r="L16" i="1"/>
  <c r="H16" i="1"/>
  <c r="M24" i="1"/>
  <c r="M33" i="1"/>
  <c r="M41" i="1"/>
  <c r="M49" i="1"/>
  <c r="N24" i="1"/>
  <c r="M31" i="1"/>
  <c r="M39" i="1"/>
  <c r="M47" i="1"/>
  <c r="N16" i="1"/>
  <c r="D64" i="1"/>
  <c r="M29" i="1"/>
  <c r="M37" i="1"/>
  <c r="M45" i="1"/>
  <c r="M53" i="1"/>
  <c r="J16" i="1"/>
  <c r="M35" i="1"/>
  <c r="M43" i="1"/>
  <c r="M51" i="1"/>
  <c r="E56" i="1"/>
  <c r="D67" i="1"/>
  <c r="D65" i="1"/>
  <c r="N29" i="1"/>
  <c r="F29" i="1"/>
  <c r="D29" i="1"/>
  <c r="N30" i="1"/>
  <c r="F30" i="1"/>
  <c r="D30" i="1"/>
  <c r="N31" i="1"/>
  <c r="F31" i="1"/>
  <c r="D31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D63" i="1"/>
  <c r="F56" i="1"/>
  <c r="D55" i="1"/>
  <c r="D56" i="1"/>
  <c r="F58" i="1"/>
  <c r="F59" i="1"/>
  <c r="D57" i="1"/>
  <c r="D58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<sst xmlns="http://schemas.openxmlformats.org/spreadsheetml/2006/main" count="271" uniqueCount="129">
  <si>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</si>
  <si>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</si>
  <si>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</si>
  <si>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</si>
  <si>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</si>
  <si>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</si>
  <si>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</si>
  <si>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</si>
  <si>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</si>
  <si>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</si>
  <si>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</si>
  <si>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</si>
  <si>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</si>
  <si>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</si>
  <si>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</si>
  <si>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</si>
  <si>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</si>
  <si>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</si>
  <si>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</si>
  <si>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</si>
  <si>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</si>
  <si>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</si>
  <si>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</si>
  <si>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</si>
  <si>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</si>
  <si>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</si>
  <si>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</si>
  <si>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</si>
  <si>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</si>
  <si>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</si>
  <si>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</si>
  <si>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</si>
  <si>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</si>
  <si>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</si>
  <si>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</si>
  <si>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</si>
  <si>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</si>
  <si>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</si>
  <si>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</si>
  <si>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</si>
  <si>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</si>
  <si>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</si>
  <si>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</si>
  <si>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</si>
  <si>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</si>
  <si>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</si>
  <si>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</si>
  <si>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</si>
  <si>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</si>
  <si>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</si>
  <si>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</si>
  <si>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</si>
  <si>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</si>
  <si>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</si>
  <si>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</si>
  <si>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</si>
  <si>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</si>
  <si>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</si>
  <si>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</si>
  <si>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</si>
  <si>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</si>
  <si>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</si>
  <si>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</si>
  <si>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</si>
  <si>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</si>
  <si>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</si>
  <si>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</si>
  <si>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</si>
  <si>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</si>
  <si>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</si>
  <si>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</si>
  <si>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</si>
  <si>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</si>
  <si>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</si>
  <si>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</si>
  <si>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</si>
  <si>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</si>
  <si>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</si>
  <si>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</si>
  <si>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</si>
  <si>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</si>
  <si>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</si>
  <si>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</si>
  <si>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</si>
  <si>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</si>
  <si>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</si>
  <si>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</si>
  <si>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</si>
  <si>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</si>
  <si>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</si>
  <si>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</si>
  <si>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</si>
  <si>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</si>
  <si>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Harry's Inc. - Unit Bottoms-Up Cost Breakdown</t>
  </si>
  <si>
    <t>General &amp; Labor</t>
    <phoneticPr fontId="21" type="noConversion"/>
  </si>
  <si>
    <t>KA SHUI METAL CO.LTD.</t>
    <phoneticPr fontId="21" type="noConversion"/>
  </si>
  <si>
    <t>WWW.KASHUI.COM</t>
    <phoneticPr fontId="21" type="noConversion"/>
  </si>
  <si>
    <t>ROOM A, 29TH FLOOR, TOWER B, BILLION CENTRE, 1 WANG KWONG RD, KOWLOON BAY, H.K.</t>
    <phoneticPr fontId="21" type="noConversion"/>
  </si>
  <si>
    <t>11 Dongshen Road, Egongling, Pinghu, Longgang District, Shenzhen, China.</t>
    <phoneticPr fontId="21" type="noConversion"/>
  </si>
  <si>
    <t>Alloy</t>
  </si>
  <si>
    <t>ZN# 3 Alloy</t>
  </si>
  <si>
    <t xml:space="preserve">Diecasting </t>
  </si>
  <si>
    <t>CNC</t>
  </si>
  <si>
    <t>2nd operation and trimming</t>
  </si>
  <si>
    <t>packaging</t>
  </si>
  <si>
    <t>tax loss</t>
  </si>
  <si>
    <t>Brother's CNC</t>
  </si>
  <si>
    <t xml:space="preserve">manual </t>
  </si>
  <si>
    <t>manual</t>
  </si>
  <si>
    <t>138-188T hot chamber</t>
  </si>
  <si>
    <t>Zinc-tessera-1</t>
  </si>
  <si>
    <t>60-88 T hot chamber</t>
  </si>
  <si>
    <t>Outsource automatic line</t>
  </si>
  <si>
    <t>handle_1</t>
  </si>
  <si>
    <t>Iby Cheng</t>
    <phoneticPr fontId="21" type="noConversion"/>
  </si>
  <si>
    <t>Manual</t>
    <phoneticPr fontId="21" type="noConversion"/>
  </si>
  <si>
    <t>Iby Cheng</t>
    <phoneticPr fontId="21" type="noConversion"/>
  </si>
  <si>
    <t>iby.cheng@kashui.com</t>
    <phoneticPr fontId="21" type="noConversion"/>
  </si>
  <si>
    <t>Manual</t>
    <phoneticPr fontId="21" type="noConversion"/>
  </si>
  <si>
    <t>polishing</t>
    <phoneticPr fontId="21" type="noConversion"/>
  </si>
  <si>
    <t xml:space="preserve">Rose Gold Plating </t>
    <phoneticPr fontId="21" type="noConversion"/>
  </si>
  <si>
    <t>outsource automatic line</t>
    <phoneticPr fontId="23" type="noConversion"/>
  </si>
  <si>
    <t>manual</t>
    <phoneticPr fontId="23" type="noConversion"/>
  </si>
  <si>
    <t>2016.5.20</t>
    <phoneticPr fontId="21" type="noConversion"/>
  </si>
  <si>
    <r>
      <t>handle_1 (</t>
    </r>
    <r>
      <rPr>
        <b/>
        <sz val="11"/>
        <color rgb="FFFF0000"/>
        <rFont val="Calibri"/>
        <family val="1"/>
        <charset val="136"/>
        <scheme val="minor"/>
      </rPr>
      <t>Rose Gold</t>
    </r>
    <r>
      <rPr>
        <sz val="11"/>
        <color rgb="FFFF0000"/>
        <rFont val="Calibri"/>
        <family val="2"/>
        <scheme val="minor"/>
      </rPr>
      <t>)</t>
    </r>
    <phoneticPr fontId="21" type="noConversion"/>
  </si>
  <si>
    <t>852-24140456</t>
    <phoneticPr fontId="21" type="noConversion"/>
  </si>
  <si>
    <t>852-24121743</t>
    <phoneticPr fontId="21" type="noConversion"/>
  </si>
  <si>
    <r>
      <t>Zinc-tessera-1 (</t>
    </r>
    <r>
      <rPr>
        <b/>
        <sz val="11"/>
        <color rgb="FFFF0000"/>
        <rFont val="Calibri"/>
        <family val="1"/>
        <charset val="136"/>
        <scheme val="minor"/>
      </rPr>
      <t>Rose Gold</t>
    </r>
    <r>
      <rPr>
        <sz val="11"/>
        <color rgb="FFFF0000"/>
        <rFont val="Calibri"/>
        <family val="2"/>
        <scheme val="minor"/>
      </rPr>
      <t>)</t>
    </r>
    <phoneticPr fontId="23" type="noConversion"/>
  </si>
  <si>
    <t>MOQ : 1,350sets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</si>
</sst>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rgb="FFFF0000"/>
      <name val="Calibri"/>
      <family val="1"/>
      <charset val="136"/>
      <scheme val="minor"/>
    </font>
    <font>
      <b/>
      <sz val="16"/>
      <color rgb="FFFF0000"/>
      <name val="Calibri"/>
      <family val="2"/>
      <scheme val="minor"/>
    </font>
    <font>
      <b/>
      <i/>
      <sz val="14"/>
      <color rgb="FFFF0000"/>
      <name val="Calibri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9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7" fontId="19" fillId="4" borderId="34" xfId="4" applyNumberFormat="1" applyFont="1" applyFill="1" applyBorder="1" applyAlignment="1" applyProtection="1">
      <alignment horizontal="center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173" fontId="0" fillId="0" borderId="0" xfId="0" applyNumberFormat="1" applyProtection="1"/>
    <xf numFmtId="173" fontId="4" fillId="2" borderId="2" xfId="0" applyNumberFormat="1" applyFont="1" applyFill="1" applyBorder="1" applyAlignment="1" applyProtection="1">
      <alignment vertical="center"/>
    </xf>
    <xf numFmtId="173" fontId="4" fillId="2" borderId="0" xfId="0" applyNumberFormat="1" applyFont="1" applyFill="1" applyBorder="1" applyAlignment="1" applyProtection="1">
      <alignment horizontal="left" vertical="center"/>
    </xf>
    <xf numFmtId="173" fontId="5" fillId="2" borderId="7" xfId="0" applyNumberFormat="1" applyFont="1" applyFill="1" applyBorder="1" applyAlignment="1" applyProtection="1">
      <alignment horizontal="left" vertical="center" wrapText="1"/>
    </xf>
    <xf numFmtId="173" fontId="5" fillId="0" borderId="0" xfId="0" applyNumberFormat="1" applyFont="1" applyFill="1" applyBorder="1" applyAlignment="1" applyProtection="1">
      <alignment horizontal="left" vertical="center" wrapText="1"/>
    </xf>
    <xf numFmtId="173" fontId="22" fillId="3" borderId="11" xfId="6" applyNumberFormat="1" applyFill="1" applyBorder="1" applyAlignment="1" applyProtection="1">
      <alignment horizontal="left" vertical="center"/>
      <protection locked="0"/>
    </xf>
    <xf numFmtId="173" fontId="2" fillId="3" borderId="15" xfId="3" applyNumberFormat="1" applyFont="1" applyFill="1" applyBorder="1" applyAlignment="1" applyProtection="1">
      <alignment horizontal="left" vertical="center"/>
      <protection locked="0"/>
    </xf>
    <xf numFmtId="173" fontId="2" fillId="3" borderId="19" xfId="3" applyNumberFormat="1" applyFont="1" applyFill="1" applyBorder="1" applyAlignment="1" applyProtection="1">
      <alignment horizontal="left" vertical="center"/>
      <protection locked="0"/>
    </xf>
    <xf numFmtId="173" fontId="9" fillId="0" borderId="0" xfId="3" applyNumberFormat="1" applyFont="1" applyFill="1" applyBorder="1" applyAlignment="1" applyProtection="1">
      <alignment horizontal="left" vertical="center"/>
    </xf>
    <xf numFmtId="173" fontId="9" fillId="0" borderId="0" xfId="4" applyNumberFormat="1" applyFont="1" applyAlignment="1" applyProtection="1">
      <alignment horizontal="center"/>
    </xf>
    <xf numFmtId="173" fontId="2" fillId="3" borderId="12" xfId="3" applyNumberFormat="1" applyFont="1" applyFill="1" applyBorder="1" applyAlignment="1" applyProtection="1">
      <alignment horizontal="center" vertical="center"/>
      <protection locked="0"/>
    </xf>
    <xf numFmtId="173" fontId="2" fillId="3" borderId="16" xfId="3" applyNumberFormat="1" applyFont="1" applyFill="1" applyBorder="1" applyAlignment="1" applyProtection="1">
      <alignment horizontal="center" vertical="center"/>
      <protection locked="0"/>
    </xf>
    <xf numFmtId="173" fontId="2" fillId="3" borderId="20" xfId="3" applyNumberFormat="1" applyFont="1" applyFill="1" applyBorder="1" applyAlignment="1" applyProtection="1">
      <alignment horizontal="center" vertical="center"/>
      <protection locked="0"/>
    </xf>
    <xf numFmtId="173" fontId="3" fillId="0" borderId="0" xfId="3" applyNumberFormat="1" applyFont="1" applyFill="1" applyBorder="1" applyAlignment="1" applyProtection="1">
      <alignment horizontal="center" vertical="center" wrapText="1" readingOrder="1"/>
    </xf>
    <xf numFmtId="173" fontId="1" fillId="0" borderId="0" xfId="3" applyNumberFormat="1" applyFont="1" applyFill="1" applyBorder="1" applyAlignment="1" applyProtection="1">
      <alignment horizontal="center" vertical="center" wrapText="1"/>
    </xf>
    <xf numFmtId="173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27" xfId="0" applyNumberFormat="1" applyFont="1" applyFill="1" applyBorder="1" applyAlignment="1" applyProtection="1">
      <alignment horizontal="center" vertical="center"/>
      <protection locked="0"/>
    </xf>
    <xf numFmtId="173" fontId="9" fillId="0" borderId="15" xfId="1" applyNumberFormat="1" applyFont="1" applyFill="1" applyBorder="1" applyAlignment="1" applyProtection="1">
      <alignment horizontal="center" vertical="center"/>
    </xf>
    <xf numFmtId="173" fontId="2" fillId="3" borderId="15" xfId="0" applyNumberFormat="1" applyFont="1" applyFill="1" applyBorder="1" applyAlignment="1" applyProtection="1">
      <alignment horizontal="center" vertical="center"/>
      <protection locked="0"/>
    </xf>
    <xf numFmtId="173" fontId="11" fillId="0" borderId="19" xfId="5" applyNumberFormat="1" applyFont="1" applyFill="1" applyBorder="1" applyAlignment="1" applyProtection="1">
      <alignment horizontal="center"/>
      <protection locked="0"/>
    </xf>
    <xf numFmtId="173" fontId="7" fillId="0" borderId="32" xfId="0" applyNumberFormat="1" applyFont="1" applyFill="1" applyBorder="1" applyAlignment="1" applyProtection="1">
      <alignment horizontal="left" vertical="center"/>
    </xf>
    <xf numFmtId="173" fontId="7" fillId="2" borderId="11" xfId="4" applyNumberFormat="1" applyFont="1" applyFill="1" applyBorder="1" applyAlignment="1" applyProtection="1">
      <alignment horizontal="center" vertical="center" wrapText="1"/>
    </xf>
    <xf numFmtId="173" fontId="9" fillId="0" borderId="15" xfId="4" applyNumberFormat="1" applyFont="1" applyBorder="1" applyAlignment="1" applyProtection="1">
      <alignment horizontal="center"/>
    </xf>
    <xf numFmtId="173" fontId="13" fillId="3" borderId="15" xfId="4" applyNumberFormat="1" applyFont="1" applyFill="1" applyBorder="1" applyAlignment="1" applyProtection="1">
      <alignment horizontal="center"/>
      <protection locked="0"/>
    </xf>
    <xf numFmtId="173" fontId="19" fillId="0" borderId="34" xfId="4" applyNumberFormat="1" applyFont="1" applyBorder="1" applyAlignment="1" applyProtection="1">
      <alignment horizontal="center"/>
    </xf>
    <xf numFmtId="173" fontId="7" fillId="0" borderId="37" xfId="4" applyNumberFormat="1" applyFont="1" applyBorder="1" applyAlignment="1" applyProtection="1">
      <alignment horizontal="center"/>
    </xf>
    <xf numFmtId="173" fontId="0" fillId="0" borderId="15" xfId="0" applyNumberFormat="1" applyBorder="1" applyProtection="1"/>
    <xf numFmtId="173" fontId="0" fillId="0" borderId="15" xfId="0" applyNumberFormat="1" applyFont="1" applyBorder="1" applyProtection="1"/>
    <xf numFmtId="173" fontId="0" fillId="0" borderId="19" xfId="0" applyNumberFormat="1" applyBorder="1" applyProtection="1"/>
    <xf numFmtId="0" fontId="2" fillId="3" borderId="19" xfId="3" applyFont="1" applyFill="1" applyBorder="1" applyAlignment="1" applyProtection="1">
      <alignment vertical="center"/>
      <protection locked="0"/>
    </xf>
    <xf numFmtId="0" fontId="2" fillId="3" borderId="11" xfId="0" applyFont="1" applyFill="1" applyBorder="1" applyAlignment="1" applyProtection="1">
      <alignment vertical="center"/>
      <protection locked="0"/>
    </xf>
    <xf numFmtId="0" fontId="24" fillId="3" borderId="15" xfId="3" applyFont="1" applyFill="1" applyBorder="1" applyAlignment="1" applyProtection="1">
      <alignment horizontal="left" vertical="center"/>
      <protection locked="0"/>
    </xf>
    <xf numFmtId="167" fontId="25" fillId="4" borderId="34" xfId="4" applyNumberFormat="1" applyFont="1" applyFill="1" applyBorder="1" applyAlignment="1" applyProtection="1">
      <alignment horizontal="center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26" fillId="3" borderId="1" xfId="0" applyNumberFormat="1" applyFont="1" applyFill="1" applyBorder="1" applyAlignment="1" applyProtection="1">
      <alignment horizontal="left" vertical="top"/>
      <protection locked="0"/>
    </xf>
    <xf numFmtId="49" fontId="26" fillId="3" borderId="2" xfId="0" applyNumberFormat="1" applyFont="1" applyFill="1" applyBorder="1" applyAlignment="1" applyProtection="1">
      <alignment horizontal="left" vertical="top"/>
      <protection locked="0"/>
    </xf>
    <xf numFmtId="49" fontId="26" fillId="3" borderId="3" xfId="0" applyNumberFormat="1" applyFont="1" applyFill="1" applyBorder="1" applyAlignment="1" applyProtection="1">
      <alignment horizontal="left" vertical="top"/>
      <protection locked="0"/>
    </xf>
    <xf numFmtId="49" fontId="26" fillId="3" borderId="4" xfId="0" applyNumberFormat="1" applyFont="1" applyFill="1" applyBorder="1" applyAlignment="1" applyProtection="1">
      <alignment horizontal="left" vertical="top"/>
      <protection locked="0"/>
    </xf>
    <xf numFmtId="49" fontId="26" fillId="3" borderId="0" xfId="0" applyNumberFormat="1" applyFont="1" applyFill="1" applyBorder="1" applyAlignment="1" applyProtection="1">
      <alignment horizontal="left" vertical="top"/>
      <protection locked="0"/>
    </xf>
    <xf numFmtId="49" fontId="26" fillId="3" borderId="5" xfId="0" applyNumberFormat="1" applyFont="1" applyFill="1" applyBorder="1" applyAlignment="1" applyProtection="1">
      <alignment horizontal="left" vertical="top"/>
      <protection locked="0"/>
    </xf>
    <xf numFmtId="49" fontId="26" fillId="3" borderId="6" xfId="0" applyNumberFormat="1" applyFont="1" applyFill="1" applyBorder="1" applyAlignment="1" applyProtection="1">
      <alignment horizontal="left" vertical="top"/>
      <protection locked="0"/>
    </xf>
    <xf numFmtId="49" fontId="26" fillId="3" borderId="7" xfId="0" applyNumberFormat="1" applyFont="1" applyFill="1" applyBorder="1" applyAlignment="1" applyProtection="1">
      <alignment horizontal="left" vertical="top"/>
      <protection locked="0"/>
    </xf>
    <xf numFmtId="49" fontId="2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1" defaultTableStyle="TableStyleMedium2" defaultPivotStyle="PivotStyleLight16">
    <tableStyle name="MySqlDefault" pivot="0" table="0" count="0"/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3511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abSelected="1" topLeftCell="A12" zoomScale="80" zoomScaleNormal="80" zoomScalePageLayoutView="80" workbookViewId="0">
      <selection activeCell="B73" sqref="B73:F75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5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125</v>
      </c>
      <c r="Q7" s="56"/>
      <c r="R7" s="56"/>
      <c r="S7" s="56"/>
      <c r="T7" s="56"/>
      <c r="U7" s="56"/>
      <c r="V7" s="56"/>
    </row>
    <row r="8" spans="2:22" s="62" customFormat="1" ht="14.25" customHeight="1">
      <c r="B8" s="246"/>
      <c r="C8" s="57" t="s">
        <v>7</v>
      </c>
      <c r="D8" s="4" t="s">
        <v>97</v>
      </c>
      <c r="E8" s="59" t="s">
        <v>8</v>
      </c>
      <c r="F8" s="218" t="s">
        <v>114</v>
      </c>
      <c r="G8" s="60" t="s">
        <v>9</v>
      </c>
      <c r="H8" s="5" t="s">
        <v>126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7"/>
      <c r="C9" s="65" t="s">
        <v>10</v>
      </c>
      <c r="D9" s="241" t="s">
        <v>98</v>
      </c>
      <c r="E9" s="67" t="s">
        <v>11</v>
      </c>
      <c r="F9" s="219" t="s">
        <v>123</v>
      </c>
      <c r="G9" s="69" t="s">
        <v>12</v>
      </c>
      <c r="H9" s="211" t="s">
        <v>117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8" t="s">
        <v>94</v>
      </c>
      <c r="C12" s="84" t="s">
        <v>14</v>
      </c>
      <c r="D12" s="7" t="s">
        <v>113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9"/>
      <c r="C13" s="87" t="s">
        <v>16</v>
      </c>
      <c r="D13" s="242" t="s">
        <v>124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50"/>
      <c r="C14" s="90" t="s">
        <v>18</v>
      </c>
      <c r="D14" s="9">
        <v>17000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idden="1">
      <c r="B16" s="99"/>
      <c r="C16" s="100"/>
      <c r="D16" s="95" t="str">
        <f>D18&amp;"/"&amp;D19&amp;"/"&amp;TEXT(D20,"$#,###.000")&amp;"/"&amp;TEXT(D22,"$#,###.000")</f>
        <v>ZN# 3 Alloy/Alloy/$2.269/$.061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8" t="s">
        <v>20</v>
      </c>
      <c r="C18" s="84" t="s">
        <v>21</v>
      </c>
      <c r="D18" s="208" t="s">
        <v>100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9"/>
      <c r="C19" s="87" t="s">
        <v>22</v>
      </c>
      <c r="D19" s="10" t="s">
        <v>99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9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9"/>
      <c r="C21" s="87" t="s">
        <v>24</v>
      </c>
      <c r="D21" s="10">
        <v>2.7E-2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9"/>
      <c r="C22" s="87" t="s">
        <v>25</v>
      </c>
      <c r="D22" s="114">
        <f t="shared" ref="D22:I22" si="2">D20*D21</f>
        <v>6.1262649000000002E-2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9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50"/>
      <c r="C24" s="90" t="s">
        <v>27</v>
      </c>
      <c r="D24" s="27">
        <f t="shared" ref="D24:N24" si="3">(D22*D23)</f>
        <v>6.1262649000000002E-2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6.1262649000000002E-2</v>
      </c>
      <c r="E27" s="136">
        <f>SUM(D24:J24)</f>
        <v>6.1262649000000002E-2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101</v>
      </c>
      <c r="D28" s="135">
        <f>D27+E28+F28</f>
        <v>0.10750497291444444</v>
      </c>
      <c r="E28" s="17">
        <v>0</v>
      </c>
      <c r="F28" s="234">
        <f>SUM(L28:N28)</f>
        <v>4.6242323914444446E-2</v>
      </c>
      <c r="G28" s="21" t="s">
        <v>109</v>
      </c>
      <c r="H28" s="18">
        <v>16</v>
      </c>
      <c r="I28" s="19">
        <v>0.97</v>
      </c>
      <c r="J28" s="145">
        <f t="shared" ref="J28:J54" si="4">(1-I28)*J29+J29</f>
        <v>25949.791568137502</v>
      </c>
      <c r="K28" s="20">
        <v>9.6999999999999993</v>
      </c>
      <c r="L28" s="147">
        <f t="shared" ref="L28:L55" si="5">(K28/3600)*H28</f>
        <v>4.3111111111111107E-2</v>
      </c>
      <c r="M28" s="147">
        <f t="shared" ref="M28:M55" si="6">(1-I28)*L28</f>
        <v>1.2933333333333343E-3</v>
      </c>
      <c r="N28" s="148">
        <f t="shared" ref="N28:N55" si="7">(1-I28)*D27</f>
        <v>1.8378794700000018E-3</v>
      </c>
      <c r="O28" s="82"/>
      <c r="P28" s="82"/>
    </row>
    <row r="29" spans="2:23">
      <c r="B29" s="133">
        <v>2</v>
      </c>
      <c r="C29" s="21" t="s">
        <v>102</v>
      </c>
      <c r="D29" s="135">
        <f t="shared" ref="D29:D55" si="8">D28+E29+F29</f>
        <v>0.17336749777901667</v>
      </c>
      <c r="E29" s="17">
        <v>0</v>
      </c>
      <c r="F29" s="234">
        <f t="shared" ref="F29:F55" si="9">SUM(L29:N29)</f>
        <v>6.5862524864572225E-2</v>
      </c>
      <c r="G29" s="21" t="s">
        <v>106</v>
      </c>
      <c r="H29" s="18">
        <v>26</v>
      </c>
      <c r="I29" s="19">
        <v>0.995</v>
      </c>
      <c r="J29" s="145">
        <f t="shared" si="4"/>
        <v>25193.972396249999</v>
      </c>
      <c r="K29" s="20">
        <v>9</v>
      </c>
      <c r="L29" s="147">
        <f t="shared" si="5"/>
        <v>6.5000000000000002E-2</v>
      </c>
      <c r="M29" s="147">
        <f t="shared" si="6"/>
        <v>3.2500000000000031E-4</v>
      </c>
      <c r="N29" s="148">
        <f t="shared" si="7"/>
        <v>5.3752486457222268E-4</v>
      </c>
      <c r="O29" s="82"/>
      <c r="P29" s="82"/>
    </row>
    <row r="30" spans="2:23">
      <c r="B30" s="133">
        <v>3</v>
      </c>
      <c r="C30" s="21" t="s">
        <v>103</v>
      </c>
      <c r="D30" s="135">
        <f t="shared" si="8"/>
        <v>0.24762478386791797</v>
      </c>
      <c r="E30" s="17">
        <v>0</v>
      </c>
      <c r="F30" s="234">
        <f>SUM(L30:N30)</f>
        <v>7.4257286088901295E-2</v>
      </c>
      <c r="G30" s="21" t="s">
        <v>115</v>
      </c>
      <c r="H30" s="18">
        <v>55</v>
      </c>
      <c r="I30" s="19">
        <v>0.99</v>
      </c>
      <c r="J30" s="145">
        <f t="shared" si="4"/>
        <v>25068.629249999998</v>
      </c>
      <c r="K30" s="20">
        <v>4.7</v>
      </c>
      <c r="L30" s="147">
        <f t="shared" si="5"/>
        <v>7.1805555555555567E-2</v>
      </c>
      <c r="M30" s="147">
        <f t="shared" si="6"/>
        <v>7.1805555555555631E-4</v>
      </c>
      <c r="N30" s="148">
        <f t="shared" si="7"/>
        <v>1.7336749777901682E-3</v>
      </c>
      <c r="O30" s="82"/>
      <c r="P30" s="82"/>
    </row>
    <row r="31" spans="2:23" ht="18.75" customHeight="1">
      <c r="B31" s="133">
        <v>4</v>
      </c>
      <c r="C31" s="21" t="s">
        <v>119</v>
      </c>
      <c r="D31" s="135">
        <f t="shared" si="8"/>
        <v>0.38071352738395547</v>
      </c>
      <c r="E31" s="17">
        <v>0</v>
      </c>
      <c r="F31" s="234">
        <f t="shared" si="9"/>
        <v>0.13308874351603753</v>
      </c>
      <c r="G31" s="21" t="s">
        <v>118</v>
      </c>
      <c r="H31" s="18">
        <v>72</v>
      </c>
      <c r="I31" s="19">
        <v>0.97</v>
      </c>
      <c r="J31" s="145">
        <f t="shared" si="4"/>
        <v>24820.424999999999</v>
      </c>
      <c r="K31" s="20">
        <v>6.1</v>
      </c>
      <c r="L31" s="147">
        <f t="shared" si="5"/>
        <v>0.122</v>
      </c>
      <c r="M31" s="147">
        <f t="shared" si="6"/>
        <v>3.6600000000000031E-3</v>
      </c>
      <c r="N31" s="148">
        <f t="shared" si="7"/>
        <v>7.4287435160375458E-3</v>
      </c>
      <c r="O31" s="82"/>
      <c r="P31" s="82"/>
    </row>
    <row r="32" spans="2:23">
      <c r="B32" s="133">
        <v>5</v>
      </c>
      <c r="C32" s="21">
        <v>0</v>
      </c>
      <c r="D32" s="135">
        <f t="shared" si="8"/>
        <v>0.38071352738395547</v>
      </c>
      <c r="E32" s="17">
        <v>0</v>
      </c>
      <c r="F32" s="234">
        <v>0</v>
      </c>
      <c r="G32" s="21">
        <v>0</v>
      </c>
      <c r="H32" s="18">
        <v>0</v>
      </c>
      <c r="I32" s="19">
        <v>1</v>
      </c>
      <c r="J32" s="145">
        <f t="shared" si="4"/>
        <v>24097.5</v>
      </c>
      <c r="K32" s="20">
        <v>0</v>
      </c>
      <c r="L32" s="147">
        <f t="shared" si="5"/>
        <v>0</v>
      </c>
      <c r="M32" s="147">
        <f t="shared" si="6"/>
        <v>0</v>
      </c>
      <c r="N32" s="148">
        <v>0</v>
      </c>
      <c r="O32" s="82"/>
      <c r="P32" s="82"/>
    </row>
    <row r="33" spans="2:16">
      <c r="B33" s="133">
        <v>6</v>
      </c>
      <c r="C33" s="243" t="s">
        <v>120</v>
      </c>
      <c r="D33" s="135">
        <f t="shared" si="8"/>
        <v>4.3139632619683397</v>
      </c>
      <c r="E33" s="17">
        <v>3.8</v>
      </c>
      <c r="F33" s="234">
        <f t="shared" si="9"/>
        <v>0.13324973458438441</v>
      </c>
      <c r="G33" s="23">
        <v>0</v>
      </c>
      <c r="H33" s="18">
        <v>0</v>
      </c>
      <c r="I33" s="19">
        <v>0.65</v>
      </c>
      <c r="J33" s="145">
        <f t="shared" si="4"/>
        <v>24097.5</v>
      </c>
      <c r="K33" s="20">
        <v>0</v>
      </c>
      <c r="L33" s="147">
        <f t="shared" si="5"/>
        <v>0</v>
      </c>
      <c r="M33" s="147">
        <f t="shared" si="6"/>
        <v>0</v>
      </c>
      <c r="N33" s="148">
        <f t="shared" si="7"/>
        <v>0.13324973458438441</v>
      </c>
      <c r="O33" s="82"/>
      <c r="P33" s="82"/>
    </row>
    <row r="34" spans="2:16">
      <c r="B34" s="133">
        <v>7</v>
      </c>
      <c r="C34" s="4" t="s">
        <v>104</v>
      </c>
      <c r="D34" s="135">
        <f t="shared" si="8"/>
        <v>4.3139632619683397</v>
      </c>
      <c r="E34" s="17">
        <v>0</v>
      </c>
      <c r="F34" s="234">
        <f t="shared" si="9"/>
        <v>0</v>
      </c>
      <c r="G34" s="23" t="s">
        <v>112</v>
      </c>
      <c r="H34" s="18">
        <v>0</v>
      </c>
      <c r="I34" s="19">
        <v>1</v>
      </c>
      <c r="J34" s="145">
        <f t="shared" ref="J34:J35" si="10">(1-I34)*J35+J35</f>
        <v>17850</v>
      </c>
      <c r="K34" s="20">
        <v>0</v>
      </c>
      <c r="L34" s="147">
        <f t="shared" si="5"/>
        <v>0</v>
      </c>
      <c r="M34" s="147">
        <f t="shared" si="6"/>
        <v>0</v>
      </c>
      <c r="N34" s="148">
        <f t="shared" si="7"/>
        <v>0</v>
      </c>
      <c r="O34" s="82"/>
      <c r="P34" s="82"/>
    </row>
    <row r="35" spans="2:16">
      <c r="B35" s="133">
        <v>8</v>
      </c>
      <c r="C35" s="22"/>
      <c r="D35" s="135">
        <f t="shared" si="8"/>
        <v>4.5581444979834238</v>
      </c>
      <c r="E35" s="17">
        <v>0</v>
      </c>
      <c r="F35" s="234">
        <f t="shared" si="9"/>
        <v>0.24418123601508385</v>
      </c>
      <c r="G35" s="23" t="s">
        <v>108</v>
      </c>
      <c r="H35" s="18">
        <v>25</v>
      </c>
      <c r="I35" s="19">
        <v>0.95</v>
      </c>
      <c r="J35" s="145">
        <f t="shared" si="10"/>
        <v>17850</v>
      </c>
      <c r="K35" s="20">
        <f>25/6.4</f>
        <v>3.90625</v>
      </c>
      <c r="L35" s="147">
        <f t="shared" si="5"/>
        <v>2.7126736111111112E-2</v>
      </c>
      <c r="M35" s="147">
        <f t="shared" si="6"/>
        <v>1.3563368055555568E-3</v>
      </c>
      <c r="N35" s="148">
        <f t="shared" si="7"/>
        <v>0.21569816309841719</v>
      </c>
      <c r="O35" s="82"/>
      <c r="P35" s="82"/>
    </row>
    <row r="36" spans="2:16">
      <c r="B36" s="133">
        <v>9</v>
      </c>
      <c r="C36" s="22"/>
      <c r="D36" s="135">
        <f t="shared" si="8"/>
        <v>4.5581444979834238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17000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4.5581444979834238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17000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4.5581444979834238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17000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4.5581444979834238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17000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4.5581444979834238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17000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4.5581444979834238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17000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4.5581444979834238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17000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4.5581444979834238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17000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4.5581444979834238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17000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4.5581444979834238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17000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4.5581444979834238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17000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4.5581444979834238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17000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4.5581444979834238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17000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4.5581444979834238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17000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4.5581444979834238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17000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4.5581444979834238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17000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4.5581444979834238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17000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4.5581444979834238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17000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4.5737694979834238</v>
      </c>
      <c r="E54" s="17">
        <f>0.1/6.4</f>
        <v>1.5625E-2</v>
      </c>
      <c r="F54" s="234">
        <f t="shared" si="9"/>
        <v>0</v>
      </c>
      <c r="G54" s="141">
        <f>SUM(E54:F54)</f>
        <v>1.5625E-2</v>
      </c>
      <c r="H54" s="18"/>
      <c r="I54" s="19">
        <v>1</v>
      </c>
      <c r="J54" s="145">
        <f t="shared" si="4"/>
        <v>17000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4.5753319979834242</v>
      </c>
      <c r="E55" s="17">
        <f>0.01/6.4</f>
        <v>1.5624999999999999E-3</v>
      </c>
      <c r="F55" s="234">
        <f t="shared" si="9"/>
        <v>0</v>
      </c>
      <c r="G55" s="141">
        <f>SUM(E55:F55)</f>
        <v>1.5624999999999999E-3</v>
      </c>
      <c r="H55" s="18"/>
      <c r="I55" s="19">
        <v>1</v>
      </c>
      <c r="J55" s="145">
        <f>(1-I55)*J57+J57</f>
        <v>17000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4.5753319979834242</v>
      </c>
      <c r="E56" s="135">
        <f>SUM(E27:E55)</f>
        <v>3.8784501489999998</v>
      </c>
      <c r="F56" s="234">
        <f>SUM(F27:F55)</f>
        <v>0.69688184898342365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4.5893944979834238</v>
      </c>
      <c r="E57" s="135"/>
      <c r="F57" s="235">
        <f>0.09/6.4</f>
        <v>1.4062499999999999E-2</v>
      </c>
      <c r="G57" s="134"/>
      <c r="H57" s="134"/>
      <c r="I57" s="137" t="s">
        <v>46</v>
      </c>
      <c r="J57" s="162">
        <f>D14</f>
        <v>17000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7.0000000000000007E-2</v>
      </c>
      <c r="D58" s="135">
        <f>D57+F58</f>
        <v>4.9096677378422635</v>
      </c>
      <c r="E58" s="135"/>
      <c r="F58" s="234">
        <f>D55*C58</f>
        <v>0.32027323985883971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</v>
      </c>
      <c r="D59" s="135">
        <f>D58+F59</f>
        <v>5.3672009376406056</v>
      </c>
      <c r="E59" s="135"/>
      <c r="F59" s="234">
        <f>D56*C59</f>
        <v>0.45753319979834245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105</v>
      </c>
      <c r="D60" s="135">
        <f>D59+F60</f>
        <v>5.5172009376406059</v>
      </c>
      <c r="E60" s="135"/>
      <c r="F60" s="235">
        <v>0.15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44">
        <f>D60</f>
        <v>5.5172009376406059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0.69688184898342365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0.32904340277777777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7.3527256944444508E-3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0.36048572051120154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3.8784501489999998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194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0.57231971403749993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51" t="s">
        <v>128</v>
      </c>
      <c r="C73" s="252"/>
      <c r="D73" s="252"/>
      <c r="E73" s="252"/>
      <c r="F73" s="253"/>
    </row>
    <row r="74" spans="2:16">
      <c r="B74" s="254"/>
      <c r="C74" s="255"/>
      <c r="D74" s="255"/>
      <c r="E74" s="255"/>
      <c r="F74" s="256"/>
    </row>
    <row r="75" spans="2:16" ht="15" thickBot="1">
      <c r="B75" s="257"/>
      <c r="C75" s="258"/>
      <c r="D75" s="258"/>
      <c r="E75" s="258"/>
      <c r="F75" s="259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F7" r:id="rId1"/>
    <hyperlink ref="H9" r:id="rId2"/>
  </hyperlinks>
  <pageMargins left="0.70866141732283472" right="0.70866141732283472" top="0.74803149606299213" bottom="0.74803149606299213" header="0.31496062992125984" footer="0.31496062992125984"/>
  <pageSetup scale="45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5"/>
  <sheetViews>
    <sheetView zoomScale="75" zoomScaleNormal="75" zoomScalePageLayoutView="75" workbookViewId="0">
      <selection activeCell="B73" sqref="B73:F75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5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125</v>
      </c>
      <c r="Q7" s="56"/>
      <c r="R7" s="56"/>
      <c r="S7" s="56"/>
      <c r="T7" s="56"/>
      <c r="U7" s="56"/>
      <c r="V7" s="56"/>
    </row>
    <row r="8" spans="2:22" s="62" customFormat="1" ht="14.25" customHeight="1">
      <c r="B8" s="246"/>
      <c r="C8" s="57" t="s">
        <v>7</v>
      </c>
      <c r="D8" s="4" t="s">
        <v>97</v>
      </c>
      <c r="E8" s="59" t="s">
        <v>8</v>
      </c>
      <c r="F8" s="218" t="s">
        <v>116</v>
      </c>
      <c r="G8" s="60" t="s">
        <v>9</v>
      </c>
      <c r="H8" s="5" t="s">
        <v>126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7"/>
      <c r="C9" s="65" t="s">
        <v>10</v>
      </c>
      <c r="D9" s="6" t="s">
        <v>98</v>
      </c>
      <c r="E9" s="67" t="s">
        <v>11</v>
      </c>
      <c r="F9" s="219" t="s">
        <v>123</v>
      </c>
      <c r="G9" s="69" t="s">
        <v>12</v>
      </c>
      <c r="H9" s="211" t="s">
        <v>117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8" t="s">
        <v>94</v>
      </c>
      <c r="C12" s="84" t="s">
        <v>14</v>
      </c>
      <c r="D12" s="7" t="s">
        <v>110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9"/>
      <c r="C13" s="87" t="s">
        <v>16</v>
      </c>
      <c r="D13" s="7" t="s">
        <v>127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50"/>
      <c r="C14" s="90" t="s">
        <v>18</v>
      </c>
      <c r="D14" s="9">
        <v>20000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15" hidden="1" thickBot="1">
      <c r="B16" s="99"/>
      <c r="C16" s="100"/>
      <c r="D16" s="95" t="str">
        <f>D18&amp;"/"&amp;D19&amp;"/"&amp;TEXT(D20,"$#,###.000")&amp;"/"&amp;TEXT(D22,"$#,###.000")</f>
        <v>ZN# 3 Alloy/Alloy/$2.269/$.011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8" t="s">
        <v>20</v>
      </c>
      <c r="C18" s="84" t="s">
        <v>21</v>
      </c>
      <c r="D18" s="208" t="s">
        <v>100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9"/>
      <c r="C19" s="87" t="s">
        <v>22</v>
      </c>
      <c r="D19" s="10" t="s">
        <v>99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9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9"/>
      <c r="C21" s="87" t="s">
        <v>24</v>
      </c>
      <c r="D21" s="10">
        <v>5.0000000000000001E-3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9"/>
      <c r="C22" s="87" t="s">
        <v>25</v>
      </c>
      <c r="D22" s="114">
        <f t="shared" ref="D22:I22" si="2">D20*D21</f>
        <v>1.1344935E-2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9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50"/>
      <c r="C24" s="90" t="s">
        <v>27</v>
      </c>
      <c r="D24" s="27">
        <f t="shared" ref="D24:N24" si="3">(D22*D23)</f>
        <v>1.1344935E-2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1.1344935E-2</v>
      </c>
      <c r="E27" s="136">
        <f>SUM(D24:J24)</f>
        <v>1.1344935E-2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101</v>
      </c>
      <c r="D28" s="135">
        <f>D27+E28+F28</f>
        <v>3.829361638333334E-2</v>
      </c>
      <c r="E28" s="17">
        <v>0</v>
      </c>
      <c r="F28" s="234">
        <f>SUM(L28:N28)</f>
        <v>2.6948681383333336E-2</v>
      </c>
      <c r="G28" s="21" t="s">
        <v>111</v>
      </c>
      <c r="H28" s="18">
        <v>15</v>
      </c>
      <c r="I28" s="19">
        <v>0.97</v>
      </c>
      <c r="J28" s="145">
        <f t="shared" ref="J28:J54" si="4">(1-I28)*J29+J29</f>
        <v>29933.432550000001</v>
      </c>
      <c r="K28" s="20">
        <v>6.2</v>
      </c>
      <c r="L28" s="147">
        <f t="shared" ref="L28:L55" si="5">(K28/3600)*H28</f>
        <v>2.5833333333333333E-2</v>
      </c>
      <c r="M28" s="147">
        <f t="shared" ref="M28:M55" si="6">(1-I28)*L28</f>
        <v>7.7500000000000073E-4</v>
      </c>
      <c r="N28" s="148">
        <f t="shared" ref="N28:N55" si="7">(1-I28)*D27</f>
        <v>3.4034805000000032E-4</v>
      </c>
      <c r="O28" s="82"/>
      <c r="P28" s="82"/>
    </row>
    <row r="29" spans="2:23">
      <c r="B29" s="133">
        <v>2</v>
      </c>
      <c r="C29" s="21" t="s">
        <v>103</v>
      </c>
      <c r="D29" s="135">
        <f t="shared" ref="D29:D55" si="8">D28+E29+F29</f>
        <v>6.4656959465250005E-2</v>
      </c>
      <c r="E29" s="17">
        <v>0</v>
      </c>
      <c r="F29" s="234">
        <f t="shared" ref="F29:F55" si="9">SUM(L29:N29)</f>
        <v>2.6363343081916665E-2</v>
      </c>
      <c r="G29" s="21" t="s">
        <v>107</v>
      </c>
      <c r="H29" s="18">
        <v>20</v>
      </c>
      <c r="I29" s="19">
        <v>0.995</v>
      </c>
      <c r="J29" s="145">
        <f t="shared" si="4"/>
        <v>29061.584999999999</v>
      </c>
      <c r="K29" s="20">
        <f>30/6.4</f>
        <v>4.6875</v>
      </c>
      <c r="L29" s="147">
        <f t="shared" si="5"/>
        <v>2.6041666666666664E-2</v>
      </c>
      <c r="M29" s="147">
        <f t="shared" si="6"/>
        <v>1.3020833333333344E-4</v>
      </c>
      <c r="N29" s="148">
        <f t="shared" si="7"/>
        <v>1.9146808191666687E-4</v>
      </c>
      <c r="O29" s="82"/>
      <c r="P29" s="82"/>
    </row>
    <row r="30" spans="2:23">
      <c r="B30" s="133">
        <v>3</v>
      </c>
      <c r="C30" s="21" t="s">
        <v>119</v>
      </c>
      <c r="D30" s="135">
        <f t="shared" si="8"/>
        <v>0.14891009865455501</v>
      </c>
      <c r="E30" s="17">
        <v>0</v>
      </c>
      <c r="F30" s="234">
        <f t="shared" si="9"/>
        <v>8.4253139189304993E-2</v>
      </c>
      <c r="G30" s="21" t="s">
        <v>118</v>
      </c>
      <c r="H30" s="18">
        <v>48</v>
      </c>
      <c r="I30" s="19">
        <v>0.98</v>
      </c>
      <c r="J30" s="145">
        <f t="shared" si="4"/>
        <v>28917</v>
      </c>
      <c r="K30" s="20">
        <v>6.1</v>
      </c>
      <c r="L30" s="147">
        <f t="shared" si="5"/>
        <v>8.1333333333333327E-2</v>
      </c>
      <c r="M30" s="147">
        <f t="shared" si="6"/>
        <v>1.626666666666668E-3</v>
      </c>
      <c r="N30" s="148">
        <f t="shared" si="7"/>
        <v>1.2931391893050012E-3</v>
      </c>
      <c r="O30" s="82"/>
      <c r="P30" s="82"/>
    </row>
    <row r="31" spans="2:23">
      <c r="B31" s="133">
        <v>4</v>
      </c>
      <c r="C31" s="21"/>
      <c r="D31" s="135">
        <f t="shared" si="8"/>
        <v>0.14891009865455501</v>
      </c>
      <c r="E31" s="17">
        <v>0</v>
      </c>
      <c r="F31" s="234">
        <v>0</v>
      </c>
      <c r="G31" s="21"/>
      <c r="H31" s="18">
        <v>0</v>
      </c>
      <c r="I31" s="19">
        <v>1</v>
      </c>
      <c r="J31" s="145">
        <f t="shared" si="4"/>
        <v>28350</v>
      </c>
      <c r="K31" s="20">
        <v>0</v>
      </c>
      <c r="L31" s="147">
        <f t="shared" si="5"/>
        <v>0</v>
      </c>
      <c r="M31" s="147">
        <f t="shared" si="6"/>
        <v>0</v>
      </c>
      <c r="N31" s="148">
        <f t="shared" si="7"/>
        <v>0</v>
      </c>
      <c r="O31" s="82"/>
      <c r="P31" s="82"/>
    </row>
    <row r="32" spans="2:23">
      <c r="B32" s="133">
        <v>5</v>
      </c>
      <c r="C32" s="243" t="s">
        <v>120</v>
      </c>
      <c r="D32" s="135">
        <f t="shared" si="8"/>
        <v>1.7160286331836492</v>
      </c>
      <c r="E32" s="17">
        <v>1.5149999999999999</v>
      </c>
      <c r="F32" s="234">
        <f t="shared" si="9"/>
        <v>5.2118534529094249E-2</v>
      </c>
      <c r="G32" s="23" t="s">
        <v>121</v>
      </c>
      <c r="H32" s="18">
        <v>0</v>
      </c>
      <c r="I32" s="19">
        <v>0.65</v>
      </c>
      <c r="J32" s="145">
        <f t="shared" si="4"/>
        <v>28350</v>
      </c>
      <c r="K32" s="20">
        <v>0</v>
      </c>
      <c r="L32" s="147">
        <f t="shared" si="5"/>
        <v>0</v>
      </c>
      <c r="M32" s="147">
        <f t="shared" si="6"/>
        <v>0</v>
      </c>
      <c r="N32" s="148">
        <f t="shared" si="7"/>
        <v>5.2118534529094249E-2</v>
      </c>
      <c r="O32" s="82"/>
      <c r="P32" s="82"/>
    </row>
    <row r="33" spans="2:16">
      <c r="B33" s="133">
        <v>6</v>
      </c>
      <c r="C33" s="4" t="s">
        <v>104</v>
      </c>
      <c r="D33" s="135">
        <f t="shared" si="8"/>
        <v>1.8234425648428316</v>
      </c>
      <c r="E33" s="17">
        <v>0</v>
      </c>
      <c r="F33" s="234">
        <f t="shared" si="9"/>
        <v>0.10741393165918253</v>
      </c>
      <c r="G33" s="23" t="s">
        <v>122</v>
      </c>
      <c r="H33" s="18">
        <v>19</v>
      </c>
      <c r="I33" s="19">
        <v>0.95</v>
      </c>
      <c r="J33" s="145">
        <f t="shared" ref="J33:J34" si="10">(1-I33)*J34+J34</f>
        <v>21000</v>
      </c>
      <c r="K33" s="20">
        <v>3.9</v>
      </c>
      <c r="L33" s="147">
        <f t="shared" si="5"/>
        <v>2.0583333333333332E-2</v>
      </c>
      <c r="M33" s="147">
        <f t="shared" si="6"/>
        <v>1.0291666666666676E-3</v>
      </c>
      <c r="N33" s="148">
        <f t="shared" si="7"/>
        <v>8.5801431659182539E-2</v>
      </c>
      <c r="O33" s="82"/>
      <c r="P33" s="82"/>
    </row>
    <row r="34" spans="2:16">
      <c r="B34" s="133">
        <v>7</v>
      </c>
      <c r="C34" s="4"/>
      <c r="D34" s="135">
        <f t="shared" si="8"/>
        <v>1.8234425648428316</v>
      </c>
      <c r="E34" s="17">
        <v>0</v>
      </c>
      <c r="F34" s="234">
        <f t="shared" si="9"/>
        <v>0</v>
      </c>
      <c r="G34" s="23"/>
      <c r="H34" s="18">
        <v>0</v>
      </c>
      <c r="I34" s="19">
        <v>1</v>
      </c>
      <c r="J34" s="145">
        <f t="shared" si="10"/>
        <v>20000</v>
      </c>
      <c r="K34" s="20">
        <v>0</v>
      </c>
      <c r="L34" s="147">
        <f t="shared" si="5"/>
        <v>0</v>
      </c>
      <c r="M34" s="147">
        <f t="shared" si="6"/>
        <v>0</v>
      </c>
      <c r="N34" s="148">
        <f t="shared" si="7"/>
        <v>0</v>
      </c>
      <c r="O34" s="82"/>
      <c r="P34" s="82"/>
    </row>
    <row r="35" spans="2:16">
      <c r="B35" s="133">
        <v>8</v>
      </c>
      <c r="C35" s="22"/>
      <c r="D35" s="135">
        <f t="shared" si="8"/>
        <v>1.8234425648428316</v>
      </c>
      <c r="E35" s="17">
        <v>0</v>
      </c>
      <c r="F35" s="234">
        <f t="shared" si="9"/>
        <v>0</v>
      </c>
      <c r="G35" s="22"/>
      <c r="H35" s="18"/>
      <c r="I35" s="19">
        <v>1</v>
      </c>
      <c r="J35" s="145">
        <f t="shared" si="4"/>
        <v>20000</v>
      </c>
      <c r="K35" s="20">
        <v>0</v>
      </c>
      <c r="L35" s="147">
        <f t="shared" si="5"/>
        <v>0</v>
      </c>
      <c r="M35" s="147">
        <f t="shared" si="6"/>
        <v>0</v>
      </c>
      <c r="N35" s="148">
        <f t="shared" si="7"/>
        <v>0</v>
      </c>
      <c r="O35" s="82"/>
      <c r="P35" s="82"/>
    </row>
    <row r="36" spans="2:16">
      <c r="B36" s="133">
        <v>9</v>
      </c>
      <c r="C36" s="22"/>
      <c r="D36" s="135">
        <f t="shared" si="8"/>
        <v>1.8234425648428316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20000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1.8234425648428316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20000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1.8234425648428316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20000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1.8234425648428316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20000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1.8234425648428316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20000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1.8234425648428316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20000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1.8234425648428316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20000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1.8234425648428316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20000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1.8234425648428316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20000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1.8234425648428316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20000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1.8234425648428316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20000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1.8234425648428316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20000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1.8234425648428316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20000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1.8234425648428316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20000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1.8234425648428316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20000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1.8234425648428316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20000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1.8234425648428316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20000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1.8234425648428316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20000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1.8281300648428316</v>
      </c>
      <c r="E54" s="17">
        <f>0.03/6.4</f>
        <v>4.6874999999999998E-3</v>
      </c>
      <c r="F54" s="234">
        <f t="shared" si="9"/>
        <v>0</v>
      </c>
      <c r="G54" s="141">
        <f>SUM(E54:F54)</f>
        <v>4.6874999999999998E-3</v>
      </c>
      <c r="H54" s="18"/>
      <c r="I54" s="19">
        <v>1</v>
      </c>
      <c r="J54" s="145">
        <f t="shared" si="4"/>
        <v>20000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1.8285988148428316</v>
      </c>
      <c r="E55" s="17">
        <f>0.003/6.4</f>
        <v>4.6874999999999998E-4</v>
      </c>
      <c r="F55" s="234">
        <f t="shared" si="9"/>
        <v>0</v>
      </c>
      <c r="G55" s="141">
        <f>SUM(E55:F55)</f>
        <v>4.6874999999999998E-4</v>
      </c>
      <c r="H55" s="18"/>
      <c r="I55" s="19">
        <v>1</v>
      </c>
      <c r="J55" s="145">
        <f>(1-I55)*J57+J57</f>
        <v>20000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1.8285988148428316</v>
      </c>
      <c r="E56" s="135">
        <f>SUM(E27:E55)</f>
        <v>1.531501185</v>
      </c>
      <c r="F56" s="234">
        <f>SUM(F27:F55)</f>
        <v>0.29709762984283183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1.8364113148428316</v>
      </c>
      <c r="E57" s="135"/>
      <c r="F57" s="235">
        <f>0.05/6.4</f>
        <v>7.8125E-3</v>
      </c>
      <c r="G57" s="134"/>
      <c r="H57" s="134"/>
      <c r="I57" s="137" t="s">
        <v>46</v>
      </c>
      <c r="J57" s="162">
        <f>D14</f>
        <v>20000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7.0000000000000007E-2</v>
      </c>
      <c r="D58" s="135">
        <f>D57+F58</f>
        <v>1.9644132318818297</v>
      </c>
      <c r="E58" s="135"/>
      <c r="F58" s="234">
        <f>D55*C58</f>
        <v>0.12800191703899821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</v>
      </c>
      <c r="D59" s="135">
        <f>D58+F59</f>
        <v>2.1472731133661127</v>
      </c>
      <c r="E59" s="135"/>
      <c r="F59" s="234">
        <f>D56*C59</f>
        <v>0.18285988148428317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105</v>
      </c>
      <c r="D60" s="135">
        <f>D59+F60</f>
        <v>2.2072731133661128</v>
      </c>
      <c r="E60" s="135"/>
      <c r="F60" s="235">
        <v>0.06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2.2072731133661128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0.29709762984283183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0.15379166666666666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3.5610416666666698E-3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0.13974492150949847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1.531501185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102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0.58406052249999985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 ht="15.75" customHeight="1">
      <c r="B73" s="251" t="s">
        <v>128</v>
      </c>
      <c r="C73" s="252"/>
      <c r="D73" s="252"/>
      <c r="E73" s="252"/>
      <c r="F73" s="253"/>
    </row>
    <row r="74" spans="2:16" ht="15.75" customHeight="1">
      <c r="B74" s="254"/>
      <c r="C74" s="255"/>
      <c r="D74" s="255"/>
      <c r="E74" s="255"/>
      <c r="F74" s="256"/>
    </row>
    <row r="75" spans="2:16" ht="16.5" customHeight="1" thickBot="1">
      <c r="B75" s="257"/>
      <c r="C75" s="258"/>
      <c r="D75" s="258"/>
      <c r="E75" s="258"/>
      <c r="F75" s="259"/>
    </row>
  </sheetData>
  <mergeCells count="4">
    <mergeCell ref="B7:B9"/>
    <mergeCell ref="B12:B14"/>
    <mergeCell ref="B18:B24"/>
    <mergeCell ref="B73:F75"/>
  </mergeCells>
  <phoneticPr fontId="23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F7" r:id="rId1"/>
    <hyperlink ref="H9" r:id="rId2"/>
  </hyperlinks>
  <pageMargins left="0.70866141732283472" right="0.70866141732283472" top="0.74803149606299213" bottom="0.74803149606299213" header="0.31496062992125984" footer="0.31496062992125984"/>
  <pageSetup paperSize="9" scale="45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21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9.6640625" style="30" bestFit="1" customWidth="1"/>
    <col min="4" max="4" width="24.6640625" style="30" customWidth="1"/>
    <col min="5" max="5" width="22.5" style="30" customWidth="1"/>
    <col min="6" max="6" width="23" style="30" customWidth="1"/>
    <col min="7" max="7" width="25.5" style="30" customWidth="1"/>
    <col min="8" max="8" width="25" style="30" customWidth="1"/>
    <col min="9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" t="s">
        <v>91</v>
      </c>
      <c r="C2" s="31"/>
      <c r="D2" s="31"/>
      <c r="E2" s="31"/>
      <c r="F2" s="31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0</v>
      </c>
      <c r="C3" s="37"/>
      <c r="D3" s="37"/>
      <c r="E3" s="37"/>
      <c r="F3" s="37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37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43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47"/>
      <c r="G6" s="47"/>
      <c r="H6" s="47"/>
      <c r="N6" s="49"/>
    </row>
    <row r="7" spans="2:22" s="55" customFormat="1" ht="14.25" customHeight="1">
      <c r="B7" s="245" t="s">
        <v>3</v>
      </c>
      <c r="C7" s="50" t="s">
        <v>4</v>
      </c>
      <c r="D7" s="51" t="s">
        <v>59</v>
      </c>
      <c r="E7" s="52" t="s">
        <v>5</v>
      </c>
      <c r="F7" s="51" t="s">
        <v>61</v>
      </c>
      <c r="G7" s="53" t="s">
        <v>6</v>
      </c>
      <c r="H7" s="54" t="s">
        <v>63</v>
      </c>
      <c r="Q7" s="56"/>
      <c r="R7" s="56"/>
      <c r="S7" s="56"/>
      <c r="T7" s="56"/>
      <c r="U7" s="56"/>
      <c r="V7" s="56"/>
    </row>
    <row r="8" spans="2:22" s="62" customFormat="1" ht="14.25" customHeight="1">
      <c r="B8" s="246"/>
      <c r="C8" s="57" t="s">
        <v>7</v>
      </c>
      <c r="D8" s="58" t="s">
        <v>60</v>
      </c>
      <c r="E8" s="59" t="s">
        <v>8</v>
      </c>
      <c r="F8" s="58" t="s">
        <v>62</v>
      </c>
      <c r="G8" s="60" t="s">
        <v>9</v>
      </c>
      <c r="H8" s="61" t="s">
        <v>90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7"/>
      <c r="C9" s="65" t="s">
        <v>10</v>
      </c>
      <c r="D9" s="66" t="s">
        <v>60</v>
      </c>
      <c r="E9" s="67" t="s">
        <v>11</v>
      </c>
      <c r="F9" s="68">
        <v>42005</v>
      </c>
      <c r="G9" s="69" t="s">
        <v>12</v>
      </c>
      <c r="H9" s="70" t="s">
        <v>64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75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8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>
      <c r="B12" s="248" t="s">
        <v>13</v>
      </c>
      <c r="C12" s="84" t="s">
        <v>14</v>
      </c>
      <c r="D12" s="85">
        <v>123</v>
      </c>
      <c r="E12" s="52" t="s">
        <v>15</v>
      </c>
      <c r="F12" s="86">
        <v>8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9"/>
      <c r="C13" s="87" t="s">
        <v>16</v>
      </c>
      <c r="D13" s="88" t="s">
        <v>89</v>
      </c>
      <c r="E13" s="59" t="s">
        <v>17</v>
      </c>
      <c r="F13" s="89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50"/>
      <c r="C14" s="90" t="s">
        <v>18</v>
      </c>
      <c r="D14" s="91">
        <v>12345</v>
      </c>
      <c r="E14" s="67" t="s">
        <v>19</v>
      </c>
      <c r="F14" s="92">
        <v>365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73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29" hidden="1" thickBot="1">
      <c r="B16" s="99"/>
      <c r="C16" s="100"/>
      <c r="D16" s="95" t="str">
        <f>D18&amp;"/"&amp;D19&amp;"/"&amp;TEXT(D20,"$#,###.000")&amp;"/"&amp;TEXT(D22,"$#,###.000")</f>
        <v>Plastic Component A/TPE/ABS/PP…/$.200/$.020</v>
      </c>
      <c r="E16" s="101" t="str">
        <f t="shared" ref="E16:N16" si="0">E18&amp;"/"&amp;E19&amp;"/"&amp;TEXT(E20,"$#,###.000")&amp;"/"&amp;TEXT(E22,"$#,###.000")</f>
        <v>Alloy Component B/Alum/Steel/Copper…/$.400/$.080</v>
      </c>
      <c r="F16" s="102" t="str">
        <f t="shared" si="0"/>
        <v>Plastic Component C/TPE/ABS/PP…/$.600/$.180</v>
      </c>
      <c r="G16" s="103" t="str">
        <f t="shared" si="0"/>
        <v>Alloy Component D/Alum/Steel/Copper…/$.800/$.320</v>
      </c>
      <c r="H16" s="103" t="str">
        <f t="shared" si="0"/>
        <v>Fabric Component E/Nylon/Leather/Cotton/…/$1.000/$.500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IF(D22&gt;0,1,"")</f>
        <v>1</v>
      </c>
      <c r="E17" s="101">
        <f t="shared" ref="E17:N17" si="1">IF(E22&gt;0,1,"")</f>
        <v>1</v>
      </c>
      <c r="F17" s="102">
        <f t="shared" si="1"/>
        <v>1</v>
      </c>
      <c r="G17" s="103">
        <f t="shared" si="1"/>
        <v>1</v>
      </c>
      <c r="H17" s="103">
        <f t="shared" si="1"/>
        <v>1</v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8" t="s">
        <v>20</v>
      </c>
      <c r="C18" s="84" t="s">
        <v>21</v>
      </c>
      <c r="D18" s="106" t="s">
        <v>65</v>
      </c>
      <c r="E18" s="85" t="s">
        <v>66</v>
      </c>
      <c r="F18" s="85" t="s">
        <v>67</v>
      </c>
      <c r="G18" s="85" t="s">
        <v>71</v>
      </c>
      <c r="H18" s="85" t="s">
        <v>70</v>
      </c>
      <c r="I18" s="85"/>
      <c r="J18" s="85"/>
      <c r="K18" s="85"/>
      <c r="L18" s="85"/>
      <c r="M18" s="85"/>
      <c r="N18" s="107"/>
      <c r="O18" s="82"/>
      <c r="P18" s="82"/>
      <c r="Q18" s="82"/>
      <c r="R18" s="82"/>
    </row>
    <row r="19" spans="2:23">
      <c r="B19" s="249"/>
      <c r="C19" s="87" t="s">
        <v>22</v>
      </c>
      <c r="D19" s="108" t="s">
        <v>68</v>
      </c>
      <c r="E19" s="109" t="s">
        <v>69</v>
      </c>
      <c r="F19" s="109" t="s">
        <v>68</v>
      </c>
      <c r="G19" s="109" t="s">
        <v>69</v>
      </c>
      <c r="H19" s="109" t="s">
        <v>72</v>
      </c>
      <c r="I19" s="109"/>
      <c r="J19" s="109"/>
      <c r="K19" s="109"/>
      <c r="L19" s="109"/>
      <c r="M19" s="109"/>
      <c r="N19" s="110"/>
      <c r="O19" s="82"/>
      <c r="P19" s="82"/>
      <c r="Q19" s="82"/>
      <c r="R19" s="82"/>
    </row>
    <row r="20" spans="2:23">
      <c r="B20" s="249"/>
      <c r="C20" s="87" t="s">
        <v>23</v>
      </c>
      <c r="D20" s="111">
        <v>0.2</v>
      </c>
      <c r="E20" s="112">
        <v>0.4</v>
      </c>
      <c r="F20" s="112">
        <v>0.6</v>
      </c>
      <c r="G20" s="112">
        <v>0.8</v>
      </c>
      <c r="H20" s="112">
        <v>1</v>
      </c>
      <c r="I20" s="112"/>
      <c r="J20" s="112"/>
      <c r="K20" s="112"/>
      <c r="L20" s="112"/>
      <c r="M20" s="112"/>
      <c r="N20" s="113"/>
      <c r="O20" s="82"/>
      <c r="P20" s="82"/>
      <c r="Q20" s="82"/>
      <c r="R20" s="82"/>
    </row>
    <row r="21" spans="2:23">
      <c r="B21" s="249"/>
      <c r="C21" s="87" t="s">
        <v>24</v>
      </c>
      <c r="D21" s="108">
        <v>0.1</v>
      </c>
      <c r="E21" s="109">
        <v>0.2</v>
      </c>
      <c r="F21" s="109">
        <v>0.3</v>
      </c>
      <c r="G21" s="109">
        <v>0.4</v>
      </c>
      <c r="H21" s="109">
        <v>0.5</v>
      </c>
      <c r="I21" s="109"/>
      <c r="J21" s="109"/>
      <c r="K21" s="109"/>
      <c r="L21" s="109"/>
      <c r="M21" s="109"/>
      <c r="N21" s="110"/>
      <c r="O21" s="82"/>
      <c r="P21" s="82"/>
      <c r="Q21" s="82"/>
      <c r="R21" s="82"/>
    </row>
    <row r="22" spans="2:23">
      <c r="B22" s="249"/>
      <c r="C22" s="87" t="s">
        <v>25</v>
      </c>
      <c r="D22" s="114">
        <f t="shared" ref="D22:I22" si="2">D20*D21</f>
        <v>2.0000000000000004E-2</v>
      </c>
      <c r="E22" s="115">
        <f t="shared" si="2"/>
        <v>8.0000000000000016E-2</v>
      </c>
      <c r="F22" s="115">
        <f t="shared" si="2"/>
        <v>0.18</v>
      </c>
      <c r="G22" s="115">
        <f t="shared" si="2"/>
        <v>0.32000000000000006</v>
      </c>
      <c r="H22" s="115">
        <f t="shared" si="2"/>
        <v>0.5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9"/>
      <c r="C23" s="87" t="s">
        <v>26</v>
      </c>
      <c r="D23" s="108">
        <v>2</v>
      </c>
      <c r="E23" s="88">
        <v>2</v>
      </c>
      <c r="F23" s="88">
        <v>1</v>
      </c>
      <c r="G23" s="88">
        <v>1</v>
      </c>
      <c r="H23" s="88">
        <v>1</v>
      </c>
      <c r="I23" s="88"/>
      <c r="J23" s="88"/>
      <c r="K23" s="88"/>
      <c r="L23" s="88"/>
      <c r="M23" s="88"/>
      <c r="N23" s="117"/>
      <c r="O23" s="82"/>
      <c r="P23" s="82"/>
      <c r="Q23" s="82"/>
      <c r="R23" s="82"/>
    </row>
    <row r="24" spans="2:23" ht="15" thickBot="1">
      <c r="B24" s="250"/>
      <c r="C24" s="90" t="s">
        <v>27</v>
      </c>
      <c r="D24" s="118">
        <f t="shared" ref="D24:N24" si="3">(D22*D23)</f>
        <v>4.0000000000000008E-2</v>
      </c>
      <c r="E24" s="119">
        <f t="shared" si="3"/>
        <v>0.16000000000000003</v>
      </c>
      <c r="F24" s="119">
        <f t="shared" si="3"/>
        <v>0.18</v>
      </c>
      <c r="G24" s="119">
        <f t="shared" si="3"/>
        <v>0.32000000000000006</v>
      </c>
      <c r="H24" s="119">
        <f t="shared" si="3"/>
        <v>0.5</v>
      </c>
      <c r="I24" s="119">
        <f t="shared" si="3"/>
        <v>0</v>
      </c>
      <c r="J24" s="119">
        <f t="shared" si="3"/>
        <v>0</v>
      </c>
      <c r="K24" s="119">
        <f t="shared" si="3"/>
        <v>0</v>
      </c>
      <c r="L24" s="119">
        <f t="shared" si="3"/>
        <v>0</v>
      </c>
      <c r="M24" s="119">
        <f t="shared" si="3"/>
        <v>0</v>
      </c>
      <c r="N24" s="120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123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127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1.2000000000000002</v>
      </c>
      <c r="E27" s="136">
        <f>SUM(D24:J24)</f>
        <v>1.2000000000000002</v>
      </c>
      <c r="F27" s="137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58" t="s">
        <v>73</v>
      </c>
      <c r="D28" s="135">
        <f t="shared" ref="D28:D55" si="4">D27+E28+F28</f>
        <v>1.2400555555555557</v>
      </c>
      <c r="E28" s="140">
        <v>0</v>
      </c>
      <c r="F28" s="141">
        <f t="shared" ref="F28:F55" si="5">SUM(L28:N28)</f>
        <v>4.0055555555555573E-2</v>
      </c>
      <c r="G28" s="142" t="s">
        <v>74</v>
      </c>
      <c r="H28" s="143">
        <v>5</v>
      </c>
      <c r="I28" s="144">
        <v>0.99</v>
      </c>
      <c r="J28" s="145">
        <f t="shared" ref="J28:J54" si="6">(1-I28)*J29+J29</f>
        <v>14740.740730737951</v>
      </c>
      <c r="K28" s="146">
        <v>20</v>
      </c>
      <c r="L28" s="147">
        <f t="shared" ref="L28:L55" si="7">(K28/3600)*H28</f>
        <v>2.777777777777778E-2</v>
      </c>
      <c r="M28" s="147">
        <f t="shared" ref="M28:M55" si="8">(1-I28)*L28</f>
        <v>2.7777777777777805E-4</v>
      </c>
      <c r="N28" s="148">
        <f t="shared" ref="N28:N55" si="9">(1-I28)*D27</f>
        <v>1.2000000000000012E-2</v>
      </c>
      <c r="O28" s="82"/>
      <c r="P28" s="82"/>
    </row>
    <row r="29" spans="2:23">
      <c r="B29" s="133">
        <v>2</v>
      </c>
      <c r="C29" s="149" t="s">
        <v>75</v>
      </c>
      <c r="D29" s="135">
        <f t="shared" si="4"/>
        <v>1.3084900000000002</v>
      </c>
      <c r="E29" s="140">
        <v>0</v>
      </c>
      <c r="F29" s="141">
        <f t="shared" si="5"/>
        <v>6.8434444444444464E-2</v>
      </c>
      <c r="G29" s="142" t="s">
        <v>76</v>
      </c>
      <c r="H29" s="143">
        <v>7</v>
      </c>
      <c r="I29" s="144">
        <v>0.98</v>
      </c>
      <c r="J29" s="145">
        <f t="shared" si="6"/>
        <v>14594.792802710843</v>
      </c>
      <c r="K29" s="146">
        <v>22</v>
      </c>
      <c r="L29" s="147">
        <f t="shared" si="7"/>
        <v>4.2777777777777783E-2</v>
      </c>
      <c r="M29" s="147">
        <f t="shared" si="8"/>
        <v>8.5555555555555645E-4</v>
      </c>
      <c r="N29" s="148">
        <f t="shared" si="9"/>
        <v>2.4801111111111135E-2</v>
      </c>
      <c r="O29" s="82"/>
      <c r="P29" s="82"/>
    </row>
    <row r="30" spans="2:23">
      <c r="B30" s="133">
        <v>3</v>
      </c>
      <c r="C30" s="149" t="s">
        <v>77</v>
      </c>
      <c r="D30" s="135">
        <f t="shared" si="4"/>
        <v>1.362622477777778</v>
      </c>
      <c r="E30" s="140">
        <v>0</v>
      </c>
      <c r="F30" s="141">
        <f t="shared" si="5"/>
        <v>5.413247777777782E-2</v>
      </c>
      <c r="G30" s="142" t="s">
        <v>80</v>
      </c>
      <c r="H30" s="143">
        <v>10</v>
      </c>
      <c r="I30" s="144">
        <v>0.97</v>
      </c>
      <c r="J30" s="145">
        <f t="shared" si="6"/>
        <v>14308.620394814552</v>
      </c>
      <c r="K30" s="146">
        <v>5.2</v>
      </c>
      <c r="L30" s="147">
        <f t="shared" si="7"/>
        <v>1.4444444444444446E-2</v>
      </c>
      <c r="M30" s="147">
        <f t="shared" si="8"/>
        <v>4.3333333333333375E-4</v>
      </c>
      <c r="N30" s="148">
        <f t="shared" si="9"/>
        <v>3.9254700000000038E-2</v>
      </c>
      <c r="O30" s="82"/>
      <c r="P30" s="82"/>
    </row>
    <row r="31" spans="2:23">
      <c r="B31" s="133">
        <v>4</v>
      </c>
      <c r="C31" s="149" t="s">
        <v>78</v>
      </c>
      <c r="D31" s="135">
        <f t="shared" si="4"/>
        <v>1.4166487025555559</v>
      </c>
      <c r="E31" s="140">
        <v>0</v>
      </c>
      <c r="F31" s="141">
        <f t="shared" si="5"/>
        <v>5.4026224777777791E-2</v>
      </c>
      <c r="G31" s="142" t="s">
        <v>79</v>
      </c>
      <c r="H31" s="143">
        <v>8</v>
      </c>
      <c r="I31" s="144">
        <v>0.99</v>
      </c>
      <c r="J31" s="145">
        <f t="shared" si="6"/>
        <v>13891.864460985002</v>
      </c>
      <c r="K31" s="146">
        <v>18</v>
      </c>
      <c r="L31" s="147">
        <f t="shared" si="7"/>
        <v>0.04</v>
      </c>
      <c r="M31" s="147">
        <f t="shared" si="8"/>
        <v>4.0000000000000034E-4</v>
      </c>
      <c r="N31" s="148">
        <f t="shared" si="9"/>
        <v>1.3626224777777793E-2</v>
      </c>
      <c r="O31" s="82"/>
      <c r="P31" s="82"/>
    </row>
    <row r="32" spans="2:23">
      <c r="B32" s="133">
        <v>5</v>
      </c>
      <c r="C32" s="149" t="s">
        <v>77</v>
      </c>
      <c r="D32" s="135">
        <f t="shared" si="4"/>
        <v>1.4484901895811115</v>
      </c>
      <c r="E32" s="140">
        <v>0</v>
      </c>
      <c r="F32" s="141">
        <f t="shared" si="5"/>
        <v>3.1841487025555573E-2</v>
      </c>
      <c r="G32" s="142" t="s">
        <v>81</v>
      </c>
      <c r="H32" s="143">
        <v>9</v>
      </c>
      <c r="I32" s="144">
        <v>0.99</v>
      </c>
      <c r="J32" s="145">
        <f t="shared" si="6"/>
        <v>13754.321248500002</v>
      </c>
      <c r="K32" s="146">
        <v>7</v>
      </c>
      <c r="L32" s="147">
        <f t="shared" si="7"/>
        <v>1.7499999999999998E-2</v>
      </c>
      <c r="M32" s="147">
        <f t="shared" si="8"/>
        <v>1.7500000000000013E-4</v>
      </c>
      <c r="N32" s="148">
        <f t="shared" si="9"/>
        <v>1.4166487025555572E-2</v>
      </c>
      <c r="O32" s="82"/>
      <c r="P32" s="82"/>
    </row>
    <row r="33" spans="2:16">
      <c r="B33" s="133">
        <v>6</v>
      </c>
      <c r="C33" s="58" t="s">
        <v>82</v>
      </c>
      <c r="D33" s="135">
        <f t="shared" si="4"/>
        <v>1.4989933267060671</v>
      </c>
      <c r="E33" s="140">
        <v>0</v>
      </c>
      <c r="F33" s="141">
        <f t="shared" si="5"/>
        <v>5.0503137124955591E-2</v>
      </c>
      <c r="G33" s="150" t="s">
        <v>83</v>
      </c>
      <c r="H33" s="143">
        <v>4</v>
      </c>
      <c r="I33" s="144">
        <v>0.98</v>
      </c>
      <c r="J33" s="145">
        <f t="shared" si="6"/>
        <v>13618.139850000001</v>
      </c>
      <c r="K33" s="146">
        <v>19</v>
      </c>
      <c r="L33" s="147">
        <f t="shared" si="7"/>
        <v>2.1111111111111112E-2</v>
      </c>
      <c r="M33" s="147">
        <f t="shared" si="8"/>
        <v>4.2222222222222259E-4</v>
      </c>
      <c r="N33" s="148">
        <f t="shared" si="9"/>
        <v>2.8969803791622256E-2</v>
      </c>
      <c r="O33" s="82"/>
      <c r="P33" s="82"/>
    </row>
    <row r="34" spans="2:16">
      <c r="B34" s="133">
        <v>7</v>
      </c>
      <c r="C34" s="58" t="s">
        <v>84</v>
      </c>
      <c r="D34" s="135">
        <f t="shared" si="4"/>
        <v>1.5131599933727338</v>
      </c>
      <c r="E34" s="140">
        <v>0</v>
      </c>
      <c r="F34" s="141">
        <f t="shared" si="5"/>
        <v>1.4166666666666668E-2</v>
      </c>
      <c r="G34" s="150" t="s">
        <v>85</v>
      </c>
      <c r="H34" s="143">
        <v>3</v>
      </c>
      <c r="I34" s="144">
        <v>1</v>
      </c>
      <c r="J34" s="145">
        <f t="shared" si="6"/>
        <v>13351.1175</v>
      </c>
      <c r="K34" s="146">
        <v>17</v>
      </c>
      <c r="L34" s="147">
        <f t="shared" si="7"/>
        <v>1.4166666666666668E-2</v>
      </c>
      <c r="M34" s="147">
        <f t="shared" si="8"/>
        <v>0</v>
      </c>
      <c r="N34" s="148">
        <f t="shared" si="9"/>
        <v>0</v>
      </c>
      <c r="O34" s="82"/>
      <c r="P34" s="82"/>
    </row>
    <row r="35" spans="2:16">
      <c r="B35" s="133">
        <v>8</v>
      </c>
      <c r="C35" s="151" t="s">
        <v>86</v>
      </c>
      <c r="D35" s="135">
        <f t="shared" si="4"/>
        <v>1.5843047931739158</v>
      </c>
      <c r="E35" s="140">
        <v>0</v>
      </c>
      <c r="F35" s="141">
        <f t="shared" si="5"/>
        <v>7.1144799801182046E-2</v>
      </c>
      <c r="G35" s="151" t="s">
        <v>87</v>
      </c>
      <c r="H35" s="143">
        <v>15</v>
      </c>
      <c r="I35" s="144">
        <v>0.97</v>
      </c>
      <c r="J35" s="145">
        <f t="shared" si="6"/>
        <v>13351.1175</v>
      </c>
      <c r="K35" s="146">
        <v>6</v>
      </c>
      <c r="L35" s="147">
        <f t="shared" si="7"/>
        <v>2.5000000000000001E-2</v>
      </c>
      <c r="M35" s="147">
        <f t="shared" si="8"/>
        <v>7.5000000000000067E-4</v>
      </c>
      <c r="N35" s="148">
        <f t="shared" si="9"/>
        <v>4.5394799801182051E-2</v>
      </c>
      <c r="O35" s="82"/>
      <c r="P35" s="82"/>
    </row>
    <row r="36" spans="2:16">
      <c r="B36" s="133">
        <v>9</v>
      </c>
      <c r="C36" s="151" t="s">
        <v>77</v>
      </c>
      <c r="D36" s="135">
        <f t="shared" si="4"/>
        <v>1.6711033661659449</v>
      </c>
      <c r="E36" s="140">
        <v>0</v>
      </c>
      <c r="F36" s="141">
        <f t="shared" si="5"/>
        <v>8.6798572992029185E-2</v>
      </c>
      <c r="G36" s="151" t="s">
        <v>80</v>
      </c>
      <c r="H36" s="143">
        <v>5</v>
      </c>
      <c r="I36" s="144">
        <v>0.95</v>
      </c>
      <c r="J36" s="145">
        <f t="shared" si="6"/>
        <v>12962.25</v>
      </c>
      <c r="K36" s="146">
        <v>5.2</v>
      </c>
      <c r="L36" s="147">
        <f t="shared" si="7"/>
        <v>7.2222222222222228E-3</v>
      </c>
      <c r="M36" s="147">
        <f t="shared" si="8"/>
        <v>3.6111111111111147E-4</v>
      </c>
      <c r="N36" s="148">
        <f t="shared" si="9"/>
        <v>7.9215239658695855E-2</v>
      </c>
      <c r="O36" s="82"/>
      <c r="P36" s="82"/>
    </row>
    <row r="37" spans="2:16">
      <c r="B37" s="133">
        <v>10</v>
      </c>
      <c r="C37" s="58"/>
      <c r="D37" s="135">
        <f t="shared" si="4"/>
        <v>1.6711033661659449</v>
      </c>
      <c r="E37" s="140">
        <v>0</v>
      </c>
      <c r="F37" s="141">
        <f t="shared" si="5"/>
        <v>0</v>
      </c>
      <c r="G37" s="149"/>
      <c r="H37" s="143"/>
      <c r="I37" s="144">
        <v>1</v>
      </c>
      <c r="J37" s="145">
        <f t="shared" si="6"/>
        <v>12345</v>
      </c>
      <c r="K37" s="146">
        <v>0</v>
      </c>
      <c r="L37" s="147">
        <f t="shared" si="7"/>
        <v>0</v>
      </c>
      <c r="M37" s="147">
        <f t="shared" si="8"/>
        <v>0</v>
      </c>
      <c r="N37" s="148">
        <f t="shared" si="9"/>
        <v>0</v>
      </c>
      <c r="O37" s="82"/>
      <c r="P37" s="82"/>
    </row>
    <row r="38" spans="2:16">
      <c r="B38" s="133">
        <v>11</v>
      </c>
      <c r="C38" s="149"/>
      <c r="D38" s="135">
        <f t="shared" si="4"/>
        <v>1.6711033661659449</v>
      </c>
      <c r="E38" s="140">
        <v>0</v>
      </c>
      <c r="F38" s="141">
        <f t="shared" si="5"/>
        <v>0</v>
      </c>
      <c r="G38" s="149"/>
      <c r="H38" s="143"/>
      <c r="I38" s="144">
        <v>1</v>
      </c>
      <c r="J38" s="145">
        <f t="shared" si="6"/>
        <v>12345</v>
      </c>
      <c r="K38" s="146">
        <v>0</v>
      </c>
      <c r="L38" s="147">
        <f t="shared" si="7"/>
        <v>0</v>
      </c>
      <c r="M38" s="147">
        <f t="shared" si="8"/>
        <v>0</v>
      </c>
      <c r="N38" s="148">
        <f t="shared" si="9"/>
        <v>0</v>
      </c>
      <c r="O38" s="82"/>
      <c r="P38" s="82"/>
    </row>
    <row r="39" spans="2:16">
      <c r="B39" s="133">
        <v>12</v>
      </c>
      <c r="C39" s="152"/>
      <c r="D39" s="135">
        <f t="shared" si="4"/>
        <v>1.6711033661659449</v>
      </c>
      <c r="E39" s="140">
        <v>0</v>
      </c>
      <c r="F39" s="141">
        <f t="shared" si="5"/>
        <v>0</v>
      </c>
      <c r="G39" s="149"/>
      <c r="H39" s="143"/>
      <c r="I39" s="144">
        <v>1</v>
      </c>
      <c r="J39" s="145">
        <f t="shared" si="6"/>
        <v>12345</v>
      </c>
      <c r="K39" s="146">
        <v>0</v>
      </c>
      <c r="L39" s="147">
        <f t="shared" si="7"/>
        <v>0</v>
      </c>
      <c r="M39" s="147">
        <f t="shared" si="8"/>
        <v>0</v>
      </c>
      <c r="N39" s="148">
        <f t="shared" si="9"/>
        <v>0</v>
      </c>
      <c r="O39" s="82"/>
      <c r="P39" s="82"/>
    </row>
    <row r="40" spans="2:16">
      <c r="B40" s="133">
        <v>13</v>
      </c>
      <c r="C40" s="58"/>
      <c r="D40" s="135">
        <f t="shared" si="4"/>
        <v>1.6711033661659449</v>
      </c>
      <c r="E40" s="140">
        <v>0</v>
      </c>
      <c r="F40" s="141">
        <f t="shared" si="5"/>
        <v>0</v>
      </c>
      <c r="G40" s="149"/>
      <c r="H40" s="143"/>
      <c r="I40" s="144">
        <v>1</v>
      </c>
      <c r="J40" s="145">
        <f t="shared" si="6"/>
        <v>12345</v>
      </c>
      <c r="K40" s="146">
        <v>0</v>
      </c>
      <c r="L40" s="147">
        <f t="shared" si="7"/>
        <v>0</v>
      </c>
      <c r="M40" s="147">
        <f t="shared" si="8"/>
        <v>0</v>
      </c>
      <c r="N40" s="148">
        <f t="shared" si="9"/>
        <v>0</v>
      </c>
      <c r="O40" s="82"/>
      <c r="P40" s="82"/>
    </row>
    <row r="41" spans="2:16">
      <c r="B41" s="133">
        <v>14</v>
      </c>
      <c r="C41" s="58"/>
      <c r="D41" s="135">
        <f t="shared" si="4"/>
        <v>1.6711033661659449</v>
      </c>
      <c r="E41" s="140">
        <v>0</v>
      </c>
      <c r="F41" s="141">
        <f t="shared" si="5"/>
        <v>0</v>
      </c>
      <c r="G41" s="149"/>
      <c r="H41" s="143"/>
      <c r="I41" s="144">
        <v>1</v>
      </c>
      <c r="J41" s="145">
        <f t="shared" si="6"/>
        <v>12345</v>
      </c>
      <c r="K41" s="146">
        <v>0</v>
      </c>
      <c r="L41" s="147">
        <f t="shared" si="7"/>
        <v>0</v>
      </c>
      <c r="M41" s="147">
        <f t="shared" si="8"/>
        <v>0</v>
      </c>
      <c r="N41" s="148">
        <f t="shared" si="9"/>
        <v>0</v>
      </c>
      <c r="O41" s="82"/>
      <c r="P41" s="82"/>
    </row>
    <row r="42" spans="2:16">
      <c r="B42" s="133">
        <v>15</v>
      </c>
      <c r="C42" s="149"/>
      <c r="D42" s="135">
        <f t="shared" si="4"/>
        <v>1.6711033661659449</v>
      </c>
      <c r="E42" s="140">
        <v>0</v>
      </c>
      <c r="F42" s="141">
        <f t="shared" si="5"/>
        <v>0</v>
      </c>
      <c r="G42" s="152"/>
      <c r="H42" s="143"/>
      <c r="I42" s="144">
        <v>1</v>
      </c>
      <c r="J42" s="145">
        <f t="shared" si="6"/>
        <v>12345</v>
      </c>
      <c r="K42" s="146">
        <v>0</v>
      </c>
      <c r="L42" s="147">
        <f t="shared" si="7"/>
        <v>0</v>
      </c>
      <c r="M42" s="147">
        <f t="shared" si="8"/>
        <v>0</v>
      </c>
      <c r="N42" s="148">
        <f t="shared" si="9"/>
        <v>0</v>
      </c>
      <c r="O42" s="82"/>
      <c r="P42" s="82"/>
    </row>
    <row r="43" spans="2:16">
      <c r="B43" s="133">
        <v>16</v>
      </c>
      <c r="C43" s="149"/>
      <c r="D43" s="135">
        <f t="shared" si="4"/>
        <v>1.6711033661659449</v>
      </c>
      <c r="E43" s="140">
        <v>0</v>
      </c>
      <c r="F43" s="141">
        <f t="shared" si="5"/>
        <v>0</v>
      </c>
      <c r="G43" s="152"/>
      <c r="H43" s="143"/>
      <c r="I43" s="144">
        <v>1</v>
      </c>
      <c r="J43" s="145">
        <f t="shared" si="6"/>
        <v>12345</v>
      </c>
      <c r="K43" s="146">
        <v>0</v>
      </c>
      <c r="L43" s="147">
        <f t="shared" si="7"/>
        <v>0</v>
      </c>
      <c r="M43" s="147">
        <f t="shared" si="8"/>
        <v>0</v>
      </c>
      <c r="N43" s="148">
        <f t="shared" si="9"/>
        <v>0</v>
      </c>
      <c r="O43" s="82"/>
      <c r="P43" s="82"/>
    </row>
    <row r="44" spans="2:16">
      <c r="B44" s="133">
        <v>17</v>
      </c>
      <c r="C44" s="58"/>
      <c r="D44" s="135">
        <f t="shared" si="4"/>
        <v>1.6711033661659449</v>
      </c>
      <c r="E44" s="140">
        <v>0</v>
      </c>
      <c r="F44" s="141">
        <f t="shared" si="5"/>
        <v>0</v>
      </c>
      <c r="G44" s="152"/>
      <c r="H44" s="143"/>
      <c r="I44" s="144">
        <v>1</v>
      </c>
      <c r="J44" s="145">
        <f t="shared" si="6"/>
        <v>12345</v>
      </c>
      <c r="K44" s="146">
        <v>0</v>
      </c>
      <c r="L44" s="147">
        <f t="shared" si="7"/>
        <v>0</v>
      </c>
      <c r="M44" s="147">
        <f t="shared" si="8"/>
        <v>0</v>
      </c>
      <c r="N44" s="148">
        <f t="shared" si="9"/>
        <v>0</v>
      </c>
      <c r="O44" s="82"/>
      <c r="P44" s="82"/>
    </row>
    <row r="45" spans="2:16">
      <c r="B45" s="133">
        <v>18</v>
      </c>
      <c r="C45" s="153"/>
      <c r="D45" s="135">
        <f t="shared" si="4"/>
        <v>1.6711033661659449</v>
      </c>
      <c r="E45" s="140">
        <v>0</v>
      </c>
      <c r="F45" s="141">
        <f t="shared" si="5"/>
        <v>0</v>
      </c>
      <c r="G45" s="152"/>
      <c r="H45" s="143"/>
      <c r="I45" s="144">
        <v>1</v>
      </c>
      <c r="J45" s="145">
        <f t="shared" si="6"/>
        <v>12345</v>
      </c>
      <c r="K45" s="146">
        <v>0</v>
      </c>
      <c r="L45" s="147">
        <f t="shared" si="7"/>
        <v>0</v>
      </c>
      <c r="M45" s="147">
        <f t="shared" si="8"/>
        <v>0</v>
      </c>
      <c r="N45" s="148">
        <f t="shared" si="9"/>
        <v>0</v>
      </c>
      <c r="O45" s="82"/>
      <c r="P45" s="82"/>
    </row>
    <row r="46" spans="2:16">
      <c r="B46" s="133">
        <v>19</v>
      </c>
      <c r="C46" s="152"/>
      <c r="D46" s="135">
        <f t="shared" si="4"/>
        <v>1.6711033661659449</v>
      </c>
      <c r="E46" s="140">
        <v>0</v>
      </c>
      <c r="F46" s="141">
        <f t="shared" si="5"/>
        <v>0</v>
      </c>
      <c r="G46" s="152"/>
      <c r="H46" s="143"/>
      <c r="I46" s="144">
        <v>1</v>
      </c>
      <c r="J46" s="145">
        <f t="shared" si="6"/>
        <v>12345</v>
      </c>
      <c r="K46" s="146">
        <v>0</v>
      </c>
      <c r="L46" s="147">
        <f t="shared" si="7"/>
        <v>0</v>
      </c>
      <c r="M46" s="147">
        <f t="shared" si="8"/>
        <v>0</v>
      </c>
      <c r="N46" s="148">
        <f t="shared" si="9"/>
        <v>0</v>
      </c>
      <c r="O46" s="82"/>
      <c r="P46" s="82"/>
    </row>
    <row r="47" spans="2:16">
      <c r="B47" s="133">
        <v>20</v>
      </c>
      <c r="C47" s="152"/>
      <c r="D47" s="135">
        <f t="shared" si="4"/>
        <v>1.6711033661659449</v>
      </c>
      <c r="E47" s="140">
        <v>0</v>
      </c>
      <c r="F47" s="141">
        <f t="shared" si="5"/>
        <v>0</v>
      </c>
      <c r="G47" s="152"/>
      <c r="H47" s="143"/>
      <c r="I47" s="144">
        <v>1</v>
      </c>
      <c r="J47" s="145">
        <f t="shared" si="6"/>
        <v>12345</v>
      </c>
      <c r="K47" s="146">
        <v>0</v>
      </c>
      <c r="L47" s="147">
        <f t="shared" si="7"/>
        <v>0</v>
      </c>
      <c r="M47" s="147">
        <f t="shared" si="8"/>
        <v>0</v>
      </c>
      <c r="N47" s="148">
        <f t="shared" si="9"/>
        <v>0</v>
      </c>
      <c r="O47" s="82"/>
      <c r="P47" s="82"/>
    </row>
    <row r="48" spans="2:16">
      <c r="B48" s="133">
        <v>21</v>
      </c>
      <c r="C48" s="152"/>
      <c r="D48" s="135">
        <f t="shared" si="4"/>
        <v>1.6711033661659449</v>
      </c>
      <c r="E48" s="140">
        <v>0</v>
      </c>
      <c r="F48" s="141">
        <f t="shared" si="5"/>
        <v>0</v>
      </c>
      <c r="G48" s="152"/>
      <c r="H48" s="143"/>
      <c r="I48" s="144">
        <v>1</v>
      </c>
      <c r="J48" s="145">
        <f t="shared" si="6"/>
        <v>12345</v>
      </c>
      <c r="K48" s="146">
        <v>0</v>
      </c>
      <c r="L48" s="147">
        <f t="shared" si="7"/>
        <v>0</v>
      </c>
      <c r="M48" s="147">
        <f t="shared" si="8"/>
        <v>0</v>
      </c>
      <c r="N48" s="148">
        <f t="shared" si="9"/>
        <v>0</v>
      </c>
      <c r="O48" s="82"/>
      <c r="P48" s="82"/>
    </row>
    <row r="49" spans="2:16">
      <c r="B49" s="133">
        <v>22</v>
      </c>
      <c r="C49" s="152"/>
      <c r="D49" s="135">
        <f t="shared" si="4"/>
        <v>1.6711033661659449</v>
      </c>
      <c r="E49" s="140">
        <v>0</v>
      </c>
      <c r="F49" s="141">
        <f t="shared" si="5"/>
        <v>0</v>
      </c>
      <c r="G49" s="152"/>
      <c r="H49" s="143"/>
      <c r="I49" s="144">
        <v>1</v>
      </c>
      <c r="J49" s="145">
        <f t="shared" si="6"/>
        <v>12345</v>
      </c>
      <c r="K49" s="146">
        <v>0</v>
      </c>
      <c r="L49" s="147">
        <f t="shared" si="7"/>
        <v>0</v>
      </c>
      <c r="M49" s="147">
        <f t="shared" si="8"/>
        <v>0</v>
      </c>
      <c r="N49" s="148">
        <f t="shared" si="9"/>
        <v>0</v>
      </c>
      <c r="O49" s="82"/>
      <c r="P49" s="82"/>
    </row>
    <row r="50" spans="2:16">
      <c r="B50" s="133">
        <v>23</v>
      </c>
      <c r="C50" s="152"/>
      <c r="D50" s="135">
        <f t="shared" si="4"/>
        <v>1.6711033661659449</v>
      </c>
      <c r="E50" s="140">
        <v>0</v>
      </c>
      <c r="F50" s="141">
        <f t="shared" si="5"/>
        <v>0</v>
      </c>
      <c r="G50" s="152"/>
      <c r="H50" s="143"/>
      <c r="I50" s="144">
        <v>1</v>
      </c>
      <c r="J50" s="145">
        <f t="shared" si="6"/>
        <v>12345</v>
      </c>
      <c r="K50" s="146">
        <v>0</v>
      </c>
      <c r="L50" s="147">
        <f t="shared" si="7"/>
        <v>0</v>
      </c>
      <c r="M50" s="147">
        <f t="shared" si="8"/>
        <v>0</v>
      </c>
      <c r="N50" s="148">
        <f t="shared" si="9"/>
        <v>0</v>
      </c>
      <c r="O50" s="82"/>
      <c r="P50" s="82"/>
    </row>
    <row r="51" spans="2:16">
      <c r="B51" s="133">
        <v>24</v>
      </c>
      <c r="C51" s="58"/>
      <c r="D51" s="135">
        <f t="shared" si="4"/>
        <v>1.6711033661659449</v>
      </c>
      <c r="E51" s="140">
        <v>0</v>
      </c>
      <c r="F51" s="141">
        <f t="shared" si="5"/>
        <v>0</v>
      </c>
      <c r="G51" s="152"/>
      <c r="H51" s="143"/>
      <c r="I51" s="144">
        <v>1</v>
      </c>
      <c r="J51" s="145">
        <f t="shared" si="6"/>
        <v>12345</v>
      </c>
      <c r="K51" s="146">
        <v>0</v>
      </c>
      <c r="L51" s="147">
        <f t="shared" si="7"/>
        <v>0</v>
      </c>
      <c r="M51" s="147">
        <f t="shared" si="8"/>
        <v>0</v>
      </c>
      <c r="N51" s="148">
        <f t="shared" si="9"/>
        <v>0</v>
      </c>
      <c r="O51" s="82"/>
      <c r="P51" s="82"/>
    </row>
    <row r="52" spans="2:16">
      <c r="B52" s="133">
        <v>25</v>
      </c>
      <c r="C52" s="58"/>
      <c r="D52" s="135">
        <f t="shared" si="4"/>
        <v>1.6711033661659449</v>
      </c>
      <c r="E52" s="140">
        <v>0</v>
      </c>
      <c r="F52" s="141">
        <f t="shared" si="5"/>
        <v>0</v>
      </c>
      <c r="G52" s="152"/>
      <c r="H52" s="143"/>
      <c r="I52" s="144">
        <v>1</v>
      </c>
      <c r="J52" s="145">
        <f t="shared" si="6"/>
        <v>12345</v>
      </c>
      <c r="K52" s="146">
        <v>0</v>
      </c>
      <c r="L52" s="147">
        <f t="shared" si="7"/>
        <v>0</v>
      </c>
      <c r="M52" s="147">
        <f t="shared" si="8"/>
        <v>0</v>
      </c>
      <c r="N52" s="148">
        <f t="shared" si="9"/>
        <v>0</v>
      </c>
      <c r="O52" s="82"/>
      <c r="P52" s="82"/>
    </row>
    <row r="53" spans="2:16">
      <c r="B53" s="133">
        <v>26</v>
      </c>
      <c r="C53" s="58"/>
      <c r="D53" s="135">
        <f t="shared" si="4"/>
        <v>1.6711033661659449</v>
      </c>
      <c r="E53" s="140">
        <v>0</v>
      </c>
      <c r="F53" s="141">
        <f t="shared" si="5"/>
        <v>0</v>
      </c>
      <c r="G53" s="152"/>
      <c r="H53" s="143"/>
      <c r="I53" s="144">
        <v>1</v>
      </c>
      <c r="J53" s="145">
        <f t="shared" si="6"/>
        <v>12345</v>
      </c>
      <c r="K53" s="146">
        <v>0</v>
      </c>
      <c r="L53" s="147">
        <f t="shared" si="7"/>
        <v>0</v>
      </c>
      <c r="M53" s="147">
        <f t="shared" si="8"/>
        <v>0</v>
      </c>
      <c r="N53" s="148">
        <f t="shared" si="9"/>
        <v>0</v>
      </c>
      <c r="O53" s="82"/>
      <c r="P53" s="82"/>
    </row>
    <row r="54" spans="2:16">
      <c r="B54" s="154" t="s">
        <v>42</v>
      </c>
      <c r="C54" s="155"/>
      <c r="D54" s="135">
        <f t="shared" si="4"/>
        <v>1.7754366994992783</v>
      </c>
      <c r="E54" s="140">
        <v>0.1</v>
      </c>
      <c r="F54" s="141">
        <f t="shared" si="5"/>
        <v>4.333333333333334E-3</v>
      </c>
      <c r="G54" s="141">
        <f>SUM(E54:F54)</f>
        <v>0.10433333333333333</v>
      </c>
      <c r="H54" s="143">
        <v>3</v>
      </c>
      <c r="I54" s="144">
        <v>1</v>
      </c>
      <c r="J54" s="145">
        <f t="shared" si="6"/>
        <v>12345</v>
      </c>
      <c r="K54" s="146">
        <v>5.2</v>
      </c>
      <c r="L54" s="147">
        <f t="shared" si="7"/>
        <v>4.333333333333334E-3</v>
      </c>
      <c r="M54" s="147">
        <f t="shared" si="8"/>
        <v>0</v>
      </c>
      <c r="N54" s="148">
        <f t="shared" si="9"/>
        <v>0</v>
      </c>
      <c r="O54" s="82"/>
      <c r="P54" s="82"/>
    </row>
    <row r="55" spans="2:16">
      <c r="B55" s="154" t="s">
        <v>43</v>
      </c>
      <c r="C55" s="155"/>
      <c r="D55" s="135">
        <f t="shared" si="4"/>
        <v>1.9326589217215004</v>
      </c>
      <c r="E55" s="140">
        <v>0.15</v>
      </c>
      <c r="F55" s="141">
        <f t="shared" si="5"/>
        <v>7.2222222222222228E-3</v>
      </c>
      <c r="G55" s="141">
        <f>SUM(E55:F55)</f>
        <v>0.15722222222222221</v>
      </c>
      <c r="H55" s="143">
        <v>5</v>
      </c>
      <c r="I55" s="144">
        <v>1</v>
      </c>
      <c r="J55" s="145">
        <f>(1-I55)*J57+J57</f>
        <v>12345</v>
      </c>
      <c r="K55" s="146">
        <v>5.2</v>
      </c>
      <c r="L55" s="147">
        <f t="shared" si="7"/>
        <v>7.2222222222222228E-3</v>
      </c>
      <c r="M55" s="147">
        <f t="shared" si="8"/>
        <v>0</v>
      </c>
      <c r="N55" s="148">
        <f t="shared" si="9"/>
        <v>0</v>
      </c>
      <c r="O55" s="82"/>
      <c r="P55" s="82"/>
    </row>
    <row r="56" spans="2:16">
      <c r="B56" s="154" t="s">
        <v>44</v>
      </c>
      <c r="C56" s="156"/>
      <c r="D56" s="135">
        <f>D55</f>
        <v>1.9326589217215004</v>
      </c>
      <c r="E56" s="135">
        <f>SUM(E27:E55)</f>
        <v>1.4500000000000002</v>
      </c>
      <c r="F56" s="157">
        <f>SUM(F27:F55)</f>
        <v>0.48265892172150032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2.4326589217215004</v>
      </c>
      <c r="E57" s="135"/>
      <c r="F57" s="161">
        <v>0.5</v>
      </c>
      <c r="G57" s="134"/>
      <c r="H57" s="134"/>
      <c r="I57" s="137" t="s">
        <v>46</v>
      </c>
      <c r="J57" s="162">
        <f>D14</f>
        <v>12345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163">
        <v>0.03</v>
      </c>
      <c r="D58" s="135">
        <f>D57+F58</f>
        <v>2.4906386893731454</v>
      </c>
      <c r="E58" s="135">
        <v>0</v>
      </c>
      <c r="F58" s="164">
        <f>D55*C58</f>
        <v>5.797976765164501E-2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163">
        <v>0.03</v>
      </c>
      <c r="D59" s="135">
        <f>D58+F59</f>
        <v>2.5486184570247903</v>
      </c>
      <c r="E59" s="135">
        <v>0</v>
      </c>
      <c r="F59" s="164">
        <f>D56*C59</f>
        <v>5.797976765164501E-2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167" t="s">
        <v>50</v>
      </c>
      <c r="D60" s="135">
        <f>D59+F60</f>
        <v>2.5486184570247903</v>
      </c>
      <c r="E60" s="135"/>
      <c r="F60" s="161">
        <v>0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ht="15" thickBot="1">
      <c r="B61" s="170" t="s">
        <v>51</v>
      </c>
      <c r="C61" s="171"/>
      <c r="D61" s="172">
        <f>D60</f>
        <v>2.5486184570247903</v>
      </c>
      <c r="E61" s="173"/>
      <c r="F61" s="173"/>
      <c r="G61" s="174"/>
      <c r="H61" s="174"/>
      <c r="I61" s="174"/>
      <c r="J61" s="175"/>
      <c r="K61" s="174"/>
      <c r="L61" s="174"/>
      <c r="M61" s="174"/>
      <c r="N61" s="176"/>
      <c r="O61" s="82"/>
      <c r="P61" s="82"/>
    </row>
    <row r="62" spans="2:16">
      <c r="B62" s="177"/>
      <c r="C62" s="178"/>
      <c r="D62" s="179"/>
      <c r="E62" s="180"/>
      <c r="F62" s="180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0.48265892172150032</v>
      </c>
      <c r="E63" s="137"/>
      <c r="F63" s="166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0.22155555555555551</v>
      </c>
      <c r="E64" s="137"/>
      <c r="F64" s="166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3.6750000000000038E-3</v>
      </c>
      <c r="E65" s="137"/>
      <c r="F65" s="166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0.25742836616594472</v>
      </c>
      <c r="E66" s="137"/>
      <c r="F66" s="166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1.4500000000000002</v>
      </c>
      <c r="E67" s="166"/>
      <c r="F67" s="141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166"/>
      <c r="G69" s="166"/>
      <c r="H69" s="193">
        <f>SUM(H28:H55)</f>
        <v>74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195"/>
      <c r="G70" s="195"/>
      <c r="H70" s="195"/>
      <c r="I70" s="196">
        <f>PRODUCT(I28:I55)</f>
        <v>0.83296127078425786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60" t="s">
        <v>88</v>
      </c>
      <c r="C73" s="261"/>
      <c r="D73" s="261"/>
      <c r="E73" s="261"/>
      <c r="F73" s="262"/>
    </row>
    <row r="74" spans="2:16">
      <c r="B74" s="263"/>
      <c r="C74" s="264"/>
      <c r="D74" s="264"/>
      <c r="E74" s="264"/>
      <c r="F74" s="265"/>
    </row>
    <row r="75" spans="2:16" ht="15" thickBot="1">
      <c r="B75" s="266"/>
      <c r="C75" s="267"/>
      <c r="D75" s="267"/>
      <c r="E75" s="267"/>
      <c r="F75" s="268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handle_1</vt:lpstr>
      <vt:lpstr>Zinc_tessera-1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cp:lastPrinted>2016-05-20T07:41:00Z</cp:lastPrinted>
  <dcterms:created xsi:type="dcterms:W3CDTF">2015-06-25T13:05:46Z</dcterms:created>
  <dcterms:modified xsi:type="dcterms:W3CDTF">2016-05-20T14:35:19Z</dcterms:modified>
</cp:coreProperties>
</file>