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codeName="ThisWorkbook" autoCompressPictures="0"/>
  <bookViews>
    <workbookView xWindow="0" yWindow="240" windowWidth="28740" windowHeight="15200" activeTab="1"/>
  </bookViews>
  <sheets>
    <sheet name="MP product" sheetId="7" r:id="rId1"/>
    <sheet name="75k unit tool sample" sheetId="10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0" l="1"/>
  <c r="H21" i="10"/>
  <c r="L18" i="10"/>
  <c r="J48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L46" i="10"/>
  <c r="L45" i="10"/>
  <c r="M45" i="10"/>
  <c r="L44" i="10"/>
  <c r="L43" i="10"/>
  <c r="M43" i="10"/>
  <c r="L42" i="10"/>
  <c r="L41" i="10"/>
  <c r="M41" i="10"/>
  <c r="L40" i="10"/>
  <c r="L39" i="10"/>
  <c r="M39" i="10"/>
  <c r="L38" i="10"/>
  <c r="L37" i="10"/>
  <c r="M37" i="10"/>
  <c r="L36" i="10"/>
  <c r="L35" i="10"/>
  <c r="M35" i="10"/>
  <c r="L34" i="10"/>
  <c r="L33" i="10"/>
  <c r="M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7" i="10"/>
  <c r="L16" i="10"/>
  <c r="K12" i="10"/>
  <c r="J12" i="10"/>
  <c r="I12" i="10"/>
  <c r="H12" i="10"/>
  <c r="G12" i="10"/>
  <c r="N22" i="10"/>
  <c r="F12" i="10"/>
  <c r="N21" i="10"/>
  <c r="E12" i="10"/>
  <c r="D12" i="10"/>
  <c r="M25" i="10"/>
  <c r="M31" i="10"/>
  <c r="E15" i="10"/>
  <c r="N25" i="10"/>
  <c r="N20" i="10"/>
  <c r="J23" i="10"/>
  <c r="J22" i="10"/>
  <c r="J20" i="10"/>
  <c r="M21" i="10"/>
  <c r="F21" i="10"/>
  <c r="D15" i="10"/>
  <c r="E47" i="10"/>
  <c r="N18" i="10"/>
  <c r="N23" i="10"/>
  <c r="M16" i="10"/>
  <c r="N16" i="10"/>
  <c r="F16" i="10"/>
  <c r="N17" i="10"/>
  <c r="M19" i="10"/>
  <c r="M22" i="10"/>
  <c r="F22" i="10"/>
  <c r="M24" i="10"/>
  <c r="M26" i="10"/>
  <c r="N26" i="10"/>
  <c r="F26" i="10"/>
  <c r="M28" i="10"/>
  <c r="M30" i="10"/>
  <c r="M32" i="10"/>
  <c r="M34" i="10"/>
  <c r="M36" i="10"/>
  <c r="M38" i="10"/>
  <c r="M40" i="10"/>
  <c r="M42" i="10"/>
  <c r="M44" i="10"/>
  <c r="M46" i="10"/>
  <c r="M17" i="10"/>
  <c r="N27" i="10"/>
  <c r="N31" i="10"/>
  <c r="N19" i="10"/>
  <c r="N24" i="10"/>
  <c r="N28" i="10"/>
  <c r="N30" i="10"/>
  <c r="N32" i="10"/>
  <c r="N29" i="10"/>
  <c r="M18" i="10"/>
  <c r="M20" i="10"/>
  <c r="F20" i="10"/>
  <c r="M23" i="10"/>
  <c r="F23" i="10"/>
  <c r="M27" i="10"/>
  <c r="M29" i="10"/>
  <c r="F29" i="10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F30" i="10"/>
  <c r="F25" i="10"/>
  <c r="F31" i="10"/>
  <c r="F18" i="10"/>
  <c r="F28" i="10"/>
  <c r="F24" i="10"/>
  <c r="F17" i="10"/>
  <c r="F32" i="10"/>
  <c r="F19" i="10"/>
  <c r="J19" i="10"/>
  <c r="J21" i="10"/>
  <c r="J18" i="10"/>
  <c r="D16" i="10"/>
  <c r="F27" i="10"/>
  <c r="H17" i="7"/>
  <c r="H18" i="7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J16" i="10"/>
  <c r="J17" i="10"/>
  <c r="N33" i="10"/>
  <c r="F33" i="10"/>
  <c r="D33" i="10"/>
  <c r="J12" i="7"/>
  <c r="L26" i="7"/>
  <c r="L23" i="7"/>
  <c r="D12" i="7"/>
  <c r="E12" i="7"/>
  <c r="F12" i="7"/>
  <c r="G12" i="7"/>
  <c r="N22" i="7"/>
  <c r="H12" i="7"/>
  <c r="I12" i="7"/>
  <c r="K12" i="7"/>
  <c r="H16" i="7"/>
  <c r="L16" i="7"/>
  <c r="L17" i="7"/>
  <c r="L18" i="7"/>
  <c r="L19" i="7"/>
  <c r="L20" i="7"/>
  <c r="H21" i="7"/>
  <c r="L21" i="7"/>
  <c r="N21" i="7"/>
  <c r="H22" i="7"/>
  <c r="L22" i="7"/>
  <c r="M22" i="7"/>
  <c r="L24" i="7"/>
  <c r="L25" i="7"/>
  <c r="L27" i="7"/>
  <c r="L28" i="7"/>
  <c r="L29" i="7"/>
  <c r="L30" i="7"/>
  <c r="L31" i="7"/>
  <c r="L32" i="7"/>
  <c r="L33" i="7"/>
  <c r="M33" i="7"/>
  <c r="L45" i="7"/>
  <c r="M45" i="7"/>
  <c r="L46" i="7"/>
  <c r="M46" i="7"/>
  <c r="J48" i="7"/>
  <c r="J46" i="7"/>
  <c r="J45" i="7"/>
  <c r="N34" i="10"/>
  <c r="F34" i="10"/>
  <c r="D34" i="10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0" i="7"/>
  <c r="F22" i="7"/>
  <c r="M21" i="7"/>
  <c r="F21" i="7"/>
  <c r="M28" i="7"/>
  <c r="M24" i="7"/>
  <c r="M17" i="7"/>
  <c r="M29" i="7"/>
  <c r="M31" i="7"/>
  <c r="M32" i="7"/>
  <c r="M27" i="7"/>
  <c r="M23" i="7"/>
  <c r="M16" i="7"/>
  <c r="M19" i="7"/>
  <c r="M26" i="7"/>
  <c r="M30" i="7"/>
  <c r="M18" i="7"/>
  <c r="M20" i="7"/>
  <c r="M25" i="7"/>
  <c r="N25" i="7"/>
  <c r="N27" i="7"/>
  <c r="N31" i="7"/>
  <c r="N16" i="7"/>
  <c r="N28" i="7"/>
  <c r="N18" i="7"/>
  <c r="F18" i="7"/>
  <c r="N30" i="7"/>
  <c r="E15" i="7"/>
  <c r="N23" i="7"/>
  <c r="F23" i="7"/>
  <c r="N20" i="7"/>
  <c r="N17" i="7"/>
  <c r="N26" i="7"/>
  <c r="N32" i="7"/>
  <c r="N19" i="7"/>
  <c r="N29" i="7"/>
  <c r="N24" i="7"/>
  <c r="N35" i="10"/>
  <c r="F35" i="10"/>
  <c r="D35" i="10"/>
  <c r="J23" i="7"/>
  <c r="J22" i="7"/>
  <c r="F16" i="7"/>
  <c r="F25" i="7"/>
  <c r="F24" i="7"/>
  <c r="F32" i="7"/>
  <c r="F28" i="7"/>
  <c r="F26" i="7"/>
  <c r="F29" i="7"/>
  <c r="F30" i="7"/>
  <c r="F31" i="7"/>
  <c r="J21" i="7"/>
  <c r="J18" i="7"/>
  <c r="J19" i="7"/>
  <c r="F17" i="7"/>
  <c r="F19" i="7"/>
  <c r="F20" i="7"/>
  <c r="F27" i="7"/>
  <c r="E47" i="7"/>
  <c r="D15" i="7"/>
  <c r="N36" i="10"/>
  <c r="F36" i="10"/>
  <c r="D36" i="10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N33" i="7"/>
  <c r="F33" i="7"/>
  <c r="J17" i="7"/>
  <c r="J16" i="7"/>
  <c r="N37" i="10"/>
  <c r="F37" i="10"/>
  <c r="D37" i="10"/>
  <c r="D33" i="7"/>
  <c r="N38" i="10"/>
  <c r="F38" i="10"/>
  <c r="D38" i="10"/>
  <c r="N34" i="7"/>
  <c r="F34" i="7"/>
  <c r="D34" i="7"/>
  <c r="N39" i="10"/>
  <c r="F39" i="10"/>
  <c r="D39" i="10"/>
  <c r="N35" i="7"/>
  <c r="F35" i="7"/>
  <c r="D35" i="7"/>
  <c r="N40" i="10"/>
  <c r="F40" i="10"/>
  <c r="D40" i="10"/>
  <c r="N36" i="7"/>
  <c r="F36" i="7"/>
  <c r="D36" i="7"/>
  <c r="N41" i="10"/>
  <c r="F41" i="10"/>
  <c r="D41" i="10"/>
  <c r="N37" i="7"/>
  <c r="F37" i="7"/>
  <c r="D37" i="7"/>
  <c r="N42" i="10"/>
  <c r="F42" i="10"/>
  <c r="D42" i="10"/>
  <c r="N38" i="7"/>
  <c r="F38" i="7"/>
  <c r="D38" i="7"/>
  <c r="N43" i="10"/>
  <c r="F43" i="10"/>
  <c r="D43" i="10"/>
  <c r="N39" i="7"/>
  <c r="F39" i="7"/>
  <c r="D39" i="7"/>
  <c r="N44" i="10"/>
  <c r="F44" i="10"/>
  <c r="D44" i="10"/>
  <c r="N40" i="7"/>
  <c r="F40" i="7"/>
  <c r="D40" i="7"/>
  <c r="N45" i="10"/>
  <c r="F45" i="10"/>
  <c r="D45" i="10"/>
  <c r="N41" i="7"/>
  <c r="F41" i="7"/>
  <c r="D41" i="7"/>
  <c r="N46" i="10"/>
  <c r="F46" i="10"/>
  <c r="F47" i="10"/>
  <c r="N42" i="7"/>
  <c r="F42" i="7"/>
  <c r="D42" i="7"/>
  <c r="D46" i="10"/>
  <c r="D47" i="10"/>
  <c r="D48" i="10"/>
  <c r="N43" i="7"/>
  <c r="F43" i="7"/>
  <c r="D43" i="7"/>
  <c r="F49" i="10"/>
  <c r="D49" i="10"/>
  <c r="N44" i="7"/>
  <c r="F44" i="7"/>
  <c r="D44" i="7"/>
  <c r="F50" i="10"/>
  <c r="D50" i="10"/>
  <c r="N45" i="7"/>
  <c r="F45" i="7"/>
  <c r="D45" i="7"/>
  <c r="F51" i="10"/>
  <c r="D51" i="10"/>
  <c r="D52" i="10"/>
  <c r="D53" i="10"/>
  <c r="N46" i="7"/>
  <c r="F46" i="7"/>
  <c r="F47" i="7"/>
  <c r="D46" i="7"/>
  <c r="D47" i="7"/>
  <c r="D48" i="7"/>
  <c r="F49" i="7"/>
  <c r="D49" i="7"/>
  <c r="F50" i="7"/>
  <c r="D50" i="7"/>
  <c r="F51" i="7"/>
  <c r="D51" i="7"/>
  <c r="D52" i="7"/>
  <c r="D53" i="7"/>
</calcChain>
</file>

<file path=xl/comments1.xml><?xml version="1.0" encoding="utf-8"?>
<comments xmlns="http://schemas.openxmlformats.org/spreadsheetml/2006/main">
  <authors>
    <author>Zhong,Doreen</author>
  </authors>
  <commentList>
    <comment ref="H9" authorId="0">
      <text>
        <r>
          <rPr>
            <sz val="9"/>
            <color indexed="81"/>
            <rFont val="Tahoma"/>
            <family val="2"/>
          </rPr>
          <t xml:space="preserve">customer consigned part, price is not available yet
</t>
        </r>
      </text>
    </comment>
    <comment ref="I9" authorId="0">
      <text>
        <r>
          <rPr>
            <sz val="9"/>
            <color indexed="81"/>
            <rFont val="Tahoma"/>
            <family val="2"/>
          </rPr>
          <t xml:space="preserve">customer consigned part, price is not available yet
</t>
        </r>
      </text>
    </comment>
  </commentList>
</comments>
</file>

<file path=xl/comments2.xml><?xml version="1.0" encoding="utf-8"?>
<comments xmlns="http://schemas.openxmlformats.org/spreadsheetml/2006/main">
  <authors>
    <author>Zhong,Doreen</author>
  </authors>
  <commentList>
    <comment ref="H9" authorId="0">
      <text>
        <r>
          <rPr>
            <sz val="9"/>
            <color indexed="81"/>
            <rFont val="Tahoma"/>
            <family val="2"/>
          </rPr>
          <t xml:space="preserve">customer consigned part, price is not available yet
</t>
        </r>
      </text>
    </comment>
    <comment ref="I9" authorId="0">
      <text>
        <r>
          <rPr>
            <sz val="9"/>
            <color indexed="81"/>
            <rFont val="Tahoma"/>
            <family val="2"/>
          </rPr>
          <t xml:space="preserve">customer consigned part, price is not available yet
</t>
        </r>
      </text>
    </comment>
  </commentList>
</comments>
</file>

<file path=xl/sharedStrings.xml><?xml version="1.0" encoding="utf-8"?>
<sst xmlns="http://schemas.openxmlformats.org/spreadsheetml/2006/main" count="185" uniqueCount="99">
  <si>
    <t>Material cost</t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</si>
  <si>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</si>
  <si>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</si>
  <si>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</si>
  <si>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</si>
  <si>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</si>
  <si>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</si>
  <si>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</si>
  <si>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</si>
  <si>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</si>
  <si>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</si>
  <si>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</si>
  <si>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Profit (XX%)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</si>
  <si>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</si>
  <si>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</si>
  <si>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</si>
  <si>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</si>
  <si>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</si>
  <si>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</si>
  <si>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</si>
  <si>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</si>
  <si>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</si>
  <si>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</si>
  <si>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</si>
  <si>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</si>
  <si>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</si>
  <si>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</si>
  <si>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</si>
  <si>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</si>
  <si>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</si>
  <si>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</si>
  <si>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4" type="noConversion"/>
  </si>
  <si>
    <t>Overhead (XX%)</t>
    <phoneticPr fontId="4" type="noConversion"/>
  </si>
  <si>
    <t>G&amp;A (XX%)</t>
    <phoneticPr fontId="4" type="noConversion"/>
  </si>
  <si>
    <t>Operation</t>
    <phoneticPr fontId="0" type="noConversion"/>
  </si>
  <si>
    <t>Efficiency</t>
    <phoneticPr fontId="4" type="noConversion"/>
  </si>
  <si>
    <t>Other (Consigned mat'l hanlding cost 3%)</t>
    <phoneticPr fontId="4" type="noConversion"/>
  </si>
  <si>
    <t>Woman 3 Blade Handle</t>
    <phoneticPr fontId="4" type="noConversion"/>
  </si>
  <si>
    <t>Bracket 1</t>
    <phoneticPr fontId="4" type="noConversion"/>
  </si>
  <si>
    <t>Bracket 2</t>
    <phoneticPr fontId="4" type="noConversion"/>
  </si>
  <si>
    <t>Handle hard</t>
  </si>
  <si>
    <t>Handle soft</t>
  </si>
  <si>
    <t>Overmold the handle soft</t>
    <phoneticPr fontId="4" type="noConversion"/>
  </si>
  <si>
    <t>Mold the Cover</t>
    <phoneticPr fontId="4" type="noConversion"/>
  </si>
  <si>
    <t>Cover</t>
    <phoneticPr fontId="4" type="noConversion"/>
  </si>
  <si>
    <t>take and inspect Bracket-1, assemble it on handle</t>
    <phoneticPr fontId="4" type="noConversion"/>
  </si>
  <si>
    <t>Assembly</t>
    <phoneticPr fontId="4" type="noConversion"/>
  </si>
  <si>
    <t>Put the handle hard into machine</t>
    <phoneticPr fontId="4" type="noConversion"/>
  </si>
  <si>
    <t>Button</t>
    <phoneticPr fontId="4" type="noConversion"/>
  </si>
  <si>
    <t>Mold the button</t>
    <phoneticPr fontId="4" type="noConversion"/>
  </si>
  <si>
    <t>125T</t>
    <phoneticPr fontId="4" type="noConversion"/>
  </si>
  <si>
    <t>Insert Mold the handle hard</t>
    <phoneticPr fontId="4" type="noConversion"/>
  </si>
  <si>
    <t xml:space="preserve">Pad Printing </t>
    <phoneticPr fontId="4" type="noConversion"/>
  </si>
  <si>
    <t>PP_Single</t>
    <phoneticPr fontId="4" type="noConversion"/>
  </si>
  <si>
    <t>Die Casting Core</t>
    <phoneticPr fontId="4" type="noConversion"/>
  </si>
  <si>
    <t>150VT</t>
    <phoneticPr fontId="4" type="noConversion"/>
  </si>
  <si>
    <t>110T</t>
    <phoneticPr fontId="4" type="noConversion"/>
  </si>
  <si>
    <t>Pad Printing the logo</t>
    <phoneticPr fontId="4" type="noConversion"/>
  </si>
  <si>
    <t>Check Button function  &amp; visual inspection &amp; cleaning the handle assy.</t>
    <phoneticPr fontId="4" type="noConversion"/>
  </si>
  <si>
    <t xml:space="preserve">pick up handle 3s &amp; put handle into machine fixture 3s, press button 0.5s, pad printing twice time 8.5s, </t>
    <phoneticPr fontId="4" type="noConversion"/>
  </si>
  <si>
    <t>Pad Printing bake, visual check &amp; pack in transfer box</t>
    <phoneticPr fontId="4" type="noConversion"/>
  </si>
  <si>
    <t xml:space="preserve">take a Handle, visual inspec the handle </t>
    <phoneticPr fontId="4" type="noConversion"/>
  </si>
  <si>
    <t>take a button and inspect</t>
    <phoneticPr fontId="4" type="noConversion"/>
  </si>
  <si>
    <t>Put the handle and button on fixture and assemble it together by press machine</t>
    <phoneticPr fontId="4" type="noConversion"/>
  </si>
  <si>
    <t>take and inspect cover, assemble it on handle</t>
    <phoneticPr fontId="4" type="noConversion"/>
  </si>
  <si>
    <t>Place the handle on welding fixture and ultrosonic welding  cover with handle</t>
    <phoneticPr fontId="4" type="noConversion"/>
  </si>
  <si>
    <t xml:space="preserve">take and inspect bracket 2, assemble it with handle </t>
    <phoneticPr fontId="4" type="noConversion"/>
  </si>
  <si>
    <t>1. Above quote is for 600k above annual volume</t>
    <phoneticPr fontId="4" type="noConversion"/>
  </si>
  <si>
    <t>Put the handle and button on fixture and assemble it together by press machine</t>
    <phoneticPr fontId="4" type="noConversion"/>
  </si>
  <si>
    <t>Assembly</t>
    <phoneticPr fontId="4" type="noConversion"/>
  </si>
  <si>
    <t>high cosmetic requiremnt by Harrys</t>
    <phoneticPr fontId="4" type="noConversion"/>
  </si>
  <si>
    <t>Improve cycle time from 54s to 50s, yield from 96% to 97%</t>
    <phoneticPr fontId="4" type="noConversion"/>
  </si>
  <si>
    <t>one operator besides the machine to check and pack the product</t>
    <phoneticPr fontId="4" type="noConversion"/>
  </si>
  <si>
    <t xml:space="preserve"> previous consigned item reject rate is very high, need to make sure component is ok before assembly, not able to rework after ultrasonic welding process</t>
    <phoneticPr fontId="4" type="noConversion"/>
  </si>
  <si>
    <t>high requirement for cosmetic part from Harrys, not able to rework after ultrasonic welding</t>
    <phoneticPr fontId="4" type="noConversion"/>
  </si>
  <si>
    <t xml:space="preserve">Need to check button function and overall check the handle and clean it </t>
    <phoneticPr fontId="4" type="noConversion"/>
  </si>
  <si>
    <t>Note:</t>
    <phoneticPr fontId="4" type="noConversion"/>
  </si>
  <si>
    <t>2. cycle time and yeild will be updated per actual data collect from unit tool and MP tool sample trial run build</t>
    <phoneticPr fontId="4" type="noConversion"/>
  </si>
  <si>
    <t>Adjust material cost base on new design</t>
    <phoneticPr fontId="4" type="noConversion"/>
  </si>
  <si>
    <t>The process include:</t>
    <phoneticPr fontId="4" type="noConversion"/>
  </si>
  <si>
    <t>The package is different from Truman, which is match box and easy for handle.
This package is same as Winston, the packaging C/T is 13s, actually 11s is shorten.</t>
    <phoneticPr fontId="4" type="noConversion"/>
  </si>
  <si>
    <t>Incert into PE bage</t>
    <phoneticPr fontId="4" type="noConversion"/>
  </si>
  <si>
    <t>Stick shipper label</t>
    <phoneticPr fontId="4" type="noConversion"/>
  </si>
  <si>
    <t>Fold shipper and seal bottom</t>
    <phoneticPr fontId="4" type="noConversion"/>
  </si>
  <si>
    <t>Incert paper board/paper insert into shipper</t>
    <phoneticPr fontId="4" type="noConversion"/>
  </si>
  <si>
    <t>Insert handle with PE bag into shiper</t>
    <phoneticPr fontId="4" type="noConversion"/>
  </si>
  <si>
    <t>Fold and seat the top of shipper</t>
    <phoneticPr fontId="4" type="noConversion"/>
  </si>
  <si>
    <t>Palletization &amp; loading into Container 20FT</t>
    <phoneticPr fontId="4" type="noConversion"/>
  </si>
  <si>
    <t>*</t>
    <phoneticPr fontId="4" type="noConversion"/>
  </si>
  <si>
    <t>Total cycle time reduce from 76s to 70s, by process optimization</t>
    <phoneticPr fontId="4" type="noConversion"/>
  </si>
  <si>
    <t>Improve yeild from orignal 95% to 97%, improve fixture design to reduce C/T 1s</t>
  </si>
  <si>
    <t>Improve yeild from orignal 95% to 97%, improve fixture design to reduce C/T 2s</t>
  </si>
  <si>
    <t>Hi-P Engineering Re-evaluation Comment Dated 070116</t>
  </si>
  <si>
    <t>high requirement for cosmetic part from Harrys, TPE surface is easy to stick with dust, thus require time to carefully inspect.</t>
  </si>
  <si>
    <t>Reduce cycle time from 50 to 45, Improve yeild from orignal 92% to 94%</t>
  </si>
  <si>
    <t>Reduce molding cycle time from 50 to 45s, handle placement time was bounded by molding cycle time.</t>
  </si>
  <si>
    <t>Total price reduce from 0.81 to 0.758, 6.42% reduction.</t>
  </si>
  <si>
    <t>1. Above quote is for 75k unit tool sample</t>
    <phoneticPr fontId="4" type="noConversion"/>
  </si>
  <si>
    <t>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</si>
</sst>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"/>
    <numFmt numFmtId="165" formatCode="\$#,##0.0000;[Red]\$#,##0.0000"/>
    <numFmt numFmtId="166" formatCode="0.0"/>
    <numFmt numFmtId="167" formatCode="&quot;$&quot;#,##0.000"/>
    <numFmt numFmtId="168" formatCode="\$#,##0.000_);[Red]\(\$#,##0.000\)"/>
    <numFmt numFmtId="169" formatCode="0.0%"/>
    <numFmt numFmtId="170" formatCode="\$#,##0.00;[Red]\$#,##0.00"/>
    <numFmt numFmtId="171" formatCode="_-&quot;$&quot;* #,##0_-;\-&quot;$&quot;* #,##0_-;_-&quot;$&quot;* &quot;-&quot;_-;_-@_-"/>
    <numFmt numFmtId="172" formatCode="_-* #,##0_-;\-* #,##0_-;_-* &quot;-&quot;_-;_-@_-"/>
    <numFmt numFmtId="173" formatCode="_-&quot;$&quot;* #,##0.00_-;\-&quot;$&quot;* #,##0.00_-;_-&quot;$&quot;* &quot;-&quot;??_-;_-@_-"/>
    <numFmt numFmtId="174" formatCode="_-* #,##0.00_-;\-* #,##0.00_-;_-* &quot;-&quot;??_-;_-@_-"/>
    <numFmt numFmtId="175" formatCode="0.000000000"/>
    <numFmt numFmtId="176" formatCode="_(* #,##0.0_);_(* \(#,##0.0\);_(* &quot;-&quot;??_);_(@_)"/>
    <numFmt numFmtId="177" formatCode="_-* #,##0.0_-;\-* #,##0.0_-;_-* &quot;-&quot;??_-;_-@_-"/>
    <numFmt numFmtId="178" formatCode="_(&quot;$&quot;* #,##0.0_);_(&quot;$&quot;* \(#,##0.0\);_(&quot;$&quot;* &quot;-&quot;??_);_(@_)"/>
    <numFmt numFmtId="179" formatCode="\-0"/>
    <numFmt numFmtId="180" formatCode="\$#,##0.000;[Red]\$#,##0.000"/>
    <numFmt numFmtId="181" formatCode="0.000"/>
    <numFmt numFmtId="182" formatCode="0.0000"/>
    <numFmt numFmtId="183" formatCode="0.00_);[Red]\(0.00\)"/>
    <numFmt numFmtId="184" formatCode="0.0000_);[Red]\(0.0000\)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</font>
    <font>
      <b/>
      <u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0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844">
    <xf numFmtId="0" fontId="0" fillId="0" borderId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3" fillId="0" borderId="0"/>
    <xf numFmtId="0" fontId="5" fillId="0" borderId="0"/>
    <xf numFmtId="4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7" fillId="0" borderId="0" applyFont="0" applyFill="0" applyBorder="0" applyAlignment="0" applyProtection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6" fillId="0" borderId="0" applyAlignment="0"/>
    <xf numFmtId="0" fontId="6" fillId="0" borderId="0"/>
    <xf numFmtId="0" fontId="18" fillId="0" borderId="0"/>
    <xf numFmtId="0" fontId="6" fillId="0" borderId="0" applyAlignment="0"/>
    <xf numFmtId="0" fontId="6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19" fillId="0" borderId="0"/>
    <xf numFmtId="0" fontId="6" fillId="0" borderId="0" applyAlignment="0"/>
    <xf numFmtId="0" fontId="19" fillId="0" borderId="0"/>
    <xf numFmtId="0" fontId="19" fillId="0" borderId="0"/>
    <xf numFmtId="42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9" fillId="0" borderId="0"/>
    <xf numFmtId="0" fontId="6" fillId="0" borderId="0" applyAlignment="0"/>
    <xf numFmtId="0" fontId="20" fillId="0" borderId="0">
      <alignment horizontal="center" vertical="center"/>
    </xf>
    <xf numFmtId="175" fontId="21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175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22" fillId="0" borderId="0" applyFill="0" applyBorder="0" applyAlignment="0"/>
    <xf numFmtId="0" fontId="23" fillId="0" borderId="0"/>
    <xf numFmtId="38" fontId="18" fillId="0" borderId="26">
      <alignment vertical="center"/>
    </xf>
    <xf numFmtId="175" fontId="21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38" fontId="24" fillId="4" borderId="0" applyNumberFormat="0" applyBorder="0" applyAlignment="0" applyProtection="0"/>
    <xf numFmtId="0" fontId="25" fillId="0" borderId="27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24" fillId="5" borderId="1" applyNumberFormat="0" applyBorder="0" applyAlignment="0" applyProtection="0"/>
    <xf numFmtId="175" fontId="21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18" fillId="0" borderId="0"/>
    <xf numFmtId="176" fontId="17" fillId="0" borderId="0"/>
    <xf numFmtId="0" fontId="26" fillId="0" borderId="0"/>
    <xf numFmtId="0" fontId="34" fillId="0" borderId="0"/>
    <xf numFmtId="0" fontId="2" fillId="0" borderId="0"/>
    <xf numFmtId="0" fontId="18" fillId="0" borderId="0"/>
    <xf numFmtId="0" fontId="27" fillId="6" borderId="0"/>
    <xf numFmtId="9" fontId="2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177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75" fontId="21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0" fontId="6" fillId="0" borderId="0"/>
    <xf numFmtId="49" fontId="22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0" fontId="28" fillId="7" borderId="28">
      <alignment horizontal="center" vertical="center"/>
      <protection locked="0"/>
    </xf>
    <xf numFmtId="0" fontId="6" fillId="0" borderId="0"/>
    <xf numFmtId="172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5" fillId="0" borderId="0"/>
    <xf numFmtId="17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9" fontId="3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17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32" fillId="0" borderId="0"/>
    <xf numFmtId="0" fontId="14" fillId="0" borderId="0"/>
    <xf numFmtId="0" fontId="31" fillId="0" borderId="0">
      <alignment vertical="center"/>
    </xf>
    <xf numFmtId="0" fontId="6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30" fillId="0" borderId="0"/>
    <xf numFmtId="9" fontId="2" fillId="0" borderId="0" applyFont="0" applyFill="0" applyBorder="0" applyAlignment="0" applyProtection="0">
      <alignment vertical="center"/>
    </xf>
    <xf numFmtId="0" fontId="48" fillId="0" borderId="0">
      <alignment vertical="center"/>
    </xf>
  </cellStyleXfs>
  <cellXfs count="127">
    <xf numFmtId="0" fontId="0" fillId="0" borderId="0" xfId="0"/>
    <xf numFmtId="0" fontId="36" fillId="3" borderId="1" xfId="0" applyFont="1" applyFill="1" applyBorder="1" applyAlignment="1" applyProtection="1">
      <alignment horizontal="center" vertical="center"/>
      <protection locked="0"/>
    </xf>
    <xf numFmtId="0" fontId="37" fillId="3" borderId="1" xfId="4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left" vertical="center" wrapText="1"/>
    </xf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38" fillId="0" borderId="0" xfId="0" applyFont="1" applyFill="1" applyBorder="1" applyAlignment="1">
      <alignment vertical="center"/>
    </xf>
    <xf numFmtId="0" fontId="36" fillId="0" borderId="22" xfId="0" applyFont="1" applyFill="1" applyBorder="1" applyAlignment="1">
      <alignment vertical="center"/>
    </xf>
    <xf numFmtId="0" fontId="36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center"/>
      <protection locked="0"/>
    </xf>
    <xf numFmtId="0" fontId="36" fillId="2" borderId="12" xfId="2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164" fontId="36" fillId="2" borderId="13" xfId="2" applyNumberFormat="1" applyFont="1" applyFill="1" applyBorder="1" applyAlignment="1">
      <alignment horizontal="center" vertical="center" wrapText="1"/>
    </xf>
    <xf numFmtId="0" fontId="43" fillId="2" borderId="13" xfId="2" applyFont="1" applyFill="1" applyBorder="1" applyAlignment="1">
      <alignment horizontal="center" vertical="center" wrapText="1"/>
    </xf>
    <xf numFmtId="10" fontId="43" fillId="2" borderId="13" xfId="2" applyNumberFormat="1" applyFont="1" applyFill="1" applyBorder="1" applyAlignment="1">
      <alignment horizontal="center" vertical="center" wrapText="1"/>
    </xf>
    <xf numFmtId="1" fontId="43" fillId="2" borderId="13" xfId="2" applyNumberFormat="1" applyFont="1" applyFill="1" applyBorder="1" applyAlignment="1">
      <alignment horizontal="center" vertical="center" wrapText="1"/>
    </xf>
    <xf numFmtId="164" fontId="36" fillId="2" borderId="14" xfId="2" applyNumberFormat="1" applyFont="1" applyFill="1" applyBorder="1" applyAlignment="1">
      <alignment horizontal="center" vertical="center" wrapText="1"/>
    </xf>
    <xf numFmtId="0" fontId="44" fillId="3" borderId="1" xfId="4" applyFont="1" applyFill="1" applyBorder="1" applyAlignment="1">
      <alignment horizontal="center" vertical="center" wrapText="1"/>
    </xf>
    <xf numFmtId="0" fontId="37" fillId="3" borderId="1" xfId="2" applyFont="1" applyFill="1" applyBorder="1" applyAlignment="1" applyProtection="1">
      <alignment horizontal="left" vertical="center"/>
      <protection locked="0"/>
    </xf>
    <xf numFmtId="0" fontId="36" fillId="0" borderId="29" xfId="0" applyFont="1" applyFill="1" applyBorder="1" applyAlignment="1">
      <alignment vertical="center"/>
    </xf>
    <xf numFmtId="0" fontId="36" fillId="0" borderId="11" xfId="0" applyFont="1" applyFill="1" applyBorder="1" applyAlignment="1">
      <alignment vertical="center"/>
    </xf>
    <xf numFmtId="0" fontId="36" fillId="3" borderId="32" xfId="0" applyFont="1" applyFill="1" applyBorder="1" applyAlignment="1" applyProtection="1">
      <alignment horizontal="center" vertical="center"/>
      <protection locked="0"/>
    </xf>
    <xf numFmtId="0" fontId="36" fillId="3" borderId="14" xfId="0" applyFont="1" applyFill="1" applyBorder="1" applyAlignment="1" applyProtection="1">
      <alignment horizontal="center" vertical="center"/>
      <protection locked="0"/>
    </xf>
    <xf numFmtId="0" fontId="36" fillId="3" borderId="16" xfId="0" applyFont="1" applyFill="1" applyBorder="1" applyAlignment="1" applyProtection="1">
      <alignment horizontal="left" vertical="center"/>
      <protection locked="0"/>
    </xf>
    <xf numFmtId="3" fontId="36" fillId="3" borderId="16" xfId="0" applyNumberFormat="1" applyFont="1" applyFill="1" applyBorder="1" applyAlignment="1" applyProtection="1">
      <alignment horizontal="center" vertical="center"/>
      <protection locked="0"/>
    </xf>
    <xf numFmtId="0" fontId="37" fillId="0" borderId="7" xfId="2" applyFont="1" applyBorder="1" applyAlignment="1">
      <alignment horizontal="center" vertical="center"/>
    </xf>
    <xf numFmtId="0" fontId="36" fillId="3" borderId="16" xfId="0" applyFont="1" applyFill="1" applyBorder="1" applyAlignment="1" applyProtection="1">
      <alignment horizontal="center" vertical="center"/>
      <protection locked="0"/>
    </xf>
    <xf numFmtId="180" fontId="36" fillId="3" borderId="16" xfId="0" applyNumberFormat="1" applyFont="1" applyFill="1" applyBorder="1" applyAlignment="1" applyProtection="1">
      <alignment horizontal="center" vertical="center"/>
      <protection locked="0"/>
    </xf>
    <xf numFmtId="181" fontId="36" fillId="3" borderId="1" xfId="0" applyNumberFormat="1" applyFont="1" applyFill="1" applyBorder="1" applyAlignment="1" applyProtection="1">
      <alignment horizontal="center" vertical="center"/>
      <protection locked="0"/>
    </xf>
    <xf numFmtId="164" fontId="36" fillId="2" borderId="0" xfId="2" applyNumberFormat="1" applyFont="1" applyFill="1" applyBorder="1" applyAlignment="1">
      <alignment horizontal="center" vertical="center" wrapText="1"/>
    </xf>
    <xf numFmtId="0" fontId="41" fillId="0" borderId="9" xfId="0" applyFont="1" applyFill="1" applyBorder="1" applyAlignment="1">
      <alignment horizontal="center" vertical="center" wrapText="1"/>
    </xf>
    <xf numFmtId="0" fontId="37" fillId="0" borderId="31" xfId="2" applyFont="1" applyBorder="1" applyAlignment="1">
      <alignment horizontal="center" vertical="center"/>
    </xf>
    <xf numFmtId="0" fontId="37" fillId="0" borderId="0" xfId="2" applyFont="1" applyAlignment="1">
      <alignment horizontal="center" vertical="center"/>
    </xf>
    <xf numFmtId="0" fontId="37" fillId="0" borderId="0" xfId="2" applyFont="1" applyBorder="1" applyAlignment="1">
      <alignment horizontal="center" vertical="center"/>
    </xf>
    <xf numFmtId="0" fontId="37" fillId="0" borderId="6" xfId="2" applyFont="1" applyBorder="1" applyAlignment="1">
      <alignment horizontal="center" vertical="center"/>
    </xf>
    <xf numFmtId="0" fontId="38" fillId="0" borderId="7" xfId="0" applyFont="1" applyBorder="1" applyAlignment="1">
      <alignment vertical="center"/>
    </xf>
    <xf numFmtId="180" fontId="39" fillId="0" borderId="30" xfId="3" applyNumberFormat="1" applyFont="1" applyFill="1" applyBorder="1" applyAlignment="1" applyProtection="1">
      <alignment horizontal="center" vertical="center"/>
    </xf>
    <xf numFmtId="0" fontId="38" fillId="0" borderId="9" xfId="0" applyFont="1" applyFill="1" applyBorder="1" applyAlignment="1">
      <alignment horizontal="center" vertical="center" wrapText="1"/>
    </xf>
    <xf numFmtId="0" fontId="37" fillId="0" borderId="15" xfId="2" applyFont="1" applyBorder="1" applyAlignment="1">
      <alignment horizontal="center" vertical="center"/>
    </xf>
    <xf numFmtId="0" fontId="37" fillId="0" borderId="1" xfId="2" applyFont="1" applyBorder="1" applyAlignment="1">
      <alignment vertical="center"/>
    </xf>
    <xf numFmtId="165" fontId="37" fillId="0" borderId="1" xfId="2" applyNumberFormat="1" applyFont="1" applyBorder="1" applyAlignment="1">
      <alignment horizontal="center" vertical="center"/>
    </xf>
    <xf numFmtId="165" fontId="36" fillId="0" borderId="1" xfId="3" applyNumberFormat="1" applyFont="1" applyBorder="1" applyAlignment="1">
      <alignment horizontal="center" vertical="center"/>
    </xf>
    <xf numFmtId="0" fontId="37" fillId="0" borderId="1" xfId="2" applyFont="1" applyBorder="1" applyAlignment="1">
      <alignment horizontal="center" vertical="center"/>
    </xf>
    <xf numFmtId="1" fontId="36" fillId="0" borderId="1" xfId="2" applyNumberFormat="1" applyFont="1" applyBorder="1" applyAlignment="1">
      <alignment horizontal="center" vertical="center"/>
    </xf>
    <xf numFmtId="0" fontId="37" fillId="0" borderId="16" xfId="2" applyFont="1" applyBorder="1" applyAlignment="1">
      <alignment vertical="center"/>
    </xf>
    <xf numFmtId="165" fontId="37" fillId="3" borderId="1" xfId="2" applyNumberFormat="1" applyFont="1" applyFill="1" applyBorder="1" applyAlignment="1" applyProtection="1">
      <alignment horizontal="center" vertical="center"/>
      <protection locked="0"/>
    </xf>
    <xf numFmtId="164" fontId="37" fillId="0" borderId="1" xfId="2" applyNumberFormat="1" applyFont="1" applyBorder="1" applyAlignment="1">
      <alignment horizontal="center" vertical="center"/>
    </xf>
    <xf numFmtId="166" fontId="39" fillId="3" borderId="1" xfId="2" applyNumberFormat="1" applyFont="1" applyFill="1" applyBorder="1" applyAlignment="1" applyProtection="1">
      <alignment horizontal="center" vertical="center"/>
      <protection locked="0"/>
    </xf>
    <xf numFmtId="10" fontId="44" fillId="3" borderId="1" xfId="2" applyNumberFormat="1" applyFont="1" applyFill="1" applyBorder="1" applyAlignment="1" applyProtection="1">
      <alignment horizontal="center" vertical="center"/>
      <protection locked="0"/>
    </xf>
    <xf numFmtId="1" fontId="39" fillId="0" borderId="1" xfId="2" applyNumberFormat="1" applyFont="1" applyBorder="1" applyAlignment="1">
      <alignment horizontal="center" vertical="center"/>
    </xf>
    <xf numFmtId="166" fontId="44" fillId="3" borderId="1" xfId="2" applyNumberFormat="1" applyFont="1" applyFill="1" applyBorder="1" applyAlignment="1" applyProtection="1">
      <alignment horizontal="center" vertical="center"/>
      <protection locked="0"/>
    </xf>
    <xf numFmtId="167" fontId="37" fillId="0" borderId="1" xfId="2" applyNumberFormat="1" applyFont="1" applyBorder="1" applyAlignment="1">
      <alignment horizontal="center" vertical="center"/>
    </xf>
    <xf numFmtId="167" fontId="37" fillId="0" borderId="16" xfId="2" applyNumberFormat="1" applyFont="1" applyBorder="1" applyAlignment="1">
      <alignment horizontal="center" vertical="center"/>
    </xf>
    <xf numFmtId="9" fontId="38" fillId="0" borderId="0" xfId="0" applyNumberFormat="1" applyFont="1" applyAlignment="1">
      <alignment vertical="center"/>
    </xf>
    <xf numFmtId="0" fontId="44" fillId="3" borderId="1" xfId="2" applyFont="1" applyFill="1" applyBorder="1" applyAlignment="1" applyProtection="1">
      <alignment horizontal="center" vertical="center"/>
      <protection locked="0"/>
    </xf>
    <xf numFmtId="0" fontId="44" fillId="3" borderId="1" xfId="2" applyFont="1" applyFill="1" applyBorder="1" applyAlignment="1" applyProtection="1">
      <alignment horizontal="left" vertical="center"/>
      <protection locked="0"/>
    </xf>
    <xf numFmtId="0" fontId="37" fillId="3" borderId="1" xfId="2" applyFont="1" applyFill="1" applyBorder="1" applyAlignment="1" applyProtection="1">
      <alignment horizontal="left" vertical="center" wrapText="1"/>
      <protection locked="0"/>
    </xf>
    <xf numFmtId="0" fontId="36" fillId="0" borderId="15" xfId="2" applyFont="1" applyBorder="1" applyAlignment="1">
      <alignment vertical="center"/>
    </xf>
    <xf numFmtId="0" fontId="37" fillId="0" borderId="1" xfId="2" applyFont="1" applyFill="1" applyBorder="1" applyAlignment="1">
      <alignment vertical="center"/>
    </xf>
    <xf numFmtId="0" fontId="44" fillId="0" borderId="1" xfId="2" applyFont="1" applyBorder="1" applyAlignment="1" applyProtection="1">
      <alignment horizontal="center" vertical="center"/>
      <protection locked="0"/>
    </xf>
    <xf numFmtId="0" fontId="36" fillId="0" borderId="1" xfId="2" applyFont="1" applyBorder="1" applyAlignment="1">
      <alignment vertical="center"/>
    </xf>
    <xf numFmtId="7" fontId="37" fillId="0" borderId="1" xfId="2" applyNumberFormat="1" applyFont="1" applyBorder="1" applyAlignment="1">
      <alignment horizontal="center" vertical="center"/>
    </xf>
    <xf numFmtId="0" fontId="36" fillId="0" borderId="1" xfId="2" applyFont="1" applyBorder="1" applyAlignment="1" applyProtection="1">
      <alignment vertical="center"/>
      <protection locked="0"/>
    </xf>
    <xf numFmtId="1" fontId="36" fillId="0" borderId="1" xfId="2" applyNumberFormat="1" applyFont="1" applyBorder="1" applyAlignment="1">
      <alignment vertical="center"/>
    </xf>
    <xf numFmtId="0" fontId="36" fillId="0" borderId="16" xfId="2" applyFont="1" applyBorder="1" applyAlignment="1">
      <alignment vertical="center"/>
    </xf>
    <xf numFmtId="0" fontId="37" fillId="0" borderId="1" xfId="2" applyFont="1" applyBorder="1" applyAlignment="1">
      <alignment horizontal="right" vertical="center"/>
    </xf>
    <xf numFmtId="168" fontId="37" fillId="3" borderId="1" xfId="2" applyNumberFormat="1" applyFont="1" applyFill="1" applyBorder="1" applyAlignment="1" applyProtection="1">
      <alignment horizontal="center" vertical="center"/>
      <protection locked="0"/>
    </xf>
    <xf numFmtId="0" fontId="37" fillId="0" borderId="1" xfId="2" applyFont="1" applyBorder="1" applyAlignment="1" applyProtection="1">
      <alignment vertical="center"/>
      <protection locked="0"/>
    </xf>
    <xf numFmtId="0" fontId="37" fillId="0" borderId="1" xfId="2" applyFont="1" applyBorder="1" applyAlignment="1" applyProtection="1">
      <alignment horizontal="center" vertical="center"/>
      <protection locked="0"/>
    </xf>
    <xf numFmtId="1" fontId="44" fillId="0" borderId="1" xfId="2" applyNumberFormat="1" applyFont="1" applyFill="1" applyBorder="1" applyAlignment="1">
      <alignment horizontal="center" vertical="center"/>
    </xf>
    <xf numFmtId="10" fontId="44" fillId="3" borderId="1" xfId="1" applyNumberFormat="1" applyFont="1" applyFill="1" applyBorder="1" applyAlignment="1" applyProtection="1">
      <alignment horizontal="center" vertical="center"/>
      <protection locked="0"/>
    </xf>
    <xf numFmtId="170" fontId="37" fillId="0" borderId="1" xfId="2" applyNumberFormat="1" applyFont="1" applyBorder="1" applyAlignment="1">
      <alignment horizontal="center" vertical="center"/>
    </xf>
    <xf numFmtId="1" fontId="37" fillId="0" borderId="1" xfId="2" applyNumberFormat="1" applyFont="1" applyBorder="1" applyAlignment="1">
      <alignment vertical="center"/>
    </xf>
    <xf numFmtId="9" fontId="45" fillId="0" borderId="1" xfId="2" applyNumberFormat="1" applyFont="1" applyBorder="1" applyAlignment="1" applyProtection="1">
      <alignment horizontal="center" vertical="center"/>
      <protection locked="0"/>
    </xf>
    <xf numFmtId="0" fontId="36" fillId="0" borderId="17" xfId="2" applyFont="1" applyBorder="1" applyAlignment="1">
      <alignment vertical="center"/>
    </xf>
    <xf numFmtId="0" fontId="37" fillId="0" borderId="18" xfId="2" applyFont="1" applyBorder="1" applyAlignment="1">
      <alignment vertical="center"/>
    </xf>
    <xf numFmtId="165" fontId="37" fillId="0" borderId="18" xfId="2" applyNumberFormat="1" applyFont="1" applyBorder="1" applyAlignment="1">
      <alignment horizontal="center" vertical="center"/>
    </xf>
    <xf numFmtId="170" fontId="37" fillId="0" borderId="18" xfId="2" applyNumberFormat="1" applyFont="1" applyBorder="1" applyAlignment="1">
      <alignment horizontal="center" vertical="center"/>
    </xf>
    <xf numFmtId="0" fontId="37" fillId="0" borderId="18" xfId="2" applyFont="1" applyBorder="1" applyAlignment="1" applyProtection="1">
      <alignment vertical="center"/>
      <protection locked="0"/>
    </xf>
    <xf numFmtId="1" fontId="37" fillId="0" borderId="18" xfId="2" applyNumberFormat="1" applyFont="1" applyBorder="1" applyAlignment="1">
      <alignment vertical="center"/>
    </xf>
    <xf numFmtId="0" fontId="37" fillId="0" borderId="19" xfId="2" applyFont="1" applyBorder="1" applyAlignment="1">
      <alignment vertical="center"/>
    </xf>
    <xf numFmtId="0" fontId="46" fillId="0" borderId="20" xfId="2" applyFont="1" applyFill="1" applyBorder="1" applyAlignment="1">
      <alignment vertical="center"/>
    </xf>
    <xf numFmtId="0" fontId="46" fillId="0" borderId="21" xfId="2" applyFont="1" applyFill="1" applyBorder="1" applyAlignment="1">
      <alignment vertical="center"/>
    </xf>
    <xf numFmtId="165" fontId="46" fillId="0" borderId="2" xfId="2" applyNumberFormat="1" applyFont="1" applyFill="1" applyBorder="1" applyAlignment="1">
      <alignment horizontal="center" vertical="center"/>
    </xf>
    <xf numFmtId="165" fontId="36" fillId="0" borderId="0" xfId="2" applyNumberFormat="1" applyFont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36" fillId="0" borderId="0" xfId="2" applyFont="1" applyAlignment="1">
      <alignment vertical="center"/>
    </xf>
    <xf numFmtId="1" fontId="36" fillId="0" borderId="0" xfId="2" applyNumberFormat="1" applyFont="1" applyAlignment="1">
      <alignment vertical="center"/>
    </xf>
    <xf numFmtId="165" fontId="38" fillId="0" borderId="0" xfId="0" applyNumberFormat="1" applyFont="1" applyAlignment="1">
      <alignment vertical="center"/>
    </xf>
    <xf numFmtId="182" fontId="38" fillId="0" borderId="0" xfId="0" applyNumberFormat="1" applyFont="1" applyAlignment="1">
      <alignment horizontal="center" vertical="center"/>
    </xf>
    <xf numFmtId="165" fontId="38" fillId="0" borderId="0" xfId="1" applyNumberFormat="1" applyFont="1" applyAlignment="1">
      <alignment horizontal="center" vertical="center"/>
    </xf>
    <xf numFmtId="10" fontId="38" fillId="0" borderId="0" xfId="0" applyNumberFormat="1" applyFont="1" applyAlignment="1">
      <alignment vertical="center"/>
    </xf>
    <xf numFmtId="182" fontId="38" fillId="0" borderId="0" xfId="0" applyNumberFormat="1" applyFont="1" applyAlignment="1">
      <alignment vertical="center"/>
    </xf>
    <xf numFmtId="170" fontId="38" fillId="0" borderId="0" xfId="0" applyNumberFormat="1" applyFont="1" applyAlignment="1">
      <alignment vertical="center"/>
    </xf>
    <xf numFmtId="9" fontId="38" fillId="0" borderId="0" xfId="1" applyFont="1" applyAlignment="1">
      <alignment vertical="center"/>
    </xf>
    <xf numFmtId="183" fontId="38" fillId="0" borderId="0" xfId="0" applyNumberFormat="1" applyFont="1" applyAlignment="1">
      <alignment vertical="center"/>
    </xf>
    <xf numFmtId="169" fontId="41" fillId="0" borderId="0" xfId="0" applyNumberFormat="1" applyFont="1" applyAlignment="1">
      <alignment vertical="center"/>
    </xf>
    <xf numFmtId="184" fontId="38" fillId="0" borderId="0" xfId="1" applyNumberFormat="1" applyFont="1" applyAlignment="1">
      <alignment horizontal="center" vertical="center"/>
    </xf>
    <xf numFmtId="181" fontId="38" fillId="0" borderId="0" xfId="0" applyNumberFormat="1" applyFont="1" applyAlignment="1">
      <alignment vertical="center"/>
    </xf>
    <xf numFmtId="9" fontId="38" fillId="0" borderId="0" xfId="1" applyFont="1" applyAlignment="1">
      <alignment horizontal="center" vertical="center"/>
    </xf>
    <xf numFmtId="180" fontId="37" fillId="0" borderId="0" xfId="2" applyNumberFormat="1" applyFont="1" applyBorder="1" applyAlignment="1">
      <alignment horizontal="center" vertical="center"/>
    </xf>
    <xf numFmtId="0" fontId="37" fillId="8" borderId="15" xfId="2" applyFont="1" applyFill="1" applyBorder="1" applyAlignment="1">
      <alignment horizontal="center" vertical="center"/>
    </xf>
    <xf numFmtId="10" fontId="44" fillId="8" borderId="1" xfId="1" applyNumberFormat="1" applyFont="1" applyFill="1" applyBorder="1" applyAlignment="1" applyProtection="1">
      <alignment horizontal="center" vertical="center"/>
      <protection locked="0"/>
    </xf>
    <xf numFmtId="0" fontId="38" fillId="0" borderId="4" xfId="0" applyFont="1" applyBorder="1" applyAlignment="1">
      <alignment vertical="center"/>
    </xf>
    <xf numFmtId="0" fontId="38" fillId="0" borderId="5" xfId="0" applyFont="1" applyBorder="1" applyAlignment="1">
      <alignment vertical="center"/>
    </xf>
    <xf numFmtId="0" fontId="38" fillId="0" borderId="33" xfId="0" applyFont="1" applyBorder="1" applyAlignment="1">
      <alignment vertical="center"/>
    </xf>
    <xf numFmtId="0" fontId="38" fillId="0" borderId="34" xfId="0" applyFont="1" applyBorder="1" applyAlignment="1">
      <alignment vertical="center"/>
    </xf>
    <xf numFmtId="0" fontId="38" fillId="0" borderId="33" xfId="0" applyFont="1" applyBorder="1" applyAlignment="1">
      <alignment horizontal="right" vertical="center"/>
    </xf>
    <xf numFmtId="0" fontId="49" fillId="0" borderId="0" xfId="0" applyFont="1" applyBorder="1" applyAlignment="1">
      <alignment vertical="center"/>
    </xf>
    <xf numFmtId="0" fontId="49" fillId="0" borderId="0" xfId="0" applyFont="1" applyBorder="1" applyAlignment="1">
      <alignment horizontal="right" vertical="center"/>
    </xf>
    <xf numFmtId="0" fontId="38" fillId="0" borderId="6" xfId="0" applyFont="1" applyBorder="1" applyAlignment="1">
      <alignment vertical="center"/>
    </xf>
    <xf numFmtId="0" fontId="38" fillId="0" borderId="8" xfId="0" applyFont="1" applyBorder="1" applyAlignment="1">
      <alignment vertical="center"/>
    </xf>
    <xf numFmtId="0" fontId="37" fillId="0" borderId="15" xfId="2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left" vertical="center"/>
    </xf>
    <xf numFmtId="0" fontId="40" fillId="2" borderId="5" xfId="0" applyFont="1" applyFill="1" applyBorder="1" applyAlignment="1">
      <alignment horizontal="left" vertical="center"/>
    </xf>
    <xf numFmtId="0" fontId="42" fillId="2" borderId="6" xfId="0" applyFont="1" applyFill="1" applyBorder="1" applyAlignment="1">
      <alignment horizontal="left" vertical="center" wrapText="1"/>
    </xf>
    <xf numFmtId="0" fontId="42" fillId="2" borderId="7" xfId="0" applyFont="1" applyFill="1" applyBorder="1" applyAlignment="1">
      <alignment horizontal="left" vertical="center" wrapText="1"/>
    </xf>
    <xf numFmtId="0" fontId="42" fillId="2" borderId="8" xfId="0" applyFont="1" applyFill="1" applyBorder="1" applyAlignment="1">
      <alignment horizontal="left" vertical="center" wrapText="1"/>
    </xf>
    <xf numFmtId="0" fontId="41" fillId="2" borderId="23" xfId="0" applyFont="1" applyFill="1" applyBorder="1" applyAlignment="1">
      <alignment horizontal="center" vertical="center" wrapText="1"/>
    </xf>
    <xf numFmtId="0" fontId="41" fillId="2" borderId="24" xfId="0" applyFont="1" applyFill="1" applyBorder="1" applyAlignment="1">
      <alignment horizontal="center" vertical="center" wrapText="1"/>
    </xf>
    <xf numFmtId="0" fontId="41" fillId="2" borderId="25" xfId="0" applyFont="1" applyFill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</cellXfs>
  <cellStyles count="2844">
    <cellStyle name="_" xfId="6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[0]_668538sip" xfId="27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_[0]_laroux" xfId="26"/>
    <cellStyle name="_? [0.00]_PERSONAL" xfId="7"/>
    <cellStyle name="_?_? [0.00]_PERSONAL" xfId="8"/>
    <cellStyle name="_?_?_PERSONAL" xfId="9"/>
    <cellStyle name="_?_PERSONAL" xfId="10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新增Microsoft Excel 工作表 (3)" xfId="2763"/>
    <cellStyle name="_管理損益表格說明-費用分攤" xfId="2761"/>
    <cellStyle name="_緊急物料升級作業程序a" xfId="2762"/>
    <cellStyle name="_轉移物料給APPLE 流程" xfId="2765"/>
    <cellStyle name="_預估損益表FORM-DPBG-MLB" xfId="2764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  <cellStyle name="一般_carrier mg" xfId="2836"/>
    <cellStyle name="常规 2" xfId="2822"/>
    <cellStyle name="常规 39 2 2" xfId="2843"/>
    <cellStyle name="未定義" xfId="2834"/>
    <cellStyle name="桁?切? [0.00]_PERSONAL" xfId="2827"/>
    <cellStyle name="桁?切?_PERSONAL" xfId="2828"/>
    <cellStyle name="標準_M84 wireless cost BOM(22 Nov)" xfId="2821"/>
    <cellStyle name="珨啜_242929 #1 - Card Guide" xfId="2835"/>
    <cellStyle name="籵? [0.00]_PERSONAL" xfId="2823"/>
    <cellStyle name="籵?_PERSONAL" xfId="2824"/>
    <cellStyle name="貨幣_GP_PP RFQ_818-0511-17_K20 CTO Frame_1103" xfId="2830"/>
    <cellStyle name="貨幣_GP_PP RFQ_818-0511-17_K20 CTO Frame_1103 2" xfId="3"/>
    <cellStyle name="貨幣[0]_04" xfId="2829"/>
    <cellStyle name="通貨 [0.00]_PERSONAL" xfId="2832"/>
    <cellStyle name="通貨_PERSONAL" xfId="2833"/>
    <cellStyle name="閉撰蟈諉" xfId="2820"/>
    <cellStyle name="鳻?? [0.00]_PERSONAL" xfId="2825"/>
    <cellStyle name="鳻??_PERSONAL" xfId="2826"/>
    <cellStyle name="_PERSONAL" xfId="2817"/>
    <cellStyle name="煦弇_668538sip" xfId="2819"/>
    <cellStyle name="煦弇[0]_668538sip" xfId="28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15</xdr:col>
      <xdr:colOff>120663</xdr:colOff>
      <xdr:row>1</xdr:row>
      <xdr:rowOff>167873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55434" y="74082"/>
          <a:ext cx="251292" cy="379541"/>
        </a:xfrm>
        <a:prstGeom prst="rect">
          <a:avLst/>
        </a:prstGeom>
      </xdr:spPr>
    </xdr:pic>
    <xdr:clientData/>
  </xdr:twoCellAnchor>
  <xdr:twoCellAnchor editAs="oneCell">
    <xdr:from>
      <xdr:col>13</xdr:col>
      <xdr:colOff>296334</xdr:colOff>
      <xdr:row>0</xdr:row>
      <xdr:rowOff>74082</xdr:rowOff>
    </xdr:from>
    <xdr:to>
      <xdr:col>15</xdr:col>
      <xdr:colOff>120663</xdr:colOff>
      <xdr:row>1</xdr:row>
      <xdr:rowOff>167873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55434" y="74082"/>
          <a:ext cx="251292" cy="636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16</xdr:col>
      <xdr:colOff>120663</xdr:colOff>
      <xdr:row>1</xdr:row>
      <xdr:rowOff>167873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2439650" y="74082"/>
          <a:ext cx="263538" cy="379541"/>
        </a:xfrm>
        <a:prstGeom prst="rect">
          <a:avLst/>
        </a:prstGeom>
      </xdr:spPr>
    </xdr:pic>
    <xdr:clientData/>
  </xdr:twoCellAnchor>
  <xdr:twoCellAnchor editAs="oneCell">
    <xdr:from>
      <xdr:col>13</xdr:col>
      <xdr:colOff>296334</xdr:colOff>
      <xdr:row>0</xdr:row>
      <xdr:rowOff>74082</xdr:rowOff>
    </xdr:from>
    <xdr:to>
      <xdr:col>16</xdr:col>
      <xdr:colOff>120663</xdr:colOff>
      <xdr:row>1</xdr:row>
      <xdr:rowOff>167873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2439650" y="74082"/>
          <a:ext cx="263538" cy="379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G65"/>
  <sheetViews>
    <sheetView zoomScale="60" zoomScaleNormal="60" zoomScalePageLayoutView="60" workbookViewId="0">
      <pane xSplit="4" ySplit="14" topLeftCell="E30" activePane="bottomRight" state="frozen"/>
      <selection pane="topRight" activeCell="E1" sqref="E1"/>
      <selection pane="bottomLeft" activeCell="A15" sqref="A15"/>
      <selection pane="bottomRight" activeCell="AJ21" sqref="AJ21:AJ22"/>
    </sheetView>
  </sheetViews>
  <sheetFormatPr baseColWidth="10" defaultColWidth="10.33203125" defaultRowHeight="14" x14ac:dyDescent="0"/>
  <cols>
    <col min="1" max="1" width="1.83203125" style="4" customWidth="1"/>
    <col min="2" max="2" width="21.83203125" style="4" customWidth="1"/>
    <col min="3" max="3" width="52.5" style="4" customWidth="1"/>
    <col min="4" max="9" width="14.5" style="4" customWidth="1"/>
    <col min="10" max="10" width="13.33203125" style="4" hidden="1" customWidth="1"/>
    <col min="11" max="14" width="10.6640625" style="4" hidden="1" customWidth="1"/>
    <col min="15" max="15" width="1.83203125" style="4" customWidth="1"/>
    <col min="16" max="16" width="12.6640625" style="4" customWidth="1"/>
    <col min="17" max="21" width="10.33203125" style="4" customWidth="1"/>
    <col min="22" max="16384" width="10.33203125" style="4"/>
  </cols>
  <sheetData>
    <row r="1" spans="2:33" ht="22.5" customHeight="1">
      <c r="B1" s="116" t="s">
        <v>26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8"/>
      <c r="P1" s="5"/>
      <c r="Q1" s="6"/>
      <c r="R1" s="5"/>
      <c r="S1" s="5"/>
      <c r="T1" s="5"/>
      <c r="U1" s="5"/>
    </row>
    <row r="2" spans="2:33" ht="37.5" customHeight="1" thickBot="1">
      <c r="B2" s="119" t="s">
        <v>25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  <c r="P2" s="5"/>
      <c r="Q2" s="7"/>
      <c r="R2" s="5"/>
      <c r="S2" s="5"/>
      <c r="T2" s="5"/>
      <c r="U2" s="5"/>
    </row>
    <row r="3" spans="2:33" s="8" customFormat="1" ht="9" customHeight="1" thickBot="1">
      <c r="B3" s="4"/>
      <c r="C3" s="33"/>
      <c r="D3" s="34"/>
      <c r="E3" s="35"/>
      <c r="F3" s="35"/>
      <c r="G3" s="35"/>
      <c r="H3" s="4"/>
      <c r="I3" s="4"/>
      <c r="J3" s="4"/>
      <c r="K3" s="4"/>
      <c r="L3" s="4"/>
      <c r="M3" s="4"/>
      <c r="N3" s="4"/>
      <c r="O3" s="4"/>
      <c r="P3" s="4"/>
    </row>
    <row r="4" spans="2:33">
      <c r="B4" s="122" t="s">
        <v>24</v>
      </c>
      <c r="C4" s="22" t="s">
        <v>14</v>
      </c>
      <c r="D4" s="25" t="s">
        <v>31</v>
      </c>
      <c r="E4" s="36"/>
      <c r="F4" s="36"/>
      <c r="G4" s="36"/>
      <c r="H4" s="36"/>
      <c r="I4" s="5"/>
      <c r="J4" s="5"/>
    </row>
    <row r="5" spans="2:33">
      <c r="B5" s="123"/>
      <c r="C5" s="23" t="s">
        <v>28</v>
      </c>
      <c r="D5" s="26"/>
      <c r="E5" s="36"/>
      <c r="F5" s="36"/>
      <c r="G5" s="36"/>
      <c r="H5" s="36"/>
      <c r="I5" s="5"/>
      <c r="J5" s="5"/>
    </row>
    <row r="6" spans="2:33">
      <c r="B6" s="123"/>
      <c r="C6" s="23" t="s">
        <v>16</v>
      </c>
      <c r="D6" s="26" t="s">
        <v>37</v>
      </c>
      <c r="E6" s="36"/>
      <c r="F6" s="36"/>
      <c r="G6" s="103"/>
      <c r="H6" s="103"/>
      <c r="I6" s="5"/>
      <c r="J6" s="5"/>
    </row>
    <row r="7" spans="2:33" ht="15" thickBot="1">
      <c r="B7" s="123"/>
      <c r="C7" s="23" t="s">
        <v>29</v>
      </c>
      <c r="D7" s="27"/>
      <c r="E7" s="37"/>
      <c r="F7" s="28"/>
      <c r="G7" s="28"/>
      <c r="H7" s="28"/>
      <c r="I7" s="38"/>
      <c r="J7" s="38"/>
      <c r="K7" s="38"/>
    </row>
    <row r="8" spans="2:33">
      <c r="B8" s="123"/>
      <c r="C8" s="23" t="s">
        <v>30</v>
      </c>
      <c r="D8" s="1" t="s">
        <v>40</v>
      </c>
      <c r="E8" s="1" t="s">
        <v>41</v>
      </c>
      <c r="F8" s="24" t="s">
        <v>44</v>
      </c>
      <c r="G8" s="24" t="s">
        <v>48</v>
      </c>
      <c r="H8" s="1" t="s">
        <v>38</v>
      </c>
      <c r="I8" s="1" t="s">
        <v>39</v>
      </c>
      <c r="J8" s="24" t="s">
        <v>54</v>
      </c>
      <c r="K8" s="24" t="s">
        <v>52</v>
      </c>
      <c r="L8" s="25"/>
    </row>
    <row r="9" spans="2:33">
      <c r="B9" s="123"/>
      <c r="C9" s="23" t="s">
        <v>17</v>
      </c>
      <c r="D9" s="31">
        <v>3.7900000000000003E-2</v>
      </c>
      <c r="E9" s="31">
        <v>5.6000000000000001E-2</v>
      </c>
      <c r="F9" s="31">
        <v>8.2000000000000007E-3</v>
      </c>
      <c r="G9" s="31">
        <v>6.1999999999999998E-3</v>
      </c>
      <c r="H9" s="31">
        <v>0</v>
      </c>
      <c r="I9" s="31">
        <v>0</v>
      </c>
      <c r="J9" s="31">
        <v>0.11799999999999999</v>
      </c>
      <c r="K9" s="31">
        <v>2.5000000000000001E-2</v>
      </c>
      <c r="L9" s="30"/>
    </row>
    <row r="10" spans="2:33">
      <c r="B10" s="123"/>
      <c r="C10" s="23" t="s">
        <v>15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29"/>
    </row>
    <row r="11" spans="2:33">
      <c r="B11" s="123"/>
      <c r="C11" s="23" t="s">
        <v>18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29"/>
    </row>
    <row r="12" spans="2:33" ht="15" thickBot="1">
      <c r="B12" s="124"/>
      <c r="C12" s="9" t="s">
        <v>0</v>
      </c>
      <c r="D12" s="39">
        <f>(D9*D10)/D11</f>
        <v>3.7900000000000003E-2</v>
      </c>
      <c r="E12" s="39">
        <f>(E9*E10)/E11</f>
        <v>5.6000000000000001E-2</v>
      </c>
      <c r="F12" s="39">
        <f t="shared" ref="F12:K12" si="0">(F9*F10)/F11</f>
        <v>8.2000000000000007E-3</v>
      </c>
      <c r="G12" s="39">
        <f t="shared" si="0"/>
        <v>6.1999999999999998E-3</v>
      </c>
      <c r="H12" s="39">
        <f t="shared" si="0"/>
        <v>0</v>
      </c>
      <c r="I12" s="39">
        <f t="shared" si="0"/>
        <v>0</v>
      </c>
      <c r="J12" s="39">
        <f t="shared" si="0"/>
        <v>0.11799999999999999</v>
      </c>
      <c r="K12" s="39">
        <f t="shared" si="0"/>
        <v>2.5000000000000001E-2</v>
      </c>
      <c r="L12" s="39"/>
      <c r="R12" s="4" t="s">
        <v>78</v>
      </c>
    </row>
    <row r="13" spans="2:33" s="8" customFormat="1" ht="9" customHeight="1" thickBot="1">
      <c r="B13" s="40"/>
      <c r="C13" s="33"/>
      <c r="D13" s="10"/>
      <c r="E13" s="10"/>
      <c r="F13" s="11"/>
      <c r="G13" s="12"/>
      <c r="H13" s="1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33" ht="42">
      <c r="B14" s="13"/>
      <c r="C14" s="14" t="s">
        <v>34</v>
      </c>
      <c r="D14" s="15" t="s">
        <v>19</v>
      </c>
      <c r="E14" s="15" t="s">
        <v>20</v>
      </c>
      <c r="F14" s="15" t="s">
        <v>21</v>
      </c>
      <c r="G14" s="16" t="s">
        <v>1</v>
      </c>
      <c r="H14" s="16" t="s">
        <v>22</v>
      </c>
      <c r="I14" s="17" t="s">
        <v>2</v>
      </c>
      <c r="J14" s="18" t="s">
        <v>23</v>
      </c>
      <c r="K14" s="16" t="s">
        <v>3</v>
      </c>
      <c r="L14" s="15" t="s">
        <v>4</v>
      </c>
      <c r="M14" s="15" t="s">
        <v>5</v>
      </c>
      <c r="N14" s="19" t="s">
        <v>6</v>
      </c>
      <c r="P14" s="32" t="s">
        <v>35</v>
      </c>
      <c r="Q14" s="125" t="s">
        <v>92</v>
      </c>
      <c r="R14" s="126"/>
      <c r="S14" s="126"/>
      <c r="T14" s="126"/>
      <c r="U14" s="126"/>
      <c r="V14" s="126"/>
      <c r="W14" s="126"/>
      <c r="X14" s="126"/>
      <c r="Y14" s="126"/>
      <c r="Z14" s="126"/>
      <c r="AA14" s="106"/>
      <c r="AB14" s="106"/>
      <c r="AC14" s="106"/>
      <c r="AD14" s="106"/>
      <c r="AE14" s="106"/>
      <c r="AF14" s="106"/>
      <c r="AG14" s="107"/>
    </row>
    <row r="15" spans="2:33">
      <c r="B15" s="41"/>
      <c r="C15" s="42"/>
      <c r="D15" s="43">
        <f>E15+F15</f>
        <v>0.25130000000000002</v>
      </c>
      <c r="E15" s="44">
        <f>SUM(D12:L12)</f>
        <v>0.25130000000000002</v>
      </c>
      <c r="F15" s="45">
        <v>0</v>
      </c>
      <c r="G15" s="42"/>
      <c r="H15" s="42"/>
      <c r="I15" s="42"/>
      <c r="J15" s="46" t="s">
        <v>7</v>
      </c>
      <c r="K15" s="42"/>
      <c r="L15" s="42"/>
      <c r="M15" s="42"/>
      <c r="N15" s="47"/>
      <c r="Q15" s="108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109"/>
    </row>
    <row r="16" spans="2:33">
      <c r="B16" s="41">
        <v>1</v>
      </c>
      <c r="C16" s="2" t="s">
        <v>51</v>
      </c>
      <c r="D16" s="43">
        <f t="shared" ref="D16:D44" si="1">D15+E16+F16</f>
        <v>0.31908974509803922</v>
      </c>
      <c r="E16" s="48">
        <v>0</v>
      </c>
      <c r="F16" s="49">
        <f t="shared" ref="F16:F46" si="2">SUM(L16:N16)</f>
        <v>6.7789745098039214E-2</v>
      </c>
      <c r="G16" s="20" t="s">
        <v>55</v>
      </c>
      <c r="H16" s="50">
        <f>50/4</f>
        <v>12.5</v>
      </c>
      <c r="I16" s="51">
        <v>0.97</v>
      </c>
      <c r="J16" s="52">
        <f>(1-I16)*J18+J18</f>
        <v>0</v>
      </c>
      <c r="K16" s="53">
        <v>15</v>
      </c>
      <c r="L16" s="54">
        <f>(K16/P16/3600)*H16</f>
        <v>6.1274509803921566E-2</v>
      </c>
      <c r="M16" s="54">
        <f>(1-I16)*L16</f>
        <v>1.8382352941176486E-3</v>
      </c>
      <c r="N16" s="55">
        <f>(1-I16)*SUM(D12,J12)</f>
        <v>4.6770000000000041E-3</v>
      </c>
      <c r="P16" s="56">
        <v>0.85</v>
      </c>
      <c r="Q16" s="108"/>
      <c r="R16" s="5" t="s">
        <v>71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109"/>
    </row>
    <row r="17" spans="2:33">
      <c r="B17" s="41">
        <v>2</v>
      </c>
      <c r="C17" s="2" t="s">
        <v>47</v>
      </c>
      <c r="D17" s="43">
        <f t="shared" si="1"/>
        <v>0.33195739215686276</v>
      </c>
      <c r="E17" s="48">
        <v>0</v>
      </c>
      <c r="F17" s="49">
        <f t="shared" si="2"/>
        <v>1.2867647058823531E-2</v>
      </c>
      <c r="G17" s="20" t="s">
        <v>46</v>
      </c>
      <c r="H17" s="50">
        <f>45/4</f>
        <v>11.25</v>
      </c>
      <c r="I17" s="51">
        <v>1</v>
      </c>
      <c r="J17" s="52">
        <f t="shared" ref="J17:J45" si="3">(1-I17)*J18+J18</f>
        <v>0</v>
      </c>
      <c r="K17" s="53">
        <v>3.5</v>
      </c>
      <c r="L17" s="54">
        <f t="shared" ref="L17:L46" si="4">(K17/P17/3600)*H17</f>
        <v>1.2867647058823531E-2</v>
      </c>
      <c r="M17" s="54">
        <f>(1-I17)*SUM(L16:L17)</f>
        <v>0</v>
      </c>
      <c r="N17" s="55">
        <f>(1-I17)*SUM(D12,J12)</f>
        <v>0</v>
      </c>
      <c r="P17" s="56">
        <v>0.85</v>
      </c>
      <c r="Q17" s="108"/>
      <c r="R17" s="5" t="s">
        <v>95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09"/>
    </row>
    <row r="18" spans="2:33">
      <c r="B18" s="41">
        <v>3</v>
      </c>
      <c r="C18" s="2" t="s">
        <v>42</v>
      </c>
      <c r="D18" s="43">
        <f t="shared" si="1"/>
        <v>0.40757580392156867</v>
      </c>
      <c r="E18" s="48">
        <v>0</v>
      </c>
      <c r="F18" s="49">
        <f t="shared" si="2"/>
        <v>7.5618411764705906E-2</v>
      </c>
      <c r="G18" s="20" t="s">
        <v>55</v>
      </c>
      <c r="H18" s="50">
        <f>45/4</f>
        <v>11.25</v>
      </c>
      <c r="I18" s="51">
        <v>0.94</v>
      </c>
      <c r="J18" s="52">
        <f>(1-I18)*J21+J21</f>
        <v>0</v>
      </c>
      <c r="K18" s="53">
        <v>15</v>
      </c>
      <c r="L18" s="54">
        <f t="shared" si="4"/>
        <v>5.514705882352941E-2</v>
      </c>
      <c r="M18" s="54">
        <f>(1-I18)*SUM(L16:L18)</f>
        <v>7.7573529411764765E-3</v>
      </c>
      <c r="N18" s="55">
        <f>(1-I18)*SUM(D12,E12,J12)</f>
        <v>1.2714000000000012E-2</v>
      </c>
      <c r="P18" s="56">
        <v>0.85</v>
      </c>
      <c r="Q18" s="108"/>
      <c r="R18" s="5" t="s">
        <v>94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09"/>
    </row>
    <row r="19" spans="2:33">
      <c r="B19" s="104">
        <v>4</v>
      </c>
      <c r="C19" s="2" t="s">
        <v>57</v>
      </c>
      <c r="D19" s="43">
        <f t="shared" si="1"/>
        <v>0.45154840849673206</v>
      </c>
      <c r="E19" s="48">
        <v>0</v>
      </c>
      <c r="F19" s="49">
        <f t="shared" si="2"/>
        <v>4.3972604575163415E-2</v>
      </c>
      <c r="G19" s="20" t="s">
        <v>53</v>
      </c>
      <c r="H19" s="50">
        <v>14</v>
      </c>
      <c r="I19" s="51">
        <v>0.97</v>
      </c>
      <c r="J19" s="52">
        <f>(1-I19)*J22+J22</f>
        <v>0</v>
      </c>
      <c r="K19" s="53">
        <v>7</v>
      </c>
      <c r="L19" s="54">
        <f t="shared" si="4"/>
        <v>3.2026143790849677E-2</v>
      </c>
      <c r="M19" s="54">
        <f>(1-I19)*SUM(L16:L19)</f>
        <v>4.8394607843137288E-3</v>
      </c>
      <c r="N19" s="55">
        <f>(1-I19)*SUM(D12,E12,J12,K12)</f>
        <v>7.1070000000000065E-3</v>
      </c>
      <c r="P19" s="56">
        <v>0.85</v>
      </c>
      <c r="Q19" s="108"/>
      <c r="R19" s="5" t="s">
        <v>59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09"/>
    </row>
    <row r="20" spans="2:33">
      <c r="B20" s="104">
        <v>5</v>
      </c>
      <c r="C20" s="2" t="s">
        <v>60</v>
      </c>
      <c r="D20" s="43">
        <f t="shared" si="1"/>
        <v>0.47170376470588238</v>
      </c>
      <c r="E20" s="48">
        <v>0</v>
      </c>
      <c r="F20" s="49">
        <f t="shared" si="2"/>
        <v>2.0155356209150332E-2</v>
      </c>
      <c r="G20" s="57" t="s">
        <v>46</v>
      </c>
      <c r="H20" s="50">
        <v>14</v>
      </c>
      <c r="I20" s="51">
        <v>0.99</v>
      </c>
      <c r="J20" s="52">
        <f t="shared" ref="J20" si="5">(1-I20)*J24+J24</f>
        <v>0</v>
      </c>
      <c r="K20" s="53">
        <v>3.5</v>
      </c>
      <c r="L20" s="54">
        <f t="shared" si="4"/>
        <v>1.6013071895424839E-2</v>
      </c>
      <c r="M20" s="54">
        <f>(1-I20)*SUM(L16:L20)</f>
        <v>1.7732843137254915E-3</v>
      </c>
      <c r="N20" s="55">
        <f>(1-I20)*SUM(D12,E12,J12,K12)</f>
        <v>2.3690000000000022E-3</v>
      </c>
      <c r="P20" s="56">
        <v>0.85</v>
      </c>
      <c r="Q20" s="108"/>
      <c r="R20" s="5" t="s">
        <v>72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109"/>
    </row>
    <row r="21" spans="2:33">
      <c r="B21" s="104">
        <v>6</v>
      </c>
      <c r="C21" s="3" t="s">
        <v>43</v>
      </c>
      <c r="D21" s="43">
        <f t="shared" si="1"/>
        <v>0.50476839215686276</v>
      </c>
      <c r="E21" s="48">
        <v>0</v>
      </c>
      <c r="F21" s="49">
        <f t="shared" si="2"/>
        <v>3.3064627450980398E-2</v>
      </c>
      <c r="G21" s="20" t="s">
        <v>50</v>
      </c>
      <c r="H21" s="50">
        <f>30/4</f>
        <v>7.5</v>
      </c>
      <c r="I21" s="51">
        <v>0.97</v>
      </c>
      <c r="J21" s="52">
        <f t="shared" si="3"/>
        <v>0</v>
      </c>
      <c r="K21" s="53">
        <v>13</v>
      </c>
      <c r="L21" s="54">
        <f t="shared" si="4"/>
        <v>3.186274509803922E-2</v>
      </c>
      <c r="M21" s="54">
        <f>(1-I21)*L21</f>
        <v>9.558823529411775E-4</v>
      </c>
      <c r="N21" s="55">
        <f>(1-I21)*F12</f>
        <v>2.4600000000000023E-4</v>
      </c>
      <c r="P21" s="56">
        <v>0.85</v>
      </c>
      <c r="Q21" s="108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109"/>
    </row>
    <row r="22" spans="2:33">
      <c r="B22" s="104">
        <v>7</v>
      </c>
      <c r="C22" s="3" t="s">
        <v>49</v>
      </c>
      <c r="D22" s="43">
        <f t="shared" si="1"/>
        <v>0.53230324836601306</v>
      </c>
      <c r="E22" s="48">
        <v>0</v>
      </c>
      <c r="F22" s="49">
        <f t="shared" si="2"/>
        <v>2.7534856209150329E-2</v>
      </c>
      <c r="G22" s="20" t="s">
        <v>56</v>
      </c>
      <c r="H22" s="50">
        <f>25/4</f>
        <v>6.25</v>
      </c>
      <c r="I22" s="51">
        <v>0.97</v>
      </c>
      <c r="J22" s="52">
        <f>(1-I22)*J23+J23</f>
        <v>0</v>
      </c>
      <c r="K22" s="53">
        <v>13</v>
      </c>
      <c r="L22" s="54">
        <f t="shared" si="4"/>
        <v>2.6552287581699349E-2</v>
      </c>
      <c r="M22" s="54">
        <f>(1-I22)*SUM(L22)</f>
        <v>7.9656862745098114E-4</v>
      </c>
      <c r="N22" s="55">
        <f>(1-I22)*SUM(G12)</f>
        <v>1.8600000000000016E-4</v>
      </c>
      <c r="P22" s="56">
        <v>0.85</v>
      </c>
      <c r="Q22" s="108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109"/>
    </row>
    <row r="23" spans="2:33">
      <c r="B23" s="104">
        <v>8</v>
      </c>
      <c r="C23" s="3" t="s">
        <v>61</v>
      </c>
      <c r="D23" s="43">
        <f t="shared" si="1"/>
        <v>0.53802220261437905</v>
      </c>
      <c r="E23" s="48">
        <v>0</v>
      </c>
      <c r="F23" s="49">
        <f t="shared" si="2"/>
        <v>5.7189542483660136E-3</v>
      </c>
      <c r="G23" s="57" t="s">
        <v>46</v>
      </c>
      <c r="H23" s="50">
        <v>5</v>
      </c>
      <c r="I23" s="51">
        <v>1</v>
      </c>
      <c r="J23" s="52">
        <f t="shared" si="3"/>
        <v>0</v>
      </c>
      <c r="K23" s="53">
        <v>3.5</v>
      </c>
      <c r="L23" s="54">
        <f t="shared" si="4"/>
        <v>5.7189542483660136E-3</v>
      </c>
      <c r="M23" s="54">
        <f>(1-I23)*SUM(L16:L20,L23)</f>
        <v>0</v>
      </c>
      <c r="N23" s="55">
        <f>(1-I23)*SUM(D12,E12,J12,K12)</f>
        <v>0</v>
      </c>
      <c r="P23" s="56">
        <v>0.85</v>
      </c>
      <c r="Q23" s="108"/>
      <c r="R23" s="5" t="s">
        <v>93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109"/>
    </row>
    <row r="24" spans="2:33">
      <c r="B24" s="104">
        <v>9</v>
      </c>
      <c r="C24" s="3" t="s">
        <v>66</v>
      </c>
      <c r="D24" s="43">
        <f t="shared" si="1"/>
        <v>0.55377396405228752</v>
      </c>
      <c r="E24" s="48">
        <v>0</v>
      </c>
      <c r="F24" s="49">
        <f t="shared" si="2"/>
        <v>1.5751761437908501E-2</v>
      </c>
      <c r="G24" s="57" t="s">
        <v>46</v>
      </c>
      <c r="H24" s="50">
        <v>10</v>
      </c>
      <c r="I24" s="51">
        <v>0.99</v>
      </c>
      <c r="J24" s="52">
        <f>(1-I24)*J25+J25</f>
        <v>0</v>
      </c>
      <c r="K24" s="53">
        <v>3.5</v>
      </c>
      <c r="L24" s="54">
        <f t="shared" si="4"/>
        <v>1.1437908496732027E-2</v>
      </c>
      <c r="M24" s="54">
        <f>(1-I24)*SUM(L16:L20,L23:L24)</f>
        <v>1.944852941176472E-3</v>
      </c>
      <c r="N24" s="55">
        <f>(1-I24)*SUM(D12,E12,I12,J12,K12)</f>
        <v>2.3690000000000022E-3</v>
      </c>
      <c r="P24" s="56">
        <v>0.85</v>
      </c>
      <c r="Q24" s="108"/>
      <c r="R24" s="5" t="s">
        <v>73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109"/>
    </row>
    <row r="25" spans="2:33">
      <c r="B25" s="104">
        <v>10</v>
      </c>
      <c r="C25" s="3" t="s">
        <v>62</v>
      </c>
      <c r="D25" s="43">
        <f t="shared" si="1"/>
        <v>0.55720533660130711</v>
      </c>
      <c r="E25" s="48">
        <v>0</v>
      </c>
      <c r="F25" s="49">
        <f t="shared" si="2"/>
        <v>3.4313725490196078E-3</v>
      </c>
      <c r="G25" s="57" t="s">
        <v>46</v>
      </c>
      <c r="H25" s="50">
        <v>3</v>
      </c>
      <c r="I25" s="51">
        <v>1</v>
      </c>
      <c r="J25" s="52">
        <f t="shared" si="3"/>
        <v>0</v>
      </c>
      <c r="K25" s="53">
        <v>3.5</v>
      </c>
      <c r="L25" s="54">
        <f t="shared" si="4"/>
        <v>3.4313725490196078E-3</v>
      </c>
      <c r="M25" s="54">
        <f>(1-I25)*SUM(L22,L25)</f>
        <v>0</v>
      </c>
      <c r="N25" s="55">
        <f>(1-I25)*SUM(G12)</f>
        <v>0</v>
      </c>
      <c r="P25" s="56">
        <v>0.85</v>
      </c>
      <c r="Q25" s="108"/>
      <c r="R25" s="5" t="s">
        <v>70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109"/>
    </row>
    <row r="26" spans="2:33" ht="14.25" customHeight="1">
      <c r="B26" s="104">
        <v>11</v>
      </c>
      <c r="C26" s="3" t="s">
        <v>68</v>
      </c>
      <c r="D26" s="43">
        <f t="shared" si="1"/>
        <v>0.58419155555555546</v>
      </c>
      <c r="E26" s="48">
        <v>0</v>
      </c>
      <c r="F26" s="49">
        <f t="shared" si="2"/>
        <v>2.6986218954248381E-2</v>
      </c>
      <c r="G26" s="57" t="s">
        <v>69</v>
      </c>
      <c r="H26" s="50">
        <v>11</v>
      </c>
      <c r="I26" s="51">
        <v>0.97</v>
      </c>
      <c r="J26" s="52">
        <f t="shared" si="3"/>
        <v>0</v>
      </c>
      <c r="K26" s="53">
        <v>3.5</v>
      </c>
      <c r="L26" s="54">
        <f t="shared" si="4"/>
        <v>1.2581699346405229E-2</v>
      </c>
      <c r="M26" s="54">
        <f>(1-I26)*SUM(L16:L20,L22:L26)</f>
        <v>7.1115196078431432E-3</v>
      </c>
      <c r="N26" s="55">
        <f>(1-I26)*SUM(D12,E12,G12,I12,J12,K12)</f>
        <v>7.2930000000000069E-3</v>
      </c>
      <c r="P26" s="56">
        <v>0.85</v>
      </c>
      <c r="Q26" s="108"/>
      <c r="R26" s="5" t="s">
        <v>90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109"/>
    </row>
    <row r="27" spans="2:33">
      <c r="B27" s="104">
        <v>12</v>
      </c>
      <c r="C27" s="2" t="s">
        <v>45</v>
      </c>
      <c r="D27" s="43">
        <f t="shared" si="1"/>
        <v>0.59823489215686265</v>
      </c>
      <c r="E27" s="48">
        <v>0</v>
      </c>
      <c r="F27" s="49">
        <f t="shared" si="2"/>
        <v>1.4043336601307195E-2</v>
      </c>
      <c r="G27" s="57" t="s">
        <v>46</v>
      </c>
      <c r="H27" s="50">
        <v>8</v>
      </c>
      <c r="I27" s="51">
        <v>0.99</v>
      </c>
      <c r="J27" s="52">
        <f t="shared" si="3"/>
        <v>0</v>
      </c>
      <c r="K27" s="53">
        <v>3.5</v>
      </c>
      <c r="L27" s="54">
        <f>(K27/P27/3600)*H27</f>
        <v>9.1503267973856214E-3</v>
      </c>
      <c r="M27" s="54">
        <f>(1-I27)*SUM(L16:L20,L22:L27)</f>
        <v>2.4620098039215706E-3</v>
      </c>
      <c r="N27" s="55">
        <f>(1-I27)*SUM(D12:E12,G12:K12)</f>
        <v>2.4310000000000022E-3</v>
      </c>
      <c r="P27" s="56">
        <v>0.85</v>
      </c>
      <c r="Q27" s="108"/>
      <c r="R27" s="5" t="s">
        <v>73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109"/>
    </row>
    <row r="28" spans="2:33">
      <c r="B28" s="104">
        <v>13</v>
      </c>
      <c r="C28" s="2" t="s">
        <v>64</v>
      </c>
      <c r="D28" s="43">
        <f t="shared" si="1"/>
        <v>0.6173912745098038</v>
      </c>
      <c r="E28" s="48">
        <v>0</v>
      </c>
      <c r="F28" s="49">
        <f t="shared" si="2"/>
        <v>1.9156382352941179E-2</v>
      </c>
      <c r="G28" s="57" t="s">
        <v>46</v>
      </c>
      <c r="H28" s="50">
        <v>12</v>
      </c>
      <c r="I28" s="51">
        <v>0.99</v>
      </c>
      <c r="J28" s="52">
        <f t="shared" si="3"/>
        <v>0</v>
      </c>
      <c r="K28" s="53">
        <v>3.5</v>
      </c>
      <c r="L28" s="54">
        <f t="shared" si="4"/>
        <v>1.3725490196078431E-2</v>
      </c>
      <c r="M28" s="54">
        <f>(1-I28)*SUM(L16:L28)</f>
        <v>2.9178921568627477E-3</v>
      </c>
      <c r="N28" s="55">
        <f>(1-I28)*SUM(D12:K12)</f>
        <v>2.5130000000000026E-3</v>
      </c>
      <c r="P28" s="56">
        <v>0.85</v>
      </c>
      <c r="Q28" s="108"/>
      <c r="R28" s="5" t="s">
        <v>74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09"/>
    </row>
    <row r="29" spans="2:33">
      <c r="B29" s="104">
        <v>14</v>
      </c>
      <c r="C29" s="21" t="s">
        <v>65</v>
      </c>
      <c r="D29" s="43">
        <f t="shared" si="1"/>
        <v>0.64664310130718938</v>
      </c>
      <c r="E29" s="48">
        <v>0</v>
      </c>
      <c r="F29" s="49">
        <f t="shared" si="2"/>
        <v>2.9251826797385638E-2</v>
      </c>
      <c r="G29" s="57" t="s">
        <v>46</v>
      </c>
      <c r="H29" s="50">
        <v>11</v>
      </c>
      <c r="I29" s="51">
        <v>0.97</v>
      </c>
      <c r="J29" s="52">
        <f t="shared" si="3"/>
        <v>0</v>
      </c>
      <c r="K29" s="53">
        <v>3.5</v>
      </c>
      <c r="L29" s="54">
        <f t="shared" si="4"/>
        <v>1.2581699346405229E-2</v>
      </c>
      <c r="M29" s="54">
        <f>(1-I29)*SUM(L16:L29)</f>
        <v>9.1311274509804016E-3</v>
      </c>
      <c r="N29" s="55">
        <f>(1-I29)*SUM(D12:K12)</f>
        <v>7.5390000000000075E-3</v>
      </c>
      <c r="P29" s="56">
        <v>0.85</v>
      </c>
      <c r="Q29" s="108"/>
      <c r="R29" s="5" t="s">
        <v>91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109"/>
    </row>
    <row r="30" spans="2:33">
      <c r="B30" s="104">
        <v>15</v>
      </c>
      <c r="C30" s="2" t="s">
        <v>58</v>
      </c>
      <c r="D30" s="43">
        <f t="shared" si="1"/>
        <v>0.65808100980392137</v>
      </c>
      <c r="E30" s="48">
        <v>0</v>
      </c>
      <c r="F30" s="49">
        <f t="shared" si="2"/>
        <v>1.1437908496732027E-2</v>
      </c>
      <c r="G30" s="57" t="s">
        <v>46</v>
      </c>
      <c r="H30" s="50">
        <v>10</v>
      </c>
      <c r="I30" s="51">
        <v>1</v>
      </c>
      <c r="J30" s="52">
        <f t="shared" si="3"/>
        <v>0</v>
      </c>
      <c r="K30" s="53">
        <v>3.5</v>
      </c>
      <c r="L30" s="54">
        <f t="shared" si="4"/>
        <v>1.1437908496732027E-2</v>
      </c>
      <c r="M30" s="54">
        <f>(1-I30)*SUM(L16:L30)</f>
        <v>0</v>
      </c>
      <c r="N30" s="55">
        <f>(1-I30)*SUM(D12:K12)</f>
        <v>0</v>
      </c>
      <c r="P30" s="56">
        <v>0.85</v>
      </c>
      <c r="Q30" s="108"/>
      <c r="R30" s="5" t="s">
        <v>75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109"/>
    </row>
    <row r="31" spans="2:33">
      <c r="B31" s="41">
        <v>16</v>
      </c>
      <c r="C31" s="2"/>
      <c r="D31" s="43">
        <f t="shared" si="1"/>
        <v>0.65808100980392137</v>
      </c>
      <c r="E31" s="48">
        <v>0</v>
      </c>
      <c r="F31" s="49">
        <f t="shared" si="2"/>
        <v>0</v>
      </c>
      <c r="G31" s="57"/>
      <c r="H31" s="50"/>
      <c r="I31" s="51">
        <v>1</v>
      </c>
      <c r="J31" s="52">
        <f t="shared" si="3"/>
        <v>0</v>
      </c>
      <c r="K31" s="53">
        <v>0</v>
      </c>
      <c r="L31" s="54">
        <f t="shared" si="4"/>
        <v>0</v>
      </c>
      <c r="M31" s="54">
        <f>(1-I31)*SUM(L16:L31)</f>
        <v>0</v>
      </c>
      <c r="N31" s="55">
        <f>(1-I31)*SUM(D12:L12)</f>
        <v>0</v>
      </c>
      <c r="P31" s="56">
        <v>1</v>
      </c>
      <c r="Q31" s="108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109"/>
    </row>
    <row r="32" spans="2:33">
      <c r="B32" s="41">
        <v>17</v>
      </c>
      <c r="C32" s="3"/>
      <c r="D32" s="43">
        <f t="shared" si="1"/>
        <v>0.65808100980392137</v>
      </c>
      <c r="E32" s="48">
        <v>0</v>
      </c>
      <c r="F32" s="49">
        <f t="shared" si="2"/>
        <v>0</v>
      </c>
      <c r="G32" s="57"/>
      <c r="H32" s="50"/>
      <c r="I32" s="51">
        <v>1</v>
      </c>
      <c r="J32" s="52">
        <f t="shared" si="3"/>
        <v>0</v>
      </c>
      <c r="K32" s="53">
        <v>0</v>
      </c>
      <c r="L32" s="54">
        <f t="shared" si="4"/>
        <v>0</v>
      </c>
      <c r="M32" s="54">
        <f>(1-I32)*SUM(L16:L32)</f>
        <v>0</v>
      </c>
      <c r="N32" s="55">
        <f>(1-I32)*SUM(D12:L12)</f>
        <v>0</v>
      </c>
      <c r="P32" s="56">
        <v>1</v>
      </c>
      <c r="Q32" s="108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109"/>
    </row>
    <row r="33" spans="2:33">
      <c r="B33" s="41">
        <v>18</v>
      </c>
      <c r="C33" s="3"/>
      <c r="D33" s="43">
        <f t="shared" si="1"/>
        <v>0.65808100980392137</v>
      </c>
      <c r="E33" s="48">
        <v>0</v>
      </c>
      <c r="F33" s="49">
        <f t="shared" si="2"/>
        <v>0</v>
      </c>
      <c r="G33" s="58"/>
      <c r="H33" s="50"/>
      <c r="I33" s="51">
        <v>1</v>
      </c>
      <c r="J33" s="52">
        <f>(1-I33)*J34+J34</f>
        <v>0</v>
      </c>
      <c r="K33" s="53">
        <v>0</v>
      </c>
      <c r="L33" s="54">
        <f t="shared" si="4"/>
        <v>0</v>
      </c>
      <c r="M33" s="54">
        <f t="shared" ref="M33:M46" si="6">(1-I33)*L33</f>
        <v>0</v>
      </c>
      <c r="N33" s="55">
        <f t="shared" ref="N33:N46" si="7">(1-I33)*D32</f>
        <v>0</v>
      </c>
      <c r="P33" s="56">
        <v>1</v>
      </c>
      <c r="Q33" s="108"/>
      <c r="R33" s="5" t="s">
        <v>89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109"/>
    </row>
    <row r="34" spans="2:33" hidden="1">
      <c r="B34" s="41">
        <v>19</v>
      </c>
      <c r="C34" s="3"/>
      <c r="D34" s="43">
        <f t="shared" si="1"/>
        <v>0.65808100980392137</v>
      </c>
      <c r="E34" s="48">
        <v>0</v>
      </c>
      <c r="F34" s="49">
        <f t="shared" si="2"/>
        <v>0</v>
      </c>
      <c r="G34" s="58"/>
      <c r="H34" s="50"/>
      <c r="I34" s="51">
        <v>1</v>
      </c>
      <c r="J34" s="52">
        <f t="shared" si="3"/>
        <v>0</v>
      </c>
      <c r="K34" s="53">
        <v>0</v>
      </c>
      <c r="L34" s="54">
        <f t="shared" si="4"/>
        <v>0</v>
      </c>
      <c r="M34" s="54">
        <f t="shared" si="6"/>
        <v>0</v>
      </c>
      <c r="N34" s="55">
        <f t="shared" si="7"/>
        <v>0</v>
      </c>
      <c r="P34" s="56">
        <v>1</v>
      </c>
      <c r="Q34" s="108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109"/>
    </row>
    <row r="35" spans="2:33" hidden="1">
      <c r="B35" s="41">
        <v>20</v>
      </c>
      <c r="C35" s="2"/>
      <c r="D35" s="43">
        <f t="shared" si="1"/>
        <v>0.65808100980392137</v>
      </c>
      <c r="E35" s="48">
        <v>0</v>
      </c>
      <c r="F35" s="49">
        <f t="shared" si="2"/>
        <v>0</v>
      </c>
      <c r="G35" s="58"/>
      <c r="H35" s="50"/>
      <c r="I35" s="51">
        <v>1</v>
      </c>
      <c r="J35" s="52">
        <f t="shared" si="3"/>
        <v>0</v>
      </c>
      <c r="K35" s="53">
        <v>0</v>
      </c>
      <c r="L35" s="54">
        <f t="shared" si="4"/>
        <v>0</v>
      </c>
      <c r="M35" s="54">
        <f t="shared" si="6"/>
        <v>0</v>
      </c>
      <c r="N35" s="55">
        <f t="shared" si="7"/>
        <v>0</v>
      </c>
      <c r="P35" s="56">
        <v>1</v>
      </c>
      <c r="Q35" s="108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109"/>
    </row>
    <row r="36" spans="2:33" hidden="1">
      <c r="B36" s="41">
        <v>21</v>
      </c>
      <c r="C36" s="59"/>
      <c r="D36" s="43">
        <f t="shared" si="1"/>
        <v>0.65808100980392137</v>
      </c>
      <c r="E36" s="48">
        <v>0</v>
      </c>
      <c r="F36" s="49">
        <f t="shared" si="2"/>
        <v>0</v>
      </c>
      <c r="G36" s="58"/>
      <c r="H36" s="50"/>
      <c r="I36" s="51">
        <v>1</v>
      </c>
      <c r="J36" s="52">
        <f t="shared" si="3"/>
        <v>0</v>
      </c>
      <c r="K36" s="53">
        <v>0</v>
      </c>
      <c r="L36" s="54">
        <f t="shared" si="4"/>
        <v>0</v>
      </c>
      <c r="M36" s="54">
        <f t="shared" si="6"/>
        <v>0</v>
      </c>
      <c r="N36" s="55">
        <f t="shared" si="7"/>
        <v>0</v>
      </c>
      <c r="P36" s="56">
        <v>1</v>
      </c>
      <c r="Q36" s="108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109"/>
    </row>
    <row r="37" spans="2:33" hidden="1">
      <c r="B37" s="41">
        <v>22</v>
      </c>
      <c r="C37" s="21"/>
      <c r="D37" s="43">
        <f t="shared" si="1"/>
        <v>0.65808100980392137</v>
      </c>
      <c r="E37" s="48">
        <v>0</v>
      </c>
      <c r="F37" s="49">
        <f t="shared" si="2"/>
        <v>0</v>
      </c>
      <c r="G37" s="58"/>
      <c r="H37" s="50"/>
      <c r="I37" s="51">
        <v>1</v>
      </c>
      <c r="J37" s="52">
        <f t="shared" si="3"/>
        <v>0</v>
      </c>
      <c r="K37" s="53">
        <v>0</v>
      </c>
      <c r="L37" s="54">
        <f t="shared" si="4"/>
        <v>0</v>
      </c>
      <c r="M37" s="54">
        <f t="shared" si="6"/>
        <v>0</v>
      </c>
      <c r="N37" s="55">
        <f t="shared" si="7"/>
        <v>0</v>
      </c>
      <c r="P37" s="56">
        <v>1</v>
      </c>
      <c r="Q37" s="108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109"/>
    </row>
    <row r="38" spans="2:33" hidden="1">
      <c r="B38" s="41">
        <v>23</v>
      </c>
      <c r="C38" s="21"/>
      <c r="D38" s="43">
        <f t="shared" si="1"/>
        <v>0.65808100980392137</v>
      </c>
      <c r="E38" s="48">
        <v>0</v>
      </c>
      <c r="F38" s="49">
        <f t="shared" si="2"/>
        <v>0</v>
      </c>
      <c r="G38" s="58"/>
      <c r="H38" s="50"/>
      <c r="I38" s="51">
        <v>1</v>
      </c>
      <c r="J38" s="52">
        <f t="shared" si="3"/>
        <v>0</v>
      </c>
      <c r="K38" s="53">
        <v>0</v>
      </c>
      <c r="L38" s="54">
        <f t="shared" si="4"/>
        <v>0</v>
      </c>
      <c r="M38" s="54">
        <f t="shared" si="6"/>
        <v>0</v>
      </c>
      <c r="N38" s="55">
        <f t="shared" si="7"/>
        <v>0</v>
      </c>
      <c r="P38" s="56">
        <v>1</v>
      </c>
      <c r="Q38" s="108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109"/>
    </row>
    <row r="39" spans="2:33" hidden="1">
      <c r="B39" s="41">
        <v>24</v>
      </c>
      <c r="C39" s="21"/>
      <c r="D39" s="43">
        <f t="shared" si="1"/>
        <v>0.65808100980392137</v>
      </c>
      <c r="E39" s="48">
        <v>0</v>
      </c>
      <c r="F39" s="49">
        <f t="shared" si="2"/>
        <v>0</v>
      </c>
      <c r="G39" s="58"/>
      <c r="H39" s="50"/>
      <c r="I39" s="51">
        <v>1</v>
      </c>
      <c r="J39" s="52">
        <f t="shared" si="3"/>
        <v>0</v>
      </c>
      <c r="K39" s="53">
        <v>0</v>
      </c>
      <c r="L39" s="54">
        <f t="shared" si="4"/>
        <v>0</v>
      </c>
      <c r="M39" s="54">
        <f t="shared" si="6"/>
        <v>0</v>
      </c>
      <c r="N39" s="55">
        <f t="shared" si="7"/>
        <v>0</v>
      </c>
      <c r="P39" s="56">
        <v>1</v>
      </c>
      <c r="Q39" s="108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109"/>
    </row>
    <row r="40" spans="2:33" hidden="1">
      <c r="B40" s="41">
        <v>25</v>
      </c>
      <c r="C40" s="21"/>
      <c r="D40" s="43">
        <f t="shared" si="1"/>
        <v>0.65808100980392137</v>
      </c>
      <c r="E40" s="48">
        <v>0</v>
      </c>
      <c r="F40" s="49">
        <f t="shared" si="2"/>
        <v>0</v>
      </c>
      <c r="G40" s="58"/>
      <c r="H40" s="50"/>
      <c r="I40" s="51">
        <v>1</v>
      </c>
      <c r="J40" s="52">
        <f t="shared" si="3"/>
        <v>0</v>
      </c>
      <c r="K40" s="53">
        <v>0</v>
      </c>
      <c r="L40" s="54">
        <f t="shared" si="4"/>
        <v>0</v>
      </c>
      <c r="M40" s="54">
        <f t="shared" si="6"/>
        <v>0</v>
      </c>
      <c r="N40" s="55">
        <f t="shared" si="7"/>
        <v>0</v>
      </c>
      <c r="P40" s="56">
        <v>1</v>
      </c>
      <c r="Q40" s="108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109"/>
    </row>
    <row r="41" spans="2:33" hidden="1">
      <c r="B41" s="41">
        <v>26</v>
      </c>
      <c r="C41" s="21"/>
      <c r="D41" s="43">
        <f t="shared" si="1"/>
        <v>0.65808100980392137</v>
      </c>
      <c r="E41" s="48">
        <v>0</v>
      </c>
      <c r="F41" s="49">
        <f t="shared" si="2"/>
        <v>0</v>
      </c>
      <c r="G41" s="58"/>
      <c r="H41" s="50"/>
      <c r="I41" s="51">
        <v>1</v>
      </c>
      <c r="J41" s="52">
        <f t="shared" si="3"/>
        <v>0</v>
      </c>
      <c r="K41" s="53">
        <v>0</v>
      </c>
      <c r="L41" s="54">
        <f t="shared" si="4"/>
        <v>0</v>
      </c>
      <c r="M41" s="54">
        <f t="shared" si="6"/>
        <v>0</v>
      </c>
      <c r="N41" s="55">
        <f t="shared" si="7"/>
        <v>0</v>
      </c>
      <c r="P41" s="56">
        <v>1</v>
      </c>
      <c r="Q41" s="108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109"/>
    </row>
    <row r="42" spans="2:33" hidden="1">
      <c r="B42" s="41">
        <v>27</v>
      </c>
      <c r="C42" s="2"/>
      <c r="D42" s="43">
        <f t="shared" si="1"/>
        <v>0.65808100980392137</v>
      </c>
      <c r="E42" s="48">
        <v>0</v>
      </c>
      <c r="F42" s="49">
        <f t="shared" si="2"/>
        <v>0</v>
      </c>
      <c r="G42" s="58"/>
      <c r="H42" s="50"/>
      <c r="I42" s="51">
        <v>1</v>
      </c>
      <c r="J42" s="52">
        <f t="shared" si="3"/>
        <v>0</v>
      </c>
      <c r="K42" s="53">
        <v>0</v>
      </c>
      <c r="L42" s="54">
        <f t="shared" si="4"/>
        <v>0</v>
      </c>
      <c r="M42" s="54">
        <f t="shared" si="6"/>
        <v>0</v>
      </c>
      <c r="N42" s="55">
        <f t="shared" si="7"/>
        <v>0</v>
      </c>
      <c r="P42" s="56">
        <v>1</v>
      </c>
      <c r="Q42" s="108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109"/>
    </row>
    <row r="43" spans="2:33" hidden="1">
      <c r="B43" s="41">
        <v>28</v>
      </c>
      <c r="C43" s="2"/>
      <c r="D43" s="43">
        <f t="shared" si="1"/>
        <v>0.65808100980392137</v>
      </c>
      <c r="E43" s="48">
        <v>0</v>
      </c>
      <c r="F43" s="49">
        <f t="shared" si="2"/>
        <v>0</v>
      </c>
      <c r="G43" s="58"/>
      <c r="H43" s="50"/>
      <c r="I43" s="51">
        <v>1</v>
      </c>
      <c r="J43" s="52">
        <f t="shared" si="3"/>
        <v>0</v>
      </c>
      <c r="K43" s="53">
        <v>0</v>
      </c>
      <c r="L43" s="54">
        <f t="shared" si="4"/>
        <v>0</v>
      </c>
      <c r="M43" s="54">
        <f t="shared" si="6"/>
        <v>0</v>
      </c>
      <c r="N43" s="55">
        <f t="shared" si="7"/>
        <v>0</v>
      </c>
      <c r="P43" s="56">
        <v>1</v>
      </c>
      <c r="Q43" s="108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109"/>
    </row>
    <row r="44" spans="2:33" hidden="1">
      <c r="B44" s="41">
        <v>29</v>
      </c>
      <c r="C44" s="2"/>
      <c r="D44" s="43">
        <f t="shared" si="1"/>
        <v>0.65808100980392137</v>
      </c>
      <c r="E44" s="48">
        <v>0</v>
      </c>
      <c r="F44" s="49">
        <f t="shared" si="2"/>
        <v>0</v>
      </c>
      <c r="G44" s="58"/>
      <c r="H44" s="50"/>
      <c r="I44" s="51">
        <v>1</v>
      </c>
      <c r="J44" s="52">
        <f t="shared" si="3"/>
        <v>0</v>
      </c>
      <c r="K44" s="53">
        <v>0</v>
      </c>
      <c r="L44" s="54">
        <f t="shared" si="4"/>
        <v>0</v>
      </c>
      <c r="M44" s="54">
        <f t="shared" si="6"/>
        <v>0</v>
      </c>
      <c r="N44" s="55">
        <f t="shared" si="7"/>
        <v>0</v>
      </c>
      <c r="P44" s="56">
        <v>1</v>
      </c>
      <c r="Q44" s="108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109"/>
    </row>
    <row r="45" spans="2:33">
      <c r="B45" s="60" t="s">
        <v>8</v>
      </c>
      <c r="C45" s="61"/>
      <c r="D45" s="43">
        <f>D44+E45+F45</f>
        <v>0.65808100980392137</v>
      </c>
      <c r="E45" s="48">
        <v>0</v>
      </c>
      <c r="F45" s="49">
        <f t="shared" si="2"/>
        <v>0</v>
      </c>
      <c r="G45" s="62"/>
      <c r="H45" s="50"/>
      <c r="I45" s="51">
        <v>1</v>
      </c>
      <c r="J45" s="52">
        <f t="shared" si="3"/>
        <v>0</v>
      </c>
      <c r="K45" s="53">
        <v>0</v>
      </c>
      <c r="L45" s="54">
        <f t="shared" si="4"/>
        <v>0</v>
      </c>
      <c r="M45" s="54">
        <f t="shared" si="6"/>
        <v>0</v>
      </c>
      <c r="N45" s="55">
        <f>(1-I45)*D44</f>
        <v>0</v>
      </c>
      <c r="P45" s="56">
        <v>1</v>
      </c>
      <c r="Q45" s="108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109"/>
    </row>
    <row r="46" spans="2:33">
      <c r="B46" s="60" t="s">
        <v>9</v>
      </c>
      <c r="C46" s="61"/>
      <c r="D46" s="43">
        <f>D45+E46+F46</f>
        <v>0.68716270915032651</v>
      </c>
      <c r="E46" s="48">
        <v>1.6500000000000001E-2</v>
      </c>
      <c r="F46" s="49">
        <f t="shared" si="2"/>
        <v>1.2581699346405229E-2</v>
      </c>
      <c r="G46" s="62"/>
      <c r="H46" s="50">
        <v>11</v>
      </c>
      <c r="I46" s="51">
        <v>1</v>
      </c>
      <c r="J46" s="52">
        <f>(1-I46)*J48+J48</f>
        <v>0</v>
      </c>
      <c r="K46" s="53">
        <v>3.5</v>
      </c>
      <c r="L46" s="54">
        <f t="shared" si="4"/>
        <v>1.2581699346405229E-2</v>
      </c>
      <c r="M46" s="54">
        <f t="shared" si="6"/>
        <v>0</v>
      </c>
      <c r="N46" s="55">
        <f t="shared" si="7"/>
        <v>0</v>
      </c>
      <c r="P46" s="56">
        <v>0.85</v>
      </c>
      <c r="Q46" s="110" t="s">
        <v>88</v>
      </c>
      <c r="R46" s="111" t="s">
        <v>80</v>
      </c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5"/>
      <c r="AF46" s="5"/>
      <c r="AG46" s="109"/>
    </row>
    <row r="47" spans="2:33">
      <c r="B47" s="60" t="s">
        <v>10</v>
      </c>
      <c r="C47" s="63"/>
      <c r="D47" s="43">
        <f>D46</f>
        <v>0.68716270915032651</v>
      </c>
      <c r="E47" s="43">
        <f>SUM(E15:E46)</f>
        <v>0.26780000000000004</v>
      </c>
      <c r="F47" s="64">
        <f>SUM(F15:F46)</f>
        <v>0.41936270915032692</v>
      </c>
      <c r="G47" s="65"/>
      <c r="H47" s="50"/>
      <c r="I47" s="65"/>
      <c r="J47" s="66"/>
      <c r="K47" s="65"/>
      <c r="L47" s="63"/>
      <c r="M47" s="63"/>
      <c r="N47" s="67"/>
      <c r="Q47" s="108"/>
      <c r="R47" s="111" t="s">
        <v>79</v>
      </c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5"/>
      <c r="AF47" s="5"/>
      <c r="AG47" s="109"/>
    </row>
    <row r="48" spans="2:33">
      <c r="B48" s="60" t="s">
        <v>11</v>
      </c>
      <c r="C48" s="68"/>
      <c r="D48" s="43">
        <f>D47+F48</f>
        <v>0.68716270915032651</v>
      </c>
      <c r="E48" s="43"/>
      <c r="F48" s="69">
        <v>0</v>
      </c>
      <c r="G48" s="70"/>
      <c r="H48" s="70"/>
      <c r="I48" s="71" t="s">
        <v>27</v>
      </c>
      <c r="J48" s="72">
        <f>D7</f>
        <v>0</v>
      </c>
      <c r="K48" s="70"/>
      <c r="L48" s="42"/>
      <c r="M48" s="42"/>
      <c r="N48" s="47"/>
      <c r="Q48" s="108"/>
      <c r="R48" s="112">
        <v>1</v>
      </c>
      <c r="S48" s="111" t="s">
        <v>81</v>
      </c>
      <c r="T48" s="111"/>
      <c r="U48" s="111"/>
      <c r="V48" s="111"/>
      <c r="W48" s="111">
        <v>5</v>
      </c>
      <c r="X48" s="111" t="s">
        <v>85</v>
      </c>
      <c r="Y48" s="111"/>
      <c r="Z48" s="111"/>
      <c r="AA48" s="111"/>
      <c r="AB48" s="111"/>
      <c r="AC48" s="111"/>
      <c r="AD48" s="111"/>
      <c r="AE48" s="5"/>
      <c r="AF48" s="5"/>
      <c r="AG48" s="109"/>
    </row>
    <row r="49" spans="2:33">
      <c r="B49" s="60" t="s">
        <v>32</v>
      </c>
      <c r="C49" s="73">
        <v>0.03</v>
      </c>
      <c r="D49" s="43">
        <f>D48+F49</f>
        <v>0.70777759042483634</v>
      </c>
      <c r="E49" s="43">
        <v>0</v>
      </c>
      <c r="F49" s="74">
        <f>D48*C49</f>
        <v>2.0614881274509795E-2</v>
      </c>
      <c r="G49" s="70"/>
      <c r="H49" s="70"/>
      <c r="I49" s="70"/>
      <c r="J49" s="75"/>
      <c r="K49" s="70"/>
      <c r="L49" s="42"/>
      <c r="M49" s="42"/>
      <c r="N49" s="47"/>
      <c r="Q49" s="108"/>
      <c r="R49" s="111">
        <v>2</v>
      </c>
      <c r="S49" s="111" t="s">
        <v>82</v>
      </c>
      <c r="T49" s="111"/>
      <c r="U49" s="111"/>
      <c r="V49" s="111"/>
      <c r="W49" s="111">
        <v>6</v>
      </c>
      <c r="X49" s="111" t="s">
        <v>86</v>
      </c>
      <c r="Y49" s="111"/>
      <c r="Z49" s="111"/>
      <c r="AA49" s="111"/>
      <c r="AB49" s="111"/>
      <c r="AC49" s="111"/>
      <c r="AD49" s="111"/>
      <c r="AE49" s="5"/>
      <c r="AF49" s="5"/>
      <c r="AG49" s="109"/>
    </row>
    <row r="50" spans="2:33">
      <c r="B50" s="60" t="s">
        <v>33</v>
      </c>
      <c r="C50" s="73">
        <v>0.03</v>
      </c>
      <c r="D50" s="43">
        <f>D49+F50</f>
        <v>0.72901091813758145</v>
      </c>
      <c r="E50" s="43">
        <v>0</v>
      </c>
      <c r="F50" s="74">
        <f>D49*C50</f>
        <v>2.1233327712745088E-2</v>
      </c>
      <c r="G50" s="70"/>
      <c r="H50" s="70"/>
      <c r="I50" s="70"/>
      <c r="J50" s="75"/>
      <c r="K50" s="70"/>
      <c r="L50" s="42"/>
      <c r="M50" s="42"/>
      <c r="N50" s="47"/>
      <c r="Q50" s="108"/>
      <c r="R50" s="111">
        <v>3</v>
      </c>
      <c r="S50" s="111" t="s">
        <v>83</v>
      </c>
      <c r="T50" s="111"/>
      <c r="U50" s="111"/>
      <c r="V50" s="111"/>
      <c r="W50" s="111">
        <v>7</v>
      </c>
      <c r="X50" s="111" t="s">
        <v>87</v>
      </c>
      <c r="Y50" s="111"/>
      <c r="Z50" s="111"/>
      <c r="AA50" s="111"/>
      <c r="AB50" s="111"/>
      <c r="AC50" s="111"/>
      <c r="AD50" s="111"/>
      <c r="AE50" s="5"/>
      <c r="AF50" s="5"/>
      <c r="AG50" s="109"/>
    </row>
    <row r="51" spans="2:33">
      <c r="B51" s="60" t="s">
        <v>12</v>
      </c>
      <c r="C51" s="105">
        <v>0.04</v>
      </c>
      <c r="D51" s="43">
        <f>D50+F51</f>
        <v>0.75817135486308473</v>
      </c>
      <c r="E51" s="43">
        <v>0</v>
      </c>
      <c r="F51" s="74">
        <f>D50*C51</f>
        <v>2.916043672550326E-2</v>
      </c>
      <c r="G51" s="70"/>
      <c r="H51" s="70"/>
      <c r="I51" s="76"/>
      <c r="J51" s="75"/>
      <c r="K51" s="70"/>
      <c r="L51" s="42"/>
      <c r="M51" s="42"/>
      <c r="N51" s="47"/>
      <c r="Q51" s="108"/>
      <c r="R51" s="111">
        <v>4</v>
      </c>
      <c r="S51" s="111" t="s">
        <v>84</v>
      </c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5"/>
      <c r="AF51" s="5"/>
      <c r="AG51" s="109"/>
    </row>
    <row r="52" spans="2:33" ht="15" thickBot="1">
      <c r="B52" s="77" t="s">
        <v>36</v>
      </c>
      <c r="C52" s="78"/>
      <c r="D52" s="79">
        <f>D51+F52</f>
        <v>0.75817135486308473</v>
      </c>
      <c r="E52" s="79"/>
      <c r="F52" s="80"/>
      <c r="G52" s="81"/>
      <c r="H52" s="81"/>
      <c r="I52" s="81"/>
      <c r="J52" s="82"/>
      <c r="K52" s="78"/>
      <c r="L52" s="78"/>
      <c r="M52" s="78"/>
      <c r="N52" s="83"/>
      <c r="Q52" s="108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109"/>
    </row>
    <row r="53" spans="2:33" ht="15" thickBot="1">
      <c r="B53" s="84" t="s">
        <v>13</v>
      </c>
      <c r="C53" s="85"/>
      <c r="D53" s="86">
        <f>D52</f>
        <v>0.75817135486308473</v>
      </c>
      <c r="E53" s="87"/>
      <c r="F53" s="88"/>
      <c r="G53" s="89"/>
      <c r="H53" s="89"/>
      <c r="I53" s="89"/>
      <c r="J53" s="90"/>
      <c r="K53" s="89"/>
      <c r="L53" s="89"/>
      <c r="M53" s="89"/>
      <c r="N53" s="89"/>
      <c r="Q53" s="108"/>
      <c r="R53" s="6" t="s">
        <v>96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109"/>
    </row>
    <row r="54" spans="2:33" ht="15" thickBot="1">
      <c r="F54" s="91"/>
      <c r="Q54" s="113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114"/>
    </row>
    <row r="55" spans="2:33">
      <c r="D55" s="92"/>
      <c r="H55" s="101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2:33">
      <c r="D56" s="93"/>
      <c r="E56" s="91"/>
      <c r="H56" s="94"/>
    </row>
    <row r="57" spans="2:33">
      <c r="D57" s="100"/>
      <c r="H57" s="94"/>
    </row>
    <row r="58" spans="2:33">
      <c r="E58" s="95"/>
      <c r="H58" s="94"/>
    </row>
    <row r="59" spans="2:33">
      <c r="D59" s="102"/>
      <c r="H59" s="94"/>
      <c r="I59" s="96"/>
    </row>
    <row r="60" spans="2:33">
      <c r="B60" s="4" t="s">
        <v>76</v>
      </c>
      <c r="D60" s="91"/>
      <c r="E60" s="95"/>
    </row>
    <row r="61" spans="2:33">
      <c r="B61" s="4" t="s">
        <v>67</v>
      </c>
      <c r="F61" s="94"/>
      <c r="G61" s="94"/>
    </row>
    <row r="62" spans="2:33">
      <c r="B62" s="4" t="s">
        <v>77</v>
      </c>
      <c r="E62" s="97"/>
      <c r="F62" s="94"/>
      <c r="G62" s="98"/>
    </row>
    <row r="63" spans="2:33">
      <c r="F63" s="94"/>
      <c r="G63" s="94"/>
    </row>
    <row r="64" spans="2:33">
      <c r="F64" s="94"/>
      <c r="G64" s="94"/>
    </row>
    <row r="65" spans="6:7">
      <c r="F65" s="99"/>
      <c r="G65" s="99"/>
    </row>
  </sheetData>
  <mergeCells count="4">
    <mergeCell ref="B1:N1"/>
    <mergeCell ref="B2:N2"/>
    <mergeCell ref="B4:B12"/>
    <mergeCell ref="Q14:Z14"/>
  </mergeCells>
  <phoneticPr fontId="4" type="noConversion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64"/>
  <sheetViews>
    <sheetView tabSelected="1" topLeftCell="A22" zoomScale="85" zoomScaleNormal="85" zoomScalePageLayoutView="85" workbookViewId="0">
      <selection activeCell="E58" sqref="E58"/>
    </sheetView>
  </sheetViews>
  <sheetFormatPr baseColWidth="10" defaultColWidth="10.33203125" defaultRowHeight="14" x14ac:dyDescent="0"/>
  <cols>
    <col min="1" max="1" width="1.83203125" style="4" customWidth="1"/>
    <col min="2" max="2" width="21.83203125" style="4" customWidth="1"/>
    <col min="3" max="3" width="52.5" style="4" customWidth="1"/>
    <col min="4" max="9" width="14.5" style="4" customWidth="1"/>
    <col min="10" max="10" width="13.33203125" style="4" hidden="1" customWidth="1"/>
    <col min="11" max="14" width="10.6640625" style="4" hidden="1" customWidth="1"/>
    <col min="15" max="15" width="1.83203125" style="4" customWidth="1"/>
    <col min="16" max="16" width="12.6640625" style="4" hidden="1" customWidth="1"/>
    <col min="17" max="16384" width="10.33203125" style="4"/>
  </cols>
  <sheetData>
    <row r="1" spans="2:16" ht="22.5" customHeight="1">
      <c r="B1" s="116" t="s">
        <v>26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8"/>
      <c r="P1" s="5"/>
    </row>
    <row r="2" spans="2:16" ht="37.5" customHeight="1" thickBot="1">
      <c r="B2" s="119" t="s">
        <v>25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  <c r="P2" s="5"/>
    </row>
    <row r="3" spans="2:16" s="8" customFormat="1" ht="9" customHeight="1" thickBot="1">
      <c r="B3" s="4"/>
      <c r="C3" s="33"/>
      <c r="D3" s="34"/>
      <c r="E3" s="35"/>
      <c r="F3" s="35"/>
      <c r="G3" s="35"/>
      <c r="H3" s="4"/>
      <c r="I3" s="4"/>
      <c r="J3" s="4"/>
      <c r="K3" s="4"/>
      <c r="L3" s="4"/>
      <c r="M3" s="4"/>
      <c r="N3" s="4"/>
      <c r="O3" s="4"/>
      <c r="P3" s="4"/>
    </row>
    <row r="4" spans="2:16">
      <c r="B4" s="122" t="s">
        <v>24</v>
      </c>
      <c r="C4" s="22" t="s">
        <v>14</v>
      </c>
      <c r="D4" s="25" t="s">
        <v>31</v>
      </c>
      <c r="E4" s="36"/>
      <c r="F4" s="36"/>
      <c r="G4" s="36"/>
      <c r="H4" s="36"/>
      <c r="I4" s="5"/>
      <c r="J4" s="5"/>
    </row>
    <row r="5" spans="2:16">
      <c r="B5" s="123"/>
      <c r="C5" s="23" t="s">
        <v>28</v>
      </c>
      <c r="D5" s="26"/>
      <c r="E5" s="36"/>
      <c r="F5" s="36"/>
      <c r="G5" s="36"/>
      <c r="H5" s="36"/>
      <c r="I5" s="5"/>
      <c r="J5" s="5"/>
    </row>
    <row r="6" spans="2:16">
      <c r="B6" s="123"/>
      <c r="C6" s="23" t="s">
        <v>16</v>
      </c>
      <c r="D6" s="26" t="s">
        <v>37</v>
      </c>
      <c r="E6" s="36"/>
      <c r="F6" s="36"/>
      <c r="G6" s="103"/>
      <c r="H6" s="103"/>
      <c r="I6" s="5"/>
      <c r="J6" s="5"/>
    </row>
    <row r="7" spans="2:16" ht="15" thickBot="1">
      <c r="B7" s="123"/>
      <c r="C7" s="23" t="s">
        <v>29</v>
      </c>
      <c r="D7" s="27"/>
      <c r="E7" s="37"/>
      <c r="F7" s="28"/>
      <c r="G7" s="28"/>
      <c r="H7" s="28"/>
      <c r="I7" s="38"/>
      <c r="J7" s="38"/>
      <c r="K7" s="38"/>
    </row>
    <row r="8" spans="2:16">
      <c r="B8" s="123"/>
      <c r="C8" s="23" t="s">
        <v>30</v>
      </c>
      <c r="D8" s="1" t="s">
        <v>40</v>
      </c>
      <c r="E8" s="1" t="s">
        <v>41</v>
      </c>
      <c r="F8" s="24" t="s">
        <v>44</v>
      </c>
      <c r="G8" s="24" t="s">
        <v>48</v>
      </c>
      <c r="H8" s="1" t="s">
        <v>38</v>
      </c>
      <c r="I8" s="1" t="s">
        <v>39</v>
      </c>
      <c r="J8" s="24" t="s">
        <v>54</v>
      </c>
      <c r="K8" s="24" t="s">
        <v>52</v>
      </c>
      <c r="L8" s="25"/>
    </row>
    <row r="9" spans="2:16">
      <c r="B9" s="123"/>
      <c r="C9" s="23" t="s">
        <v>17</v>
      </c>
      <c r="D9" s="31">
        <v>3.7900000000000003E-2</v>
      </c>
      <c r="E9" s="31">
        <v>5.6000000000000001E-2</v>
      </c>
      <c r="F9" s="31">
        <v>8.2000000000000007E-3</v>
      </c>
      <c r="G9" s="31">
        <v>6.1999999999999998E-3</v>
      </c>
      <c r="H9" s="31">
        <v>0</v>
      </c>
      <c r="I9" s="31">
        <v>0</v>
      </c>
      <c r="J9" s="31">
        <v>0.11799999999999999</v>
      </c>
      <c r="K9" s="31">
        <v>2.5000000000000001E-2</v>
      </c>
      <c r="L9" s="30"/>
    </row>
    <row r="10" spans="2:16">
      <c r="B10" s="123"/>
      <c r="C10" s="23" t="s">
        <v>15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29"/>
    </row>
    <row r="11" spans="2:16">
      <c r="B11" s="123"/>
      <c r="C11" s="23" t="s">
        <v>18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29"/>
    </row>
    <row r="12" spans="2:16" ht="15" thickBot="1">
      <c r="B12" s="124"/>
      <c r="C12" s="9" t="s">
        <v>0</v>
      </c>
      <c r="D12" s="39">
        <f>(D9*D10)/D11</f>
        <v>3.7900000000000003E-2</v>
      </c>
      <c r="E12" s="39">
        <f>(E9*E10)/E11</f>
        <v>5.6000000000000001E-2</v>
      </c>
      <c r="F12" s="39">
        <f t="shared" ref="F12:K12" si="0">(F9*F10)/F11</f>
        <v>8.2000000000000007E-3</v>
      </c>
      <c r="G12" s="39">
        <f t="shared" si="0"/>
        <v>6.1999999999999998E-3</v>
      </c>
      <c r="H12" s="39">
        <f t="shared" si="0"/>
        <v>0</v>
      </c>
      <c r="I12" s="39">
        <f t="shared" si="0"/>
        <v>0</v>
      </c>
      <c r="J12" s="39">
        <f t="shared" si="0"/>
        <v>0.11799999999999999</v>
      </c>
      <c r="K12" s="39">
        <f t="shared" si="0"/>
        <v>2.5000000000000001E-2</v>
      </c>
      <c r="L12" s="39"/>
    </row>
    <row r="13" spans="2:16" s="8" customFormat="1" ht="9" customHeight="1" thickBot="1">
      <c r="B13" s="40"/>
      <c r="C13" s="33"/>
      <c r="D13" s="10"/>
      <c r="E13" s="10"/>
      <c r="F13" s="11"/>
      <c r="G13" s="12"/>
      <c r="H13" s="12"/>
      <c r="I13" s="4"/>
      <c r="J13" s="4"/>
      <c r="K13" s="4"/>
      <c r="L13" s="4"/>
      <c r="M13" s="4"/>
      <c r="N13" s="4"/>
      <c r="O13" s="4"/>
      <c r="P13" s="4"/>
    </row>
    <row r="14" spans="2:16" ht="45" customHeight="1">
      <c r="B14" s="13"/>
      <c r="C14" s="14" t="s">
        <v>34</v>
      </c>
      <c r="D14" s="15" t="s">
        <v>19</v>
      </c>
      <c r="E14" s="15" t="s">
        <v>20</v>
      </c>
      <c r="F14" s="15" t="s">
        <v>21</v>
      </c>
      <c r="G14" s="16" t="s">
        <v>1</v>
      </c>
      <c r="H14" s="16" t="s">
        <v>22</v>
      </c>
      <c r="I14" s="17" t="s">
        <v>2</v>
      </c>
      <c r="J14" s="18" t="s">
        <v>23</v>
      </c>
      <c r="K14" s="16" t="s">
        <v>3</v>
      </c>
      <c r="L14" s="15" t="s">
        <v>4</v>
      </c>
      <c r="M14" s="15" t="s">
        <v>5</v>
      </c>
      <c r="N14" s="19" t="s">
        <v>6</v>
      </c>
      <c r="P14" s="32" t="s">
        <v>35</v>
      </c>
    </row>
    <row r="15" spans="2:16">
      <c r="B15" s="41"/>
      <c r="C15" s="42"/>
      <c r="D15" s="43">
        <f>E15+F15</f>
        <v>0.25130000000000002</v>
      </c>
      <c r="E15" s="44">
        <f>SUM(D12:L12)</f>
        <v>0.25130000000000002</v>
      </c>
      <c r="F15" s="45">
        <v>0</v>
      </c>
      <c r="G15" s="42"/>
      <c r="H15" s="42"/>
      <c r="I15" s="42"/>
      <c r="J15" s="46" t="s">
        <v>7</v>
      </c>
      <c r="K15" s="42"/>
      <c r="L15" s="42"/>
      <c r="M15" s="42"/>
      <c r="N15" s="47"/>
    </row>
    <row r="16" spans="2:16">
      <c r="B16" s="41">
        <v>1</v>
      </c>
      <c r="C16" s="2" t="s">
        <v>51</v>
      </c>
      <c r="D16" s="43">
        <f t="shared" ref="D16:D44" si="1">D15+E16+F16</f>
        <v>0.38220249019607844</v>
      </c>
      <c r="E16" s="48">
        <v>0</v>
      </c>
      <c r="F16" s="49">
        <f t="shared" ref="F16:F46" si="2">SUM(L16:N16)</f>
        <v>0.13090249019607844</v>
      </c>
      <c r="G16" s="20" t="s">
        <v>55</v>
      </c>
      <c r="H16" s="50">
        <v>25</v>
      </c>
      <c r="I16" s="51">
        <v>0.97</v>
      </c>
      <c r="J16" s="52">
        <f>(1-I16)*J18+J18</f>
        <v>0</v>
      </c>
      <c r="K16" s="53">
        <v>15</v>
      </c>
      <c r="L16" s="54">
        <f>(K16/P16/3600)*H16</f>
        <v>0.12254901960784313</v>
      </c>
      <c r="M16" s="54">
        <f>(1-I16)*L16</f>
        <v>3.6764705882352971E-3</v>
      </c>
      <c r="N16" s="55">
        <f>(1-I16)*SUM(D12,J12)</f>
        <v>4.6770000000000041E-3</v>
      </c>
      <c r="P16" s="56">
        <v>0.85</v>
      </c>
    </row>
    <row r="17" spans="2:16">
      <c r="B17" s="41">
        <v>2</v>
      </c>
      <c r="C17" s="2" t="s">
        <v>47</v>
      </c>
      <c r="D17" s="43">
        <f t="shared" si="1"/>
        <v>0.43939203267973859</v>
      </c>
      <c r="E17" s="48">
        <v>0</v>
      </c>
      <c r="F17" s="49">
        <f t="shared" si="2"/>
        <v>5.7189542483660136E-2</v>
      </c>
      <c r="G17" s="20" t="s">
        <v>46</v>
      </c>
      <c r="H17" s="50">
        <v>50</v>
      </c>
      <c r="I17" s="51">
        <v>1</v>
      </c>
      <c r="J17" s="52">
        <f t="shared" ref="J17:J45" si="3">(1-I17)*J18+J18</f>
        <v>0</v>
      </c>
      <c r="K17" s="53">
        <v>3.5</v>
      </c>
      <c r="L17" s="54">
        <f t="shared" ref="L17:L46" si="4">(K17/P17/3600)*H17</f>
        <v>5.7189542483660136E-2</v>
      </c>
      <c r="M17" s="54">
        <f>(1-I17)*SUM(L16:L17)</f>
        <v>0</v>
      </c>
      <c r="N17" s="55">
        <f>(1-I17)*SUM(D12,J12)</f>
        <v>0</v>
      </c>
      <c r="P17" s="56">
        <v>0.85</v>
      </c>
    </row>
    <row r="18" spans="2:16">
      <c r="B18" s="41">
        <v>3</v>
      </c>
      <c r="C18" s="2" t="s">
        <v>42</v>
      </c>
      <c r="D18" s="43">
        <f t="shared" si="1"/>
        <v>0.72269426797385627</v>
      </c>
      <c r="E18" s="48">
        <v>0</v>
      </c>
      <c r="F18" s="49">
        <f t="shared" si="2"/>
        <v>0.28330223529411769</v>
      </c>
      <c r="G18" s="20" t="s">
        <v>55</v>
      </c>
      <c r="H18" s="50">
        <v>50</v>
      </c>
      <c r="I18" s="51">
        <v>0.94</v>
      </c>
      <c r="J18" s="52">
        <f>(1-I18)*J21+J21</f>
        <v>0</v>
      </c>
      <c r="K18" s="53">
        <v>15</v>
      </c>
      <c r="L18" s="54">
        <f t="shared" si="4"/>
        <v>0.24509803921568626</v>
      </c>
      <c r="M18" s="54">
        <f>(1-I18)*SUM(L16:L18)</f>
        <v>2.5490196078431393E-2</v>
      </c>
      <c r="N18" s="55">
        <f>(1-I18)*SUM(D12,E12,J12)</f>
        <v>1.2714000000000012E-2</v>
      </c>
      <c r="P18" s="56">
        <v>0.85</v>
      </c>
    </row>
    <row r="19" spans="2:16">
      <c r="B19" s="115">
        <v>4</v>
      </c>
      <c r="C19" s="2" t="s">
        <v>57</v>
      </c>
      <c r="D19" s="43">
        <f t="shared" si="1"/>
        <v>0.77553329411764715</v>
      </c>
      <c r="E19" s="48">
        <v>0</v>
      </c>
      <c r="F19" s="49">
        <f t="shared" si="2"/>
        <v>5.2839026143790872E-2</v>
      </c>
      <c r="G19" s="20" t="s">
        <v>53</v>
      </c>
      <c r="H19" s="50">
        <v>14</v>
      </c>
      <c r="I19" s="51">
        <v>0.97</v>
      </c>
      <c r="J19" s="52">
        <f>(1-I19)*J22+J22</f>
        <v>0</v>
      </c>
      <c r="K19" s="53">
        <v>7</v>
      </c>
      <c r="L19" s="54">
        <f t="shared" si="4"/>
        <v>3.2026143790849677E-2</v>
      </c>
      <c r="M19" s="54">
        <f>(1-I19)*SUM(L16:L19)</f>
        <v>1.3705882352941188E-2</v>
      </c>
      <c r="N19" s="55">
        <f>(1-I19)*SUM(D12,E12,J12,K12)</f>
        <v>7.1070000000000065E-3</v>
      </c>
      <c r="P19" s="56">
        <v>0.85</v>
      </c>
    </row>
    <row r="20" spans="2:16">
      <c r="B20" s="115">
        <v>5</v>
      </c>
      <c r="C20" s="2" t="s">
        <v>60</v>
      </c>
      <c r="D20" s="43">
        <f t="shared" si="1"/>
        <v>0.79864412418300668</v>
      </c>
      <c r="E20" s="48">
        <v>0</v>
      </c>
      <c r="F20" s="49">
        <f t="shared" si="2"/>
        <v>2.3110830065359488E-2</v>
      </c>
      <c r="G20" s="57" t="s">
        <v>46</v>
      </c>
      <c r="H20" s="50">
        <v>14</v>
      </c>
      <c r="I20" s="51">
        <v>0.99</v>
      </c>
      <c r="J20" s="52">
        <f t="shared" ref="J20" si="5">(1-I20)*J24+J24</f>
        <v>0</v>
      </c>
      <c r="K20" s="53">
        <v>3.5</v>
      </c>
      <c r="L20" s="54">
        <f t="shared" si="4"/>
        <v>1.6013071895424839E-2</v>
      </c>
      <c r="M20" s="54">
        <f>(1-I20)*SUM(L16:L20)</f>
        <v>4.7287581699346449E-3</v>
      </c>
      <c r="N20" s="55">
        <f>(1-I20)*SUM(D12,E12,J12,K12)</f>
        <v>2.3690000000000022E-3</v>
      </c>
      <c r="P20" s="56">
        <v>0.85</v>
      </c>
    </row>
    <row r="21" spans="2:16">
      <c r="B21" s="115">
        <v>6</v>
      </c>
      <c r="C21" s="3" t="s">
        <v>43</v>
      </c>
      <c r="D21" s="43">
        <f t="shared" si="1"/>
        <v>0.91266136601307202</v>
      </c>
      <c r="E21" s="48">
        <v>0</v>
      </c>
      <c r="F21" s="49">
        <f t="shared" si="2"/>
        <v>0.11401724183006537</v>
      </c>
      <c r="G21" s="20" t="s">
        <v>50</v>
      </c>
      <c r="H21" s="50">
        <f>26</f>
        <v>26</v>
      </c>
      <c r="I21" s="51">
        <v>0.97</v>
      </c>
      <c r="J21" s="52">
        <f t="shared" si="3"/>
        <v>0</v>
      </c>
      <c r="K21" s="53">
        <v>13</v>
      </c>
      <c r="L21" s="54">
        <f t="shared" si="4"/>
        <v>0.11045751633986929</v>
      </c>
      <c r="M21" s="54">
        <f>(1-I21)*L21</f>
        <v>3.3137254901960816E-3</v>
      </c>
      <c r="N21" s="55">
        <f>(1-I21)*F12</f>
        <v>2.4600000000000023E-4</v>
      </c>
      <c r="P21" s="56">
        <v>0.85</v>
      </c>
    </row>
    <row r="22" spans="2:16">
      <c r="B22" s="115">
        <v>7</v>
      </c>
      <c r="C22" s="3" t="s">
        <v>49</v>
      </c>
      <c r="D22" s="43">
        <f t="shared" si="1"/>
        <v>1.0091153398692811</v>
      </c>
      <c r="E22" s="48">
        <v>0</v>
      </c>
      <c r="F22" s="49">
        <f t="shared" si="2"/>
        <v>9.6453973856209171E-2</v>
      </c>
      <c r="G22" s="20" t="s">
        <v>56</v>
      </c>
      <c r="H22" s="50">
        <f>22</f>
        <v>22</v>
      </c>
      <c r="I22" s="51">
        <v>0.97</v>
      </c>
      <c r="J22" s="52">
        <f>(1-I22)*J23+J23</f>
        <v>0</v>
      </c>
      <c r="K22" s="53">
        <v>13</v>
      </c>
      <c r="L22" s="54">
        <f t="shared" si="4"/>
        <v>9.3464052287581714E-2</v>
      </c>
      <c r="M22" s="54">
        <f>(1-I22)*SUM(L22)</f>
        <v>2.8039215686274537E-3</v>
      </c>
      <c r="N22" s="55">
        <f>(1-I22)*SUM(G12)</f>
        <v>1.8600000000000016E-4</v>
      </c>
      <c r="P22" s="56">
        <v>0.85</v>
      </c>
    </row>
    <row r="23" spans="2:16">
      <c r="B23" s="115">
        <v>8</v>
      </c>
      <c r="C23" s="3" t="s">
        <v>61</v>
      </c>
      <c r="D23" s="43">
        <f t="shared" si="1"/>
        <v>1.0148342941176471</v>
      </c>
      <c r="E23" s="48">
        <v>0</v>
      </c>
      <c r="F23" s="49">
        <f t="shared" si="2"/>
        <v>5.7189542483660136E-3</v>
      </c>
      <c r="G23" s="57" t="s">
        <v>46</v>
      </c>
      <c r="H23" s="50">
        <v>5</v>
      </c>
      <c r="I23" s="51">
        <v>1</v>
      </c>
      <c r="J23" s="52">
        <f t="shared" si="3"/>
        <v>0</v>
      </c>
      <c r="K23" s="53">
        <v>3.5</v>
      </c>
      <c r="L23" s="54">
        <f t="shared" si="4"/>
        <v>5.7189542483660136E-3</v>
      </c>
      <c r="M23" s="54">
        <f>(1-I23)*SUM(L16:L20,L23)</f>
        <v>0</v>
      </c>
      <c r="N23" s="55">
        <f>(1-I23)*SUM(D12,E12,J12,K12)</f>
        <v>0</v>
      </c>
      <c r="P23" s="56">
        <v>0.85</v>
      </c>
    </row>
    <row r="24" spans="2:16">
      <c r="B24" s="115">
        <v>9</v>
      </c>
      <c r="C24" s="3" t="s">
        <v>66</v>
      </c>
      <c r="D24" s="43">
        <f t="shared" si="1"/>
        <v>1.0335415294117647</v>
      </c>
      <c r="E24" s="48">
        <v>0</v>
      </c>
      <c r="F24" s="49">
        <f t="shared" si="2"/>
        <v>1.8707235294117656E-2</v>
      </c>
      <c r="G24" s="57" t="s">
        <v>46</v>
      </c>
      <c r="H24" s="50">
        <v>10</v>
      </c>
      <c r="I24" s="51">
        <v>0.99</v>
      </c>
      <c r="J24" s="52">
        <f>(1-I24)*J25+J25</f>
        <v>0</v>
      </c>
      <c r="K24" s="53">
        <v>3.5</v>
      </c>
      <c r="L24" s="54">
        <f t="shared" si="4"/>
        <v>1.1437908496732027E-2</v>
      </c>
      <c r="M24" s="54">
        <f>(1-I24)*SUM(L16:L20,L23:L24)</f>
        <v>4.9003267973856254E-3</v>
      </c>
      <c r="N24" s="55">
        <f>(1-I24)*SUM(D12,E12,I12,J12,K12)</f>
        <v>2.3690000000000022E-3</v>
      </c>
      <c r="P24" s="56">
        <v>0.85</v>
      </c>
    </row>
    <row r="25" spans="2:16">
      <c r="B25" s="115">
        <v>10</v>
      </c>
      <c r="C25" s="3" t="s">
        <v>62</v>
      </c>
      <c r="D25" s="43">
        <f t="shared" si="1"/>
        <v>1.0369729019607843</v>
      </c>
      <c r="E25" s="48">
        <v>0</v>
      </c>
      <c r="F25" s="49">
        <f t="shared" si="2"/>
        <v>3.4313725490196078E-3</v>
      </c>
      <c r="G25" s="57" t="s">
        <v>46</v>
      </c>
      <c r="H25" s="50">
        <v>3</v>
      </c>
      <c r="I25" s="51">
        <v>1</v>
      </c>
      <c r="J25" s="52">
        <f t="shared" si="3"/>
        <v>0</v>
      </c>
      <c r="K25" s="53">
        <v>3.5</v>
      </c>
      <c r="L25" s="54">
        <f t="shared" si="4"/>
        <v>3.4313725490196078E-3</v>
      </c>
      <c r="M25" s="54">
        <f>(1-I25)*SUM(L22,L25)</f>
        <v>0</v>
      </c>
      <c r="N25" s="55">
        <f>(1-I25)*SUM(G12)</f>
        <v>0</v>
      </c>
      <c r="P25" s="56">
        <v>0.85</v>
      </c>
    </row>
    <row r="26" spans="2:16" ht="14.25" customHeight="1">
      <c r="B26" s="115">
        <v>11</v>
      </c>
      <c r="C26" s="3" t="s">
        <v>63</v>
      </c>
      <c r="D26" s="43">
        <f t="shared" si="1"/>
        <v>1.0748328954248365</v>
      </c>
      <c r="E26" s="48">
        <v>0</v>
      </c>
      <c r="F26" s="49">
        <f t="shared" si="2"/>
        <v>3.7859993464052305E-2</v>
      </c>
      <c r="G26" s="57" t="s">
        <v>69</v>
      </c>
      <c r="H26" s="50">
        <v>11</v>
      </c>
      <c r="I26" s="51">
        <v>0.97</v>
      </c>
      <c r="J26" s="52">
        <f t="shared" si="3"/>
        <v>0</v>
      </c>
      <c r="K26" s="53">
        <v>3.5</v>
      </c>
      <c r="L26" s="54">
        <f t="shared" si="4"/>
        <v>1.2581699346405229E-2</v>
      </c>
      <c r="M26" s="54">
        <f>(1-I26)*SUM(L16:L20,L22:L26)</f>
        <v>1.7985294117647072E-2</v>
      </c>
      <c r="N26" s="55">
        <f>(1-I26)*SUM(D12,E12,G12,I12,J12,K12)</f>
        <v>7.2930000000000069E-3</v>
      </c>
      <c r="P26" s="56">
        <v>0.85</v>
      </c>
    </row>
    <row r="27" spans="2:16">
      <c r="B27" s="115">
        <v>12</v>
      </c>
      <c r="C27" s="2" t="s">
        <v>45</v>
      </c>
      <c r="D27" s="43">
        <f t="shared" si="1"/>
        <v>1.0925008235294116</v>
      </c>
      <c r="E27" s="48">
        <v>0</v>
      </c>
      <c r="F27" s="49">
        <f t="shared" si="2"/>
        <v>1.7667928104575171E-2</v>
      </c>
      <c r="G27" s="57" t="s">
        <v>46</v>
      </c>
      <c r="H27" s="50">
        <v>8</v>
      </c>
      <c r="I27" s="51">
        <v>0.99</v>
      </c>
      <c r="J27" s="52">
        <f t="shared" si="3"/>
        <v>0</v>
      </c>
      <c r="K27" s="53">
        <v>3.5</v>
      </c>
      <c r="L27" s="54">
        <f>(K27/P27/3600)*H27</f>
        <v>9.1503267973856214E-3</v>
      </c>
      <c r="M27" s="54">
        <f>(1-I27)*SUM(L16:L20,L22:L27)</f>
        <v>6.086601307189546E-3</v>
      </c>
      <c r="N27" s="55">
        <f>(1-I27)*SUM(D12:E12,G12:K12)</f>
        <v>2.4310000000000022E-3</v>
      </c>
      <c r="P27" s="56">
        <v>0.85</v>
      </c>
    </row>
    <row r="28" spans="2:16">
      <c r="B28" s="115">
        <v>13</v>
      </c>
      <c r="C28" s="2" t="s">
        <v>64</v>
      </c>
      <c r="D28" s="43">
        <f t="shared" si="1"/>
        <v>1.116067745098039</v>
      </c>
      <c r="E28" s="48">
        <v>0</v>
      </c>
      <c r="F28" s="49">
        <f t="shared" si="2"/>
        <v>2.3566921568627455E-2</v>
      </c>
      <c r="G28" s="57" t="s">
        <v>46</v>
      </c>
      <c r="H28" s="50">
        <v>12</v>
      </c>
      <c r="I28" s="51">
        <v>0.99</v>
      </c>
      <c r="J28" s="52">
        <f t="shared" si="3"/>
        <v>0</v>
      </c>
      <c r="K28" s="53">
        <v>3.5</v>
      </c>
      <c r="L28" s="54">
        <f t="shared" si="4"/>
        <v>1.3725490196078431E-2</v>
      </c>
      <c r="M28" s="54">
        <f>(1-I28)*SUM(L16:L28)</f>
        <v>7.3284313725490245E-3</v>
      </c>
      <c r="N28" s="55">
        <f>(1-I28)*SUM(D12:K12)</f>
        <v>2.5130000000000026E-3</v>
      </c>
      <c r="P28" s="56">
        <v>0.85</v>
      </c>
    </row>
    <row r="29" spans="2:16">
      <c r="B29" s="115">
        <v>14</v>
      </c>
      <c r="C29" s="21" t="s">
        <v>65</v>
      </c>
      <c r="D29" s="43">
        <f t="shared" si="1"/>
        <v>1.1585511895424834</v>
      </c>
      <c r="E29" s="48">
        <v>0</v>
      </c>
      <c r="F29" s="49">
        <f t="shared" si="2"/>
        <v>4.2483444444444463E-2</v>
      </c>
      <c r="G29" s="57" t="s">
        <v>46</v>
      </c>
      <c r="H29" s="50">
        <v>11</v>
      </c>
      <c r="I29" s="51">
        <v>0.97</v>
      </c>
      <c r="J29" s="52">
        <f t="shared" si="3"/>
        <v>0</v>
      </c>
      <c r="K29" s="53">
        <v>3.5</v>
      </c>
      <c r="L29" s="54">
        <f t="shared" si="4"/>
        <v>1.2581699346405229E-2</v>
      </c>
      <c r="M29" s="54">
        <f>(1-I29)*SUM(L16:L29)</f>
        <v>2.2362745098039229E-2</v>
      </c>
      <c r="N29" s="55">
        <f>(1-I29)*SUM(D12:K12)</f>
        <v>7.5390000000000075E-3</v>
      </c>
      <c r="P29" s="56">
        <v>0.85</v>
      </c>
    </row>
    <row r="30" spans="2:16">
      <c r="B30" s="115">
        <v>15</v>
      </c>
      <c r="C30" s="2" t="s">
        <v>58</v>
      </c>
      <c r="D30" s="43">
        <f t="shared" si="1"/>
        <v>1.1699890980392154</v>
      </c>
      <c r="E30" s="48">
        <v>0</v>
      </c>
      <c r="F30" s="49">
        <f t="shared" si="2"/>
        <v>1.1437908496732027E-2</v>
      </c>
      <c r="G30" s="57" t="s">
        <v>46</v>
      </c>
      <c r="H30" s="50">
        <v>10</v>
      </c>
      <c r="I30" s="51">
        <v>1</v>
      </c>
      <c r="J30" s="52">
        <f t="shared" si="3"/>
        <v>0</v>
      </c>
      <c r="K30" s="53">
        <v>3.5</v>
      </c>
      <c r="L30" s="54">
        <f t="shared" si="4"/>
        <v>1.1437908496732027E-2</v>
      </c>
      <c r="M30" s="54">
        <f>(1-I30)*SUM(L16:L30)</f>
        <v>0</v>
      </c>
      <c r="N30" s="55">
        <f>(1-I30)*SUM(D12:K12)</f>
        <v>0</v>
      </c>
      <c r="P30" s="56">
        <v>0.85</v>
      </c>
    </row>
    <row r="31" spans="2:16">
      <c r="B31" s="41">
        <v>16</v>
      </c>
      <c r="C31" s="2"/>
      <c r="D31" s="43">
        <f t="shared" si="1"/>
        <v>1.1699890980392154</v>
      </c>
      <c r="E31" s="48">
        <v>0</v>
      </c>
      <c r="F31" s="49">
        <f t="shared" si="2"/>
        <v>0</v>
      </c>
      <c r="G31" s="57"/>
      <c r="H31" s="50"/>
      <c r="I31" s="51">
        <v>1</v>
      </c>
      <c r="J31" s="52">
        <f t="shared" si="3"/>
        <v>0</v>
      </c>
      <c r="K31" s="53">
        <v>0</v>
      </c>
      <c r="L31" s="54">
        <f t="shared" si="4"/>
        <v>0</v>
      </c>
      <c r="M31" s="54">
        <f>(1-I31)*SUM(L16:L31)</f>
        <v>0</v>
      </c>
      <c r="N31" s="55">
        <f>(1-I31)*SUM(D12:L12)</f>
        <v>0</v>
      </c>
      <c r="P31" s="56">
        <v>1</v>
      </c>
    </row>
    <row r="32" spans="2:16">
      <c r="B32" s="41">
        <v>17</v>
      </c>
      <c r="C32" s="3"/>
      <c r="D32" s="43">
        <f t="shared" si="1"/>
        <v>1.1699890980392154</v>
      </c>
      <c r="E32" s="48">
        <v>0</v>
      </c>
      <c r="F32" s="49">
        <f t="shared" si="2"/>
        <v>0</v>
      </c>
      <c r="G32" s="57"/>
      <c r="H32" s="50"/>
      <c r="I32" s="51">
        <v>1</v>
      </c>
      <c r="J32" s="52">
        <f t="shared" si="3"/>
        <v>0</v>
      </c>
      <c r="K32" s="53">
        <v>0</v>
      </c>
      <c r="L32" s="54">
        <f t="shared" si="4"/>
        <v>0</v>
      </c>
      <c r="M32" s="54">
        <f>(1-I32)*SUM(L16:L32)</f>
        <v>0</v>
      </c>
      <c r="N32" s="55">
        <f>(1-I32)*SUM(D12:L12)</f>
        <v>0</v>
      </c>
      <c r="P32" s="56">
        <v>1</v>
      </c>
    </row>
    <row r="33" spans="2:16">
      <c r="B33" s="41">
        <v>18</v>
      </c>
      <c r="C33" s="3"/>
      <c r="D33" s="43">
        <f t="shared" si="1"/>
        <v>1.1699890980392154</v>
      </c>
      <c r="E33" s="48">
        <v>0</v>
      </c>
      <c r="F33" s="49">
        <f t="shared" si="2"/>
        <v>0</v>
      </c>
      <c r="G33" s="58"/>
      <c r="H33" s="50"/>
      <c r="I33" s="51">
        <v>1</v>
      </c>
      <c r="J33" s="52">
        <f>(1-I33)*J34+J34</f>
        <v>0</v>
      </c>
      <c r="K33" s="53">
        <v>0</v>
      </c>
      <c r="L33" s="54">
        <f t="shared" si="4"/>
        <v>0</v>
      </c>
      <c r="M33" s="54">
        <f t="shared" ref="M33:M46" si="6">(1-I33)*L33</f>
        <v>0</v>
      </c>
      <c r="N33" s="55">
        <f t="shared" ref="N33:N46" si="7">(1-I33)*D32</f>
        <v>0</v>
      </c>
      <c r="P33" s="56">
        <v>1</v>
      </c>
    </row>
    <row r="34" spans="2:16" hidden="1">
      <c r="B34" s="41">
        <v>19</v>
      </c>
      <c r="C34" s="3"/>
      <c r="D34" s="43">
        <f t="shared" si="1"/>
        <v>1.1699890980392154</v>
      </c>
      <c r="E34" s="48">
        <v>0</v>
      </c>
      <c r="F34" s="49">
        <f t="shared" si="2"/>
        <v>0</v>
      </c>
      <c r="G34" s="58"/>
      <c r="H34" s="50"/>
      <c r="I34" s="51">
        <v>1</v>
      </c>
      <c r="J34" s="52">
        <f t="shared" si="3"/>
        <v>0</v>
      </c>
      <c r="K34" s="53">
        <v>0</v>
      </c>
      <c r="L34" s="54">
        <f t="shared" si="4"/>
        <v>0</v>
      </c>
      <c r="M34" s="54">
        <f t="shared" si="6"/>
        <v>0</v>
      </c>
      <c r="N34" s="55">
        <f t="shared" si="7"/>
        <v>0</v>
      </c>
      <c r="P34" s="56">
        <v>1</v>
      </c>
    </row>
    <row r="35" spans="2:16" hidden="1">
      <c r="B35" s="41">
        <v>20</v>
      </c>
      <c r="C35" s="2"/>
      <c r="D35" s="43">
        <f t="shared" si="1"/>
        <v>1.1699890980392154</v>
      </c>
      <c r="E35" s="48">
        <v>0</v>
      </c>
      <c r="F35" s="49">
        <f t="shared" si="2"/>
        <v>0</v>
      </c>
      <c r="G35" s="58"/>
      <c r="H35" s="50"/>
      <c r="I35" s="51">
        <v>1</v>
      </c>
      <c r="J35" s="52">
        <f t="shared" si="3"/>
        <v>0</v>
      </c>
      <c r="K35" s="53">
        <v>0</v>
      </c>
      <c r="L35" s="54">
        <f t="shared" si="4"/>
        <v>0</v>
      </c>
      <c r="M35" s="54">
        <f t="shared" si="6"/>
        <v>0</v>
      </c>
      <c r="N35" s="55">
        <f t="shared" si="7"/>
        <v>0</v>
      </c>
      <c r="P35" s="56">
        <v>1</v>
      </c>
    </row>
    <row r="36" spans="2:16" hidden="1">
      <c r="B36" s="41">
        <v>21</v>
      </c>
      <c r="C36" s="59"/>
      <c r="D36" s="43">
        <f t="shared" si="1"/>
        <v>1.1699890980392154</v>
      </c>
      <c r="E36" s="48">
        <v>0</v>
      </c>
      <c r="F36" s="49">
        <f t="shared" si="2"/>
        <v>0</v>
      </c>
      <c r="G36" s="58"/>
      <c r="H36" s="50"/>
      <c r="I36" s="51">
        <v>1</v>
      </c>
      <c r="J36" s="52">
        <f t="shared" si="3"/>
        <v>0</v>
      </c>
      <c r="K36" s="53">
        <v>0</v>
      </c>
      <c r="L36" s="54">
        <f t="shared" si="4"/>
        <v>0</v>
      </c>
      <c r="M36" s="54">
        <f t="shared" si="6"/>
        <v>0</v>
      </c>
      <c r="N36" s="55">
        <f t="shared" si="7"/>
        <v>0</v>
      </c>
      <c r="P36" s="56">
        <v>1</v>
      </c>
    </row>
    <row r="37" spans="2:16" hidden="1">
      <c r="B37" s="41">
        <v>22</v>
      </c>
      <c r="C37" s="21"/>
      <c r="D37" s="43">
        <f t="shared" si="1"/>
        <v>1.1699890980392154</v>
      </c>
      <c r="E37" s="48">
        <v>0</v>
      </c>
      <c r="F37" s="49">
        <f t="shared" si="2"/>
        <v>0</v>
      </c>
      <c r="G37" s="58"/>
      <c r="H37" s="50"/>
      <c r="I37" s="51">
        <v>1</v>
      </c>
      <c r="J37" s="52">
        <f t="shared" si="3"/>
        <v>0</v>
      </c>
      <c r="K37" s="53">
        <v>0</v>
      </c>
      <c r="L37" s="54">
        <f t="shared" si="4"/>
        <v>0</v>
      </c>
      <c r="M37" s="54">
        <f t="shared" si="6"/>
        <v>0</v>
      </c>
      <c r="N37" s="55">
        <f t="shared" si="7"/>
        <v>0</v>
      </c>
      <c r="P37" s="56">
        <v>1</v>
      </c>
    </row>
    <row r="38" spans="2:16" hidden="1">
      <c r="B38" s="41">
        <v>23</v>
      </c>
      <c r="C38" s="21"/>
      <c r="D38" s="43">
        <f t="shared" si="1"/>
        <v>1.1699890980392154</v>
      </c>
      <c r="E38" s="48">
        <v>0</v>
      </c>
      <c r="F38" s="49">
        <f t="shared" si="2"/>
        <v>0</v>
      </c>
      <c r="G38" s="58"/>
      <c r="H38" s="50"/>
      <c r="I38" s="51">
        <v>1</v>
      </c>
      <c r="J38" s="52">
        <f t="shared" si="3"/>
        <v>0</v>
      </c>
      <c r="K38" s="53">
        <v>0</v>
      </c>
      <c r="L38" s="54">
        <f t="shared" si="4"/>
        <v>0</v>
      </c>
      <c r="M38" s="54">
        <f t="shared" si="6"/>
        <v>0</v>
      </c>
      <c r="N38" s="55">
        <f t="shared" si="7"/>
        <v>0</v>
      </c>
      <c r="P38" s="56">
        <v>1</v>
      </c>
    </row>
    <row r="39" spans="2:16" hidden="1">
      <c r="B39" s="41">
        <v>24</v>
      </c>
      <c r="C39" s="21"/>
      <c r="D39" s="43">
        <f t="shared" si="1"/>
        <v>1.1699890980392154</v>
      </c>
      <c r="E39" s="48">
        <v>0</v>
      </c>
      <c r="F39" s="49">
        <f t="shared" si="2"/>
        <v>0</v>
      </c>
      <c r="G39" s="58"/>
      <c r="H39" s="50"/>
      <c r="I39" s="51">
        <v>1</v>
      </c>
      <c r="J39" s="52">
        <f t="shared" si="3"/>
        <v>0</v>
      </c>
      <c r="K39" s="53">
        <v>0</v>
      </c>
      <c r="L39" s="54">
        <f t="shared" si="4"/>
        <v>0</v>
      </c>
      <c r="M39" s="54">
        <f t="shared" si="6"/>
        <v>0</v>
      </c>
      <c r="N39" s="55">
        <f t="shared" si="7"/>
        <v>0</v>
      </c>
      <c r="P39" s="56">
        <v>1</v>
      </c>
    </row>
    <row r="40" spans="2:16" hidden="1">
      <c r="B40" s="41">
        <v>25</v>
      </c>
      <c r="C40" s="21"/>
      <c r="D40" s="43">
        <f t="shared" si="1"/>
        <v>1.1699890980392154</v>
      </c>
      <c r="E40" s="48">
        <v>0</v>
      </c>
      <c r="F40" s="49">
        <f t="shared" si="2"/>
        <v>0</v>
      </c>
      <c r="G40" s="58"/>
      <c r="H40" s="50"/>
      <c r="I40" s="51">
        <v>1</v>
      </c>
      <c r="J40" s="52">
        <f t="shared" si="3"/>
        <v>0</v>
      </c>
      <c r="K40" s="53">
        <v>0</v>
      </c>
      <c r="L40" s="54">
        <f t="shared" si="4"/>
        <v>0</v>
      </c>
      <c r="M40" s="54">
        <f t="shared" si="6"/>
        <v>0</v>
      </c>
      <c r="N40" s="55">
        <f t="shared" si="7"/>
        <v>0</v>
      </c>
      <c r="P40" s="56">
        <v>1</v>
      </c>
    </row>
    <row r="41" spans="2:16" hidden="1">
      <c r="B41" s="41">
        <v>26</v>
      </c>
      <c r="C41" s="21"/>
      <c r="D41" s="43">
        <f t="shared" si="1"/>
        <v>1.1699890980392154</v>
      </c>
      <c r="E41" s="48">
        <v>0</v>
      </c>
      <c r="F41" s="49">
        <f t="shared" si="2"/>
        <v>0</v>
      </c>
      <c r="G41" s="58"/>
      <c r="H41" s="50"/>
      <c r="I41" s="51">
        <v>1</v>
      </c>
      <c r="J41" s="52">
        <f t="shared" si="3"/>
        <v>0</v>
      </c>
      <c r="K41" s="53">
        <v>0</v>
      </c>
      <c r="L41" s="54">
        <f t="shared" si="4"/>
        <v>0</v>
      </c>
      <c r="M41" s="54">
        <f t="shared" si="6"/>
        <v>0</v>
      </c>
      <c r="N41" s="55">
        <f t="shared" si="7"/>
        <v>0</v>
      </c>
      <c r="P41" s="56">
        <v>1</v>
      </c>
    </row>
    <row r="42" spans="2:16" hidden="1">
      <c r="B42" s="41">
        <v>27</v>
      </c>
      <c r="C42" s="2"/>
      <c r="D42" s="43">
        <f t="shared" si="1"/>
        <v>1.1699890980392154</v>
      </c>
      <c r="E42" s="48">
        <v>0</v>
      </c>
      <c r="F42" s="49">
        <f t="shared" si="2"/>
        <v>0</v>
      </c>
      <c r="G42" s="58"/>
      <c r="H42" s="50"/>
      <c r="I42" s="51">
        <v>1</v>
      </c>
      <c r="J42" s="52">
        <f t="shared" si="3"/>
        <v>0</v>
      </c>
      <c r="K42" s="53">
        <v>0</v>
      </c>
      <c r="L42" s="54">
        <f t="shared" si="4"/>
        <v>0</v>
      </c>
      <c r="M42" s="54">
        <f t="shared" si="6"/>
        <v>0</v>
      </c>
      <c r="N42" s="55">
        <f t="shared" si="7"/>
        <v>0</v>
      </c>
      <c r="P42" s="56">
        <v>1</v>
      </c>
    </row>
    <row r="43" spans="2:16" hidden="1">
      <c r="B43" s="41">
        <v>28</v>
      </c>
      <c r="C43" s="2"/>
      <c r="D43" s="43">
        <f t="shared" si="1"/>
        <v>1.1699890980392154</v>
      </c>
      <c r="E43" s="48">
        <v>0</v>
      </c>
      <c r="F43" s="49">
        <f t="shared" si="2"/>
        <v>0</v>
      </c>
      <c r="G43" s="58"/>
      <c r="H43" s="50"/>
      <c r="I43" s="51">
        <v>1</v>
      </c>
      <c r="J43" s="52">
        <f t="shared" si="3"/>
        <v>0</v>
      </c>
      <c r="K43" s="53">
        <v>0</v>
      </c>
      <c r="L43" s="54">
        <f t="shared" si="4"/>
        <v>0</v>
      </c>
      <c r="M43" s="54">
        <f t="shared" si="6"/>
        <v>0</v>
      </c>
      <c r="N43" s="55">
        <f t="shared" si="7"/>
        <v>0</v>
      </c>
      <c r="P43" s="56">
        <v>1</v>
      </c>
    </row>
    <row r="44" spans="2:16" hidden="1">
      <c r="B44" s="41">
        <v>29</v>
      </c>
      <c r="C44" s="2"/>
      <c r="D44" s="43">
        <f t="shared" si="1"/>
        <v>1.1699890980392154</v>
      </c>
      <c r="E44" s="48">
        <v>0</v>
      </c>
      <c r="F44" s="49">
        <f t="shared" si="2"/>
        <v>0</v>
      </c>
      <c r="G44" s="58"/>
      <c r="H44" s="50"/>
      <c r="I44" s="51">
        <v>1</v>
      </c>
      <c r="J44" s="52">
        <f t="shared" si="3"/>
        <v>0</v>
      </c>
      <c r="K44" s="53">
        <v>0</v>
      </c>
      <c r="L44" s="54">
        <f t="shared" si="4"/>
        <v>0</v>
      </c>
      <c r="M44" s="54">
        <f t="shared" si="6"/>
        <v>0</v>
      </c>
      <c r="N44" s="55">
        <f t="shared" si="7"/>
        <v>0</v>
      </c>
      <c r="P44" s="56">
        <v>1</v>
      </c>
    </row>
    <row r="45" spans="2:16">
      <c r="B45" s="60" t="s">
        <v>8</v>
      </c>
      <c r="C45" s="61"/>
      <c r="D45" s="43">
        <f>D44+E45+F45</f>
        <v>1.1699890980392154</v>
      </c>
      <c r="E45" s="48">
        <v>0</v>
      </c>
      <c r="F45" s="49">
        <f t="shared" si="2"/>
        <v>0</v>
      </c>
      <c r="G45" s="62"/>
      <c r="H45" s="50"/>
      <c r="I45" s="51">
        <v>1</v>
      </c>
      <c r="J45" s="52">
        <f t="shared" si="3"/>
        <v>0</v>
      </c>
      <c r="K45" s="53">
        <v>0</v>
      </c>
      <c r="L45" s="54">
        <f t="shared" si="4"/>
        <v>0</v>
      </c>
      <c r="M45" s="54">
        <f t="shared" si="6"/>
        <v>0</v>
      </c>
      <c r="N45" s="55">
        <f>(1-I45)*D44</f>
        <v>0</v>
      </c>
      <c r="P45" s="56">
        <v>1</v>
      </c>
    </row>
    <row r="46" spans="2:16">
      <c r="B46" s="60" t="s">
        <v>9</v>
      </c>
      <c r="C46" s="61"/>
      <c r="D46" s="43">
        <f>D45+E46+F46</f>
        <v>1.1990707973856205</v>
      </c>
      <c r="E46" s="48">
        <v>1.6500000000000001E-2</v>
      </c>
      <c r="F46" s="49">
        <f t="shared" si="2"/>
        <v>1.2581699346405229E-2</v>
      </c>
      <c r="G46" s="62"/>
      <c r="H46" s="50">
        <v>11</v>
      </c>
      <c r="I46" s="51">
        <v>1</v>
      </c>
      <c r="J46" s="52">
        <f>(1-I46)*J48+J48</f>
        <v>0</v>
      </c>
      <c r="K46" s="53">
        <v>3.5</v>
      </c>
      <c r="L46" s="54">
        <f t="shared" si="4"/>
        <v>1.2581699346405229E-2</v>
      </c>
      <c r="M46" s="54">
        <f t="shared" si="6"/>
        <v>0</v>
      </c>
      <c r="N46" s="55">
        <f t="shared" si="7"/>
        <v>0</v>
      </c>
      <c r="P46" s="56">
        <v>0.85</v>
      </c>
    </row>
    <row r="47" spans="2:16">
      <c r="B47" s="60" t="s">
        <v>10</v>
      </c>
      <c r="C47" s="63"/>
      <c r="D47" s="43">
        <f>D46</f>
        <v>1.1990707973856205</v>
      </c>
      <c r="E47" s="43">
        <f>SUM(E15:E46)</f>
        <v>0.26780000000000004</v>
      </c>
      <c r="F47" s="64">
        <f>SUM(F15:F46)</f>
        <v>0.93127079738562091</v>
      </c>
      <c r="G47" s="65"/>
      <c r="H47" s="50"/>
      <c r="I47" s="65"/>
      <c r="J47" s="66"/>
      <c r="K47" s="65"/>
      <c r="L47" s="63"/>
      <c r="M47" s="63"/>
      <c r="N47" s="67"/>
    </row>
    <row r="48" spans="2:16">
      <c r="B48" s="60" t="s">
        <v>11</v>
      </c>
      <c r="C48" s="68"/>
      <c r="D48" s="43">
        <f>D47+F48</f>
        <v>1.1990707973856205</v>
      </c>
      <c r="E48" s="43"/>
      <c r="F48" s="69">
        <v>0</v>
      </c>
      <c r="G48" s="70"/>
      <c r="H48" s="70"/>
      <c r="I48" s="71" t="s">
        <v>27</v>
      </c>
      <c r="J48" s="72">
        <f>D7</f>
        <v>0</v>
      </c>
      <c r="K48" s="70"/>
      <c r="L48" s="42"/>
      <c r="M48" s="42"/>
      <c r="N48" s="47"/>
    </row>
    <row r="49" spans="2:16">
      <c r="B49" s="60" t="s">
        <v>32</v>
      </c>
      <c r="C49" s="73">
        <v>0.03</v>
      </c>
      <c r="D49" s="43">
        <f>D48+F49</f>
        <v>1.2350429213071892</v>
      </c>
      <c r="E49" s="43">
        <v>0</v>
      </c>
      <c r="F49" s="74">
        <f>D48*C49</f>
        <v>3.5972123921568615E-2</v>
      </c>
      <c r="G49" s="70"/>
      <c r="H49" s="70"/>
      <c r="I49" s="70"/>
      <c r="J49" s="75"/>
      <c r="K49" s="70"/>
      <c r="L49" s="42"/>
      <c r="M49" s="42"/>
      <c r="N49" s="47"/>
    </row>
    <row r="50" spans="2:16">
      <c r="B50" s="60" t="s">
        <v>33</v>
      </c>
      <c r="C50" s="73">
        <v>0.03</v>
      </c>
      <c r="D50" s="43">
        <f>D49+F50</f>
        <v>1.2720942089464049</v>
      </c>
      <c r="E50" s="43">
        <v>0</v>
      </c>
      <c r="F50" s="74">
        <f>D49*C50</f>
        <v>3.7051287639215676E-2</v>
      </c>
      <c r="G50" s="70"/>
      <c r="H50" s="70"/>
      <c r="I50" s="70"/>
      <c r="J50" s="75"/>
      <c r="K50" s="70"/>
      <c r="L50" s="42"/>
      <c r="M50" s="42"/>
      <c r="N50" s="47"/>
      <c r="P50" s="4" t="s">
        <v>98</v>
      </c>
    </row>
    <row r="51" spans="2:16">
      <c r="B51" s="60" t="s">
        <v>12</v>
      </c>
      <c r="C51" s="73">
        <v>0.04</v>
      </c>
      <c r="D51" s="43">
        <f>D50+F51</f>
        <v>1.3229779773042611</v>
      </c>
      <c r="E51" s="43">
        <v>0</v>
      </c>
      <c r="F51" s="74">
        <f>D50*C51</f>
        <v>5.0883768357856199E-2</v>
      </c>
      <c r="G51" s="70"/>
      <c r="H51" s="70"/>
      <c r="I51" s="76"/>
      <c r="J51" s="75"/>
      <c r="K51" s="70"/>
      <c r="L51" s="42"/>
      <c r="M51" s="42"/>
      <c r="N51" s="47"/>
    </row>
    <row r="52" spans="2:16" ht="15" thickBot="1">
      <c r="B52" s="77" t="s">
        <v>36</v>
      </c>
      <c r="C52" s="78"/>
      <c r="D52" s="79">
        <f>D51+F52</f>
        <v>1.3229779773042611</v>
      </c>
      <c r="E52" s="79"/>
      <c r="F52" s="80"/>
      <c r="G52" s="81"/>
      <c r="H52" s="81"/>
      <c r="I52" s="81"/>
      <c r="J52" s="82"/>
      <c r="K52" s="78"/>
      <c r="L52" s="78"/>
      <c r="M52" s="78"/>
      <c r="N52" s="83"/>
    </row>
    <row r="53" spans="2:16" ht="15" thickBot="1">
      <c r="B53" s="84" t="s">
        <v>13</v>
      </c>
      <c r="C53" s="85"/>
      <c r="D53" s="86">
        <f>D52</f>
        <v>1.3229779773042611</v>
      </c>
      <c r="E53" s="87"/>
      <c r="F53" s="88"/>
      <c r="G53" s="89"/>
      <c r="H53" s="89"/>
      <c r="I53" s="89"/>
      <c r="J53" s="90"/>
      <c r="K53" s="89"/>
      <c r="L53" s="89"/>
      <c r="M53" s="89"/>
      <c r="N53" s="89"/>
    </row>
    <row r="54" spans="2:16">
      <c r="F54" s="91"/>
    </row>
    <row r="55" spans="2:16">
      <c r="D55" s="92"/>
      <c r="H55" s="101"/>
    </row>
    <row r="56" spans="2:16">
      <c r="D56" s="93"/>
      <c r="E56" s="91"/>
      <c r="H56" s="94"/>
    </row>
    <row r="57" spans="2:16">
      <c r="D57" s="100"/>
      <c r="H57" s="94"/>
    </row>
    <row r="58" spans="2:16">
      <c r="E58" s="95"/>
      <c r="H58" s="94"/>
    </row>
    <row r="59" spans="2:16">
      <c r="D59" s="102"/>
      <c r="H59" s="94"/>
      <c r="I59" s="96"/>
    </row>
    <row r="60" spans="2:16">
      <c r="B60" s="4" t="s">
        <v>76</v>
      </c>
      <c r="D60" s="91"/>
      <c r="E60" s="95"/>
    </row>
    <row r="61" spans="2:16">
      <c r="B61" s="4" t="s">
        <v>97</v>
      </c>
      <c r="F61" s="94"/>
      <c r="G61" s="94"/>
    </row>
    <row r="62" spans="2:16">
      <c r="F62" s="94"/>
      <c r="G62" s="94"/>
    </row>
    <row r="63" spans="2:16">
      <c r="F63" s="94"/>
      <c r="G63" s="94"/>
    </row>
    <row r="64" spans="2:16">
      <c r="F64" s="99"/>
      <c r="G64" s="99"/>
    </row>
  </sheetData>
  <mergeCells count="3">
    <mergeCell ref="B1:N1"/>
    <mergeCell ref="B2:N2"/>
    <mergeCell ref="B4:B12"/>
  </mergeCells>
  <phoneticPr fontId="4" type="noConversion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 product</vt:lpstr>
      <vt:lpstr>75k unit tool 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2016-09-05T19:40:35Z</dcterms:modified>
</cp:coreProperties>
</file>