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226"/>
  <workbookPr autoCompressPictures="0"/>
  <bookViews>
    <workbookView xWindow="-43040" yWindow="6640" windowWidth="24760" windowHeight="18520" tabRatio="859"/>
  </bookViews>
  <sheets>
    <sheet name="Option1-Concept 1+Assy optionA" sheetId="10" r:id="rId1"/>
    <sheet name="Option2-Concept 1+Assy optionB" sheetId="5" r:id="rId2"/>
    <sheet name="Option3 Concept 2+Assy optionA" sheetId="11" r:id="rId3"/>
    <sheet name="Option4-Concept 2+Assy optionB" sheetId="7" r:id="rId4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hidden="1">#REF!</definedName>
    <definedName name="_xlnm.Print_Area" localSheetId="0">'Option1-Concept 1+Assy optionA'!$C$1:$Q$77</definedName>
    <definedName name="_xlnm.Print_Area" localSheetId="1">'Option2-Concept 1+Assy optionB'!$C$1:$Q$77</definedName>
    <definedName name="_xlnm.Print_Area" localSheetId="2">'Option3 Concept 2+Assy optionA'!$C$1:$Q$77</definedName>
    <definedName name="_xlnm.Print_Area" localSheetId="3">'Option4-Concept 2+Assy optionB'!$C$1:$Q$77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1" l="1"/>
  <c r="K22" i="11"/>
  <c r="K24" i="11"/>
  <c r="J22" i="11"/>
  <c r="J24" i="11"/>
  <c r="I22" i="11"/>
  <c r="I24" i="11"/>
  <c r="J34" i="11"/>
  <c r="J33" i="11"/>
  <c r="N33" i="11"/>
  <c r="O33" i="11"/>
  <c r="J32" i="11"/>
  <c r="N32" i="11"/>
  <c r="J31" i="11"/>
  <c r="J30" i="11"/>
  <c r="K70" i="11"/>
  <c r="N55" i="11"/>
  <c r="O55" i="11"/>
  <c r="N54" i="11"/>
  <c r="N53" i="11"/>
  <c r="N52" i="11"/>
  <c r="O52" i="11"/>
  <c r="N51" i="11"/>
  <c r="N50" i="11"/>
  <c r="O50" i="11"/>
  <c r="N49" i="11"/>
  <c r="N48" i="11"/>
  <c r="O48" i="11"/>
  <c r="N47" i="11"/>
  <c r="N46" i="11"/>
  <c r="O46" i="11"/>
  <c r="N45" i="11"/>
  <c r="N44" i="11"/>
  <c r="O44" i="11"/>
  <c r="N43" i="11"/>
  <c r="N42" i="11"/>
  <c r="O42" i="11"/>
  <c r="N41" i="11"/>
  <c r="J40" i="11"/>
  <c r="N40" i="11"/>
  <c r="J39" i="11"/>
  <c r="N39" i="11"/>
  <c r="O39" i="11"/>
  <c r="J38" i="11"/>
  <c r="N38" i="11"/>
  <c r="O38" i="11"/>
  <c r="N37" i="11"/>
  <c r="N36" i="11"/>
  <c r="O36" i="11"/>
  <c r="N35" i="11"/>
  <c r="N34" i="11"/>
  <c r="O34" i="11"/>
  <c r="N31" i="11"/>
  <c r="N30" i="11"/>
  <c r="O30" i="11"/>
  <c r="J28" i="11"/>
  <c r="N28" i="11"/>
  <c r="P22" i="11"/>
  <c r="P24" i="11"/>
  <c r="N22" i="11"/>
  <c r="N24" i="11"/>
  <c r="L22" i="11"/>
  <c r="L24" i="11"/>
  <c r="H21" i="11"/>
  <c r="H22" i="11"/>
  <c r="H24" i="11"/>
  <c r="O22" i="11"/>
  <c r="O24" i="11"/>
  <c r="M22" i="11"/>
  <c r="G21" i="11"/>
  <c r="G22" i="11"/>
  <c r="G24" i="11"/>
  <c r="F21" i="11"/>
  <c r="F22" i="11"/>
  <c r="F24" i="11"/>
  <c r="P17" i="11"/>
  <c r="O17" i="11"/>
  <c r="N17" i="11"/>
  <c r="M17" i="11"/>
  <c r="L17" i="11"/>
  <c r="K17" i="11"/>
  <c r="J17" i="11"/>
  <c r="I17" i="11"/>
  <c r="H17" i="11"/>
  <c r="G17" i="11"/>
  <c r="F17" i="11"/>
  <c r="P16" i="11"/>
  <c r="O16" i="11"/>
  <c r="N16" i="11"/>
  <c r="L16" i="11"/>
  <c r="J16" i="11"/>
  <c r="H16" i="11"/>
  <c r="H14" i="11"/>
  <c r="H9" i="11"/>
  <c r="J38" i="7"/>
  <c r="J39" i="7"/>
  <c r="J40" i="7"/>
  <c r="J41" i="7"/>
  <c r="J37" i="7"/>
  <c r="J33" i="7"/>
  <c r="J32" i="7"/>
  <c r="J31" i="7"/>
  <c r="J30" i="7"/>
  <c r="J29" i="7"/>
  <c r="J28" i="7"/>
  <c r="G21" i="7"/>
  <c r="F21" i="7"/>
  <c r="H21" i="7"/>
  <c r="I22" i="10"/>
  <c r="I24" i="10"/>
  <c r="J22" i="10"/>
  <c r="J24" i="10"/>
  <c r="K22" i="10"/>
  <c r="K24" i="10"/>
  <c r="J69" i="11"/>
  <c r="F14" i="11"/>
  <c r="L57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O47" i="11"/>
  <c r="F16" i="11"/>
  <c r="K16" i="11"/>
  <c r="O28" i="11"/>
  <c r="N29" i="11"/>
  <c r="F64" i="11"/>
  <c r="O31" i="11"/>
  <c r="O40" i="11"/>
  <c r="O45" i="11"/>
  <c r="O53" i="11"/>
  <c r="O54" i="11"/>
  <c r="G16" i="11"/>
  <c r="G27" i="11"/>
  <c r="I16" i="11"/>
  <c r="M24" i="11"/>
  <c r="M16" i="11"/>
  <c r="O43" i="11"/>
  <c r="O51" i="11"/>
  <c r="O32" i="11"/>
  <c r="O35" i="11"/>
  <c r="O37" i="11"/>
  <c r="O41" i="11"/>
  <c r="O49" i="11"/>
  <c r="J35" i="10"/>
  <c r="J34" i="10"/>
  <c r="J33" i="10"/>
  <c r="J32" i="10"/>
  <c r="N32" i="10"/>
  <c r="J31" i="10"/>
  <c r="J30" i="10"/>
  <c r="H9" i="7"/>
  <c r="H9" i="10"/>
  <c r="H9" i="5"/>
  <c r="K70" i="10"/>
  <c r="N55" i="10"/>
  <c r="O55" i="10"/>
  <c r="N54" i="10"/>
  <c r="O54" i="10"/>
  <c r="N53" i="10"/>
  <c r="N52" i="10"/>
  <c r="O52" i="10"/>
  <c r="N51" i="10"/>
  <c r="O51" i="10"/>
  <c r="N50" i="10"/>
  <c r="O50" i="10"/>
  <c r="N49" i="10"/>
  <c r="N48" i="10"/>
  <c r="O48" i="10"/>
  <c r="N47" i="10"/>
  <c r="N46" i="10"/>
  <c r="O46" i="10"/>
  <c r="N45" i="10"/>
  <c r="N44" i="10"/>
  <c r="O44" i="10"/>
  <c r="N43" i="10"/>
  <c r="O43" i="10"/>
  <c r="N42" i="10"/>
  <c r="O42" i="10"/>
  <c r="N41" i="10"/>
  <c r="N40" i="10"/>
  <c r="O40" i="10"/>
  <c r="N39" i="10"/>
  <c r="N38" i="10"/>
  <c r="O38" i="10"/>
  <c r="N37" i="10"/>
  <c r="N36" i="10"/>
  <c r="O36" i="10"/>
  <c r="N35" i="10"/>
  <c r="O35" i="10"/>
  <c r="N34" i="10"/>
  <c r="N33" i="10"/>
  <c r="N31" i="10"/>
  <c r="N30" i="10"/>
  <c r="N29" i="10"/>
  <c r="O29" i="10"/>
  <c r="J28" i="10"/>
  <c r="M22" i="10"/>
  <c r="M24" i="10"/>
  <c r="P22" i="10"/>
  <c r="P16" i="10"/>
  <c r="O22" i="10"/>
  <c r="O24" i="10"/>
  <c r="N22" i="10"/>
  <c r="L22" i="10"/>
  <c r="L24" i="10"/>
  <c r="H21" i="10"/>
  <c r="H22" i="10"/>
  <c r="H24" i="10"/>
  <c r="F21" i="10"/>
  <c r="F22" i="10"/>
  <c r="G21" i="10"/>
  <c r="G22" i="10"/>
  <c r="P17" i="10"/>
  <c r="O17" i="10"/>
  <c r="N17" i="10"/>
  <c r="M17" i="10"/>
  <c r="L17" i="10"/>
  <c r="K17" i="10"/>
  <c r="J17" i="10"/>
  <c r="I17" i="10"/>
  <c r="H17" i="10"/>
  <c r="G17" i="10"/>
  <c r="F17" i="10"/>
  <c r="O16" i="10"/>
  <c r="M16" i="10"/>
  <c r="L16" i="10"/>
  <c r="I16" i="10"/>
  <c r="H14" i="10"/>
  <c r="G56" i="11"/>
  <c r="F27" i="11"/>
  <c r="F67" i="11"/>
  <c r="O29" i="11"/>
  <c r="F65" i="11"/>
  <c r="K16" i="10"/>
  <c r="J69" i="10"/>
  <c r="F14" i="10"/>
  <c r="L57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G24" i="10"/>
  <c r="G16" i="10"/>
  <c r="P24" i="10"/>
  <c r="O30" i="10"/>
  <c r="H16" i="10"/>
  <c r="N28" i="10"/>
  <c r="O31" i="10"/>
  <c r="O33" i="10"/>
  <c r="O41" i="10"/>
  <c r="O49" i="10"/>
  <c r="F24" i="10"/>
  <c r="F16" i="10"/>
  <c r="J16" i="10"/>
  <c r="N24" i="10"/>
  <c r="N16" i="10"/>
  <c r="O32" i="10"/>
  <c r="O39" i="10"/>
  <c r="O47" i="10"/>
  <c r="O34" i="10"/>
  <c r="O37" i="10"/>
  <c r="O45" i="10"/>
  <c r="O53" i="10"/>
  <c r="J34" i="5"/>
  <c r="J33" i="5"/>
  <c r="J32" i="5"/>
  <c r="J29" i="5"/>
  <c r="J28" i="5"/>
  <c r="H21" i="5"/>
  <c r="G21" i="5"/>
  <c r="F21" i="5"/>
  <c r="P28" i="11"/>
  <c r="G27" i="10"/>
  <c r="F64" i="10"/>
  <c r="O28" i="10"/>
  <c r="F65" i="10"/>
  <c r="H28" i="11"/>
  <c r="G56" i="10"/>
  <c r="F27" i="10"/>
  <c r="F67" i="10"/>
  <c r="N35" i="7"/>
  <c r="O35" i="7"/>
  <c r="I22" i="7"/>
  <c r="K70" i="7"/>
  <c r="N55" i="7"/>
  <c r="N54" i="7"/>
  <c r="N53" i="7"/>
  <c r="O53" i="7"/>
  <c r="N52" i="7"/>
  <c r="O52" i="7"/>
  <c r="N51" i="7"/>
  <c r="O51" i="7"/>
  <c r="N50" i="7"/>
  <c r="N49" i="7"/>
  <c r="O49" i="7"/>
  <c r="N48" i="7"/>
  <c r="N47" i="7"/>
  <c r="O47" i="7"/>
  <c r="N46" i="7"/>
  <c r="N45" i="7"/>
  <c r="O45" i="7"/>
  <c r="N44" i="7"/>
  <c r="N43" i="7"/>
  <c r="O43" i="7"/>
  <c r="N42" i="7"/>
  <c r="N41" i="7"/>
  <c r="O41" i="7"/>
  <c r="N40" i="7"/>
  <c r="N39" i="7"/>
  <c r="O39" i="7"/>
  <c r="N38" i="7"/>
  <c r="N37" i="7"/>
  <c r="O37" i="7"/>
  <c r="N36" i="7"/>
  <c r="O36" i="7"/>
  <c r="N34" i="7"/>
  <c r="O34" i="7"/>
  <c r="N33" i="7"/>
  <c r="N32" i="7"/>
  <c r="O32" i="7"/>
  <c r="N31" i="7"/>
  <c r="N30" i="7"/>
  <c r="N28" i="7"/>
  <c r="O28" i="7"/>
  <c r="N22" i="7"/>
  <c r="N24" i="7"/>
  <c r="L22" i="7"/>
  <c r="L24" i="7"/>
  <c r="J22" i="7"/>
  <c r="J24" i="7"/>
  <c r="P22" i="7"/>
  <c r="P24" i="7"/>
  <c r="O22" i="7"/>
  <c r="M22" i="7"/>
  <c r="M16" i="7"/>
  <c r="K22" i="7"/>
  <c r="H22" i="7"/>
  <c r="H24" i="7"/>
  <c r="G22" i="7"/>
  <c r="G24" i="7"/>
  <c r="F22" i="7"/>
  <c r="F16" i="7"/>
  <c r="P17" i="7"/>
  <c r="O17" i="7"/>
  <c r="N17" i="7"/>
  <c r="M17" i="7"/>
  <c r="L17" i="7"/>
  <c r="K17" i="7"/>
  <c r="J17" i="7"/>
  <c r="I17" i="7"/>
  <c r="H17" i="7"/>
  <c r="G17" i="7"/>
  <c r="F17" i="7"/>
  <c r="P16" i="7"/>
  <c r="N16" i="7"/>
  <c r="L16" i="7"/>
  <c r="J16" i="7"/>
  <c r="H14" i="7"/>
  <c r="F28" i="11"/>
  <c r="F24" i="7"/>
  <c r="H16" i="7"/>
  <c r="P28" i="10"/>
  <c r="O31" i="7"/>
  <c r="I24" i="7"/>
  <c r="K24" i="7"/>
  <c r="G27" i="7"/>
  <c r="I16" i="7"/>
  <c r="M24" i="7"/>
  <c r="O30" i="7"/>
  <c r="O33" i="7"/>
  <c r="O40" i="7"/>
  <c r="O44" i="7"/>
  <c r="O55" i="7"/>
  <c r="G16" i="7"/>
  <c r="J69" i="7"/>
  <c r="F14" i="7"/>
  <c r="L57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N29" i="7"/>
  <c r="O48" i="7"/>
  <c r="K16" i="7"/>
  <c r="O24" i="7"/>
  <c r="O16" i="7"/>
  <c r="O38" i="7"/>
  <c r="O42" i="7"/>
  <c r="O46" i="7"/>
  <c r="O50" i="7"/>
  <c r="O54" i="7"/>
  <c r="P29" i="11"/>
  <c r="H28" i="10"/>
  <c r="F67" i="7"/>
  <c r="G56" i="7"/>
  <c r="F27" i="7"/>
  <c r="O29" i="7"/>
  <c r="F65" i="7"/>
  <c r="F64" i="7"/>
  <c r="H29" i="11"/>
  <c r="F28" i="10"/>
  <c r="P28" i="7"/>
  <c r="F29" i="11"/>
  <c r="P29" i="10"/>
  <c r="H28" i="7"/>
  <c r="P30" i="11"/>
  <c r="H29" i="10"/>
  <c r="F28" i="7"/>
  <c r="H30" i="11"/>
  <c r="F29" i="10"/>
  <c r="P29" i="7"/>
  <c r="F30" i="11"/>
  <c r="P30" i="10"/>
  <c r="H29" i="7"/>
  <c r="P31" i="11"/>
  <c r="H30" i="10"/>
  <c r="F29" i="7"/>
  <c r="H31" i="11"/>
  <c r="F30" i="10"/>
  <c r="P30" i="7"/>
  <c r="F31" i="11"/>
  <c r="P31" i="10"/>
  <c r="H30" i="7"/>
  <c r="P32" i="11"/>
  <c r="H31" i="10"/>
  <c r="F30" i="7"/>
  <c r="H32" i="11"/>
  <c r="F31" i="10"/>
  <c r="P31" i="7"/>
  <c r="F32" i="11"/>
  <c r="P32" i="10"/>
  <c r="H31" i="7"/>
  <c r="P33" i="11"/>
  <c r="H33" i="11"/>
  <c r="F33" i="11"/>
  <c r="H32" i="10"/>
  <c r="F31" i="7"/>
  <c r="P34" i="11"/>
  <c r="H34" i="11"/>
  <c r="F34" i="11"/>
  <c r="F32" i="10"/>
  <c r="P32" i="7"/>
  <c r="P35" i="11"/>
  <c r="H35" i="11"/>
  <c r="F35" i="11"/>
  <c r="P33" i="10"/>
  <c r="H33" i="10"/>
  <c r="F33" i="10"/>
  <c r="H32" i="7"/>
  <c r="P36" i="11"/>
  <c r="H36" i="11"/>
  <c r="F36" i="11"/>
  <c r="P34" i="10"/>
  <c r="H34" i="10"/>
  <c r="F34" i="10"/>
  <c r="F32" i="7"/>
  <c r="P37" i="11"/>
  <c r="H37" i="11"/>
  <c r="F37" i="11"/>
  <c r="P35" i="10"/>
  <c r="H35" i="10"/>
  <c r="F35" i="10"/>
  <c r="P33" i="7"/>
  <c r="H33" i="7"/>
  <c r="F33" i="7"/>
  <c r="P38" i="11"/>
  <c r="H38" i="11"/>
  <c r="F38" i="11"/>
  <c r="P36" i="10"/>
  <c r="H36" i="10"/>
  <c r="F36" i="10"/>
  <c r="P34" i="7"/>
  <c r="H34" i="7"/>
  <c r="F34" i="7"/>
  <c r="P39" i="11"/>
  <c r="H39" i="11"/>
  <c r="F39" i="11"/>
  <c r="P37" i="10"/>
  <c r="H37" i="10"/>
  <c r="F37" i="10"/>
  <c r="P35" i="7"/>
  <c r="H35" i="7"/>
  <c r="F35" i="7"/>
  <c r="P40" i="11"/>
  <c r="H40" i="11"/>
  <c r="F40" i="11"/>
  <c r="P38" i="10"/>
  <c r="H38" i="10"/>
  <c r="F38" i="10"/>
  <c r="P36" i="7"/>
  <c r="H36" i="7"/>
  <c r="F36" i="7"/>
  <c r="P41" i="11"/>
  <c r="H41" i="11"/>
  <c r="F41" i="11"/>
  <c r="P39" i="10"/>
  <c r="H39" i="10"/>
  <c r="F39" i="10"/>
  <c r="P37" i="7"/>
  <c r="H37" i="7"/>
  <c r="F37" i="7"/>
  <c r="P42" i="11"/>
  <c r="H42" i="11"/>
  <c r="F42" i="11"/>
  <c r="P40" i="10"/>
  <c r="H40" i="10"/>
  <c r="F40" i="10"/>
  <c r="P38" i="7"/>
  <c r="H38" i="7"/>
  <c r="F38" i="7"/>
  <c r="P43" i="11"/>
  <c r="H43" i="11"/>
  <c r="F43" i="11"/>
  <c r="P41" i="10"/>
  <c r="H41" i="10"/>
  <c r="F41" i="10"/>
  <c r="P39" i="7"/>
  <c r="H39" i="7"/>
  <c r="F39" i="7"/>
  <c r="P44" i="11"/>
  <c r="H44" i="11"/>
  <c r="F44" i="11"/>
  <c r="P42" i="10"/>
  <c r="H42" i="10"/>
  <c r="F42" i="10"/>
  <c r="P40" i="7"/>
  <c r="H40" i="7"/>
  <c r="F40" i="7"/>
  <c r="P45" i="11"/>
  <c r="H45" i="11"/>
  <c r="F45" i="11"/>
  <c r="P43" i="10"/>
  <c r="H43" i="10"/>
  <c r="F43" i="10"/>
  <c r="P41" i="7"/>
  <c r="H41" i="7"/>
  <c r="F41" i="7"/>
  <c r="P46" i="11"/>
  <c r="H46" i="11"/>
  <c r="F46" i="11"/>
  <c r="P44" i="10"/>
  <c r="H44" i="10"/>
  <c r="F44" i="10"/>
  <c r="P42" i="7"/>
  <c r="H42" i="7"/>
  <c r="F42" i="7"/>
  <c r="P47" i="11"/>
  <c r="H47" i="11"/>
  <c r="F47" i="11"/>
  <c r="P45" i="10"/>
  <c r="H45" i="10"/>
  <c r="F45" i="10"/>
  <c r="P43" i="7"/>
  <c r="H43" i="7"/>
  <c r="F43" i="7"/>
  <c r="P48" i="11"/>
  <c r="H48" i="11"/>
  <c r="F48" i="11"/>
  <c r="P46" i="10"/>
  <c r="H46" i="10"/>
  <c r="F46" i="10"/>
  <c r="P44" i="7"/>
  <c r="H44" i="7"/>
  <c r="F44" i="7"/>
  <c r="P49" i="11"/>
  <c r="H49" i="11"/>
  <c r="F49" i="11"/>
  <c r="P47" i="10"/>
  <c r="H47" i="10"/>
  <c r="F47" i="10"/>
  <c r="P45" i="7"/>
  <c r="H45" i="7"/>
  <c r="F45" i="7"/>
  <c r="P50" i="11"/>
  <c r="H50" i="11"/>
  <c r="F50" i="11"/>
  <c r="P48" i="10"/>
  <c r="H48" i="10"/>
  <c r="F48" i="10"/>
  <c r="P46" i="7"/>
  <c r="H46" i="7"/>
  <c r="F46" i="7"/>
  <c r="P51" i="11"/>
  <c r="H51" i="11"/>
  <c r="F51" i="11"/>
  <c r="P49" i="10"/>
  <c r="H49" i="10"/>
  <c r="F49" i="10"/>
  <c r="P47" i="7"/>
  <c r="H47" i="7"/>
  <c r="F47" i="7"/>
  <c r="P52" i="11"/>
  <c r="H52" i="11"/>
  <c r="F52" i="11"/>
  <c r="P50" i="10"/>
  <c r="H50" i="10"/>
  <c r="F50" i="10"/>
  <c r="P48" i="7"/>
  <c r="H48" i="7"/>
  <c r="F48" i="7"/>
  <c r="P53" i="11"/>
  <c r="H53" i="11"/>
  <c r="F53" i="11"/>
  <c r="P51" i="10"/>
  <c r="H51" i="10"/>
  <c r="F51" i="10"/>
  <c r="P49" i="7"/>
  <c r="H49" i="7"/>
  <c r="F49" i="7"/>
  <c r="P54" i="11"/>
  <c r="H54" i="11"/>
  <c r="I54" i="11"/>
  <c r="P52" i="10"/>
  <c r="H52" i="10"/>
  <c r="F52" i="10"/>
  <c r="P50" i="7"/>
  <c r="H50" i="7"/>
  <c r="F50" i="7"/>
  <c r="F54" i="11"/>
  <c r="P53" i="10"/>
  <c r="H53" i="10"/>
  <c r="F53" i="10"/>
  <c r="P51" i="7"/>
  <c r="H51" i="7"/>
  <c r="F51" i="7"/>
  <c r="P55" i="11"/>
  <c r="P54" i="10"/>
  <c r="H54" i="10"/>
  <c r="I54" i="10"/>
  <c r="P52" i="7"/>
  <c r="H52" i="7"/>
  <c r="F52" i="7"/>
  <c r="H55" i="11"/>
  <c r="F66" i="11"/>
  <c r="F54" i="10"/>
  <c r="P53" i="7"/>
  <c r="H53" i="7"/>
  <c r="F53" i="7"/>
  <c r="I55" i="11"/>
  <c r="H56" i="11"/>
  <c r="F63" i="11"/>
  <c r="F55" i="11"/>
  <c r="P55" i="10"/>
  <c r="P54" i="7"/>
  <c r="H54" i="7"/>
  <c r="I54" i="7"/>
  <c r="F56" i="11"/>
  <c r="H58" i="11"/>
  <c r="H55" i="10"/>
  <c r="F66" i="10"/>
  <c r="F54" i="7"/>
  <c r="H59" i="11"/>
  <c r="F57" i="11"/>
  <c r="F58" i="11"/>
  <c r="I55" i="10"/>
  <c r="H56" i="10"/>
  <c r="F63" i="10"/>
  <c r="F55" i="10"/>
  <c r="P55" i="7"/>
  <c r="F59" i="11"/>
  <c r="F60" i="11"/>
  <c r="F61" i="11"/>
  <c r="H58" i="10"/>
  <c r="F56" i="10"/>
  <c r="H55" i="7"/>
  <c r="F66" i="7"/>
  <c r="F57" i="10"/>
  <c r="F58" i="10"/>
  <c r="H59" i="10"/>
  <c r="I55" i="7"/>
  <c r="F63" i="7"/>
  <c r="H56" i="7"/>
  <c r="F55" i="7"/>
  <c r="F59" i="10"/>
  <c r="F60" i="10"/>
  <c r="F61" i="10"/>
  <c r="H58" i="7"/>
  <c r="F56" i="7"/>
  <c r="F57" i="7"/>
  <c r="F58" i="7"/>
  <c r="H59" i="7"/>
  <c r="F59" i="7"/>
  <c r="F60" i="7"/>
  <c r="F61" i="7"/>
  <c r="K70" i="5"/>
  <c r="N55" i="5"/>
  <c r="O55" i="5"/>
  <c r="N54" i="5"/>
  <c r="O54" i="5"/>
  <c r="N53" i="5"/>
  <c r="N52" i="5"/>
  <c r="O52" i="5"/>
  <c r="N51" i="5"/>
  <c r="N50" i="5"/>
  <c r="O50" i="5"/>
  <c r="N49" i="5"/>
  <c r="N48" i="5"/>
  <c r="O48" i="5"/>
  <c r="N47" i="5"/>
  <c r="N46" i="5"/>
  <c r="O46" i="5"/>
  <c r="N45" i="5"/>
  <c r="N44" i="5"/>
  <c r="O44" i="5"/>
  <c r="N43" i="5"/>
  <c r="N42" i="5"/>
  <c r="O42" i="5"/>
  <c r="N41" i="5"/>
  <c r="N40" i="5"/>
  <c r="O40" i="5"/>
  <c r="N39" i="5"/>
  <c r="N38" i="5"/>
  <c r="O38" i="5"/>
  <c r="N37" i="5"/>
  <c r="N36" i="5"/>
  <c r="O36" i="5"/>
  <c r="N35" i="5"/>
  <c r="N34" i="5"/>
  <c r="N33" i="5"/>
  <c r="N32" i="5"/>
  <c r="O32" i="5"/>
  <c r="J31" i="5"/>
  <c r="N31" i="5"/>
  <c r="J30" i="5"/>
  <c r="N30" i="5"/>
  <c r="N29" i="5"/>
  <c r="O29" i="5"/>
  <c r="N28" i="5"/>
  <c r="J69" i="5"/>
  <c r="O22" i="5"/>
  <c r="O24" i="5"/>
  <c r="N22" i="5"/>
  <c r="N24" i="5"/>
  <c r="K22" i="5"/>
  <c r="K24" i="5"/>
  <c r="J22" i="5"/>
  <c r="J24" i="5"/>
  <c r="P22" i="5"/>
  <c r="P24" i="5"/>
  <c r="M22" i="5"/>
  <c r="L22" i="5"/>
  <c r="L24" i="5"/>
  <c r="I22" i="5"/>
  <c r="F22" i="5"/>
  <c r="F24" i="5"/>
  <c r="H22" i="5"/>
  <c r="G22" i="5"/>
  <c r="P17" i="5"/>
  <c r="O17" i="5"/>
  <c r="N17" i="5"/>
  <c r="M17" i="5"/>
  <c r="L17" i="5"/>
  <c r="K17" i="5"/>
  <c r="J17" i="5"/>
  <c r="I17" i="5"/>
  <c r="H17" i="5"/>
  <c r="G17" i="5"/>
  <c r="F17" i="5"/>
  <c r="P16" i="5"/>
  <c r="O16" i="5"/>
  <c r="N16" i="5"/>
  <c r="L16" i="5"/>
  <c r="K16" i="5"/>
  <c r="J16" i="5"/>
  <c r="F16" i="5"/>
  <c r="H14" i="5"/>
  <c r="F14" i="5"/>
  <c r="L57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O30" i="5"/>
  <c r="H24" i="5"/>
  <c r="G24" i="5"/>
  <c r="I24" i="5"/>
  <c r="G27" i="5"/>
  <c r="H16" i="5"/>
  <c r="F64" i="5"/>
  <c r="O31" i="5"/>
  <c r="I16" i="5"/>
  <c r="M24" i="5"/>
  <c r="M16" i="5"/>
  <c r="G16" i="5"/>
  <c r="O34" i="5"/>
  <c r="O33" i="5"/>
  <c r="O28" i="5"/>
  <c r="O35" i="5"/>
  <c r="O37" i="5"/>
  <c r="O39" i="5"/>
  <c r="O41" i="5"/>
  <c r="O43" i="5"/>
  <c r="O45" i="5"/>
  <c r="O47" i="5"/>
  <c r="O49" i="5"/>
  <c r="O51" i="5"/>
  <c r="O53" i="5"/>
  <c r="G56" i="5"/>
  <c r="F27" i="5"/>
  <c r="F67" i="5"/>
  <c r="F65" i="5"/>
  <c r="P28" i="5"/>
  <c r="H28" i="5"/>
  <c r="F28" i="5"/>
  <c r="P29" i="5"/>
  <c r="H29" i="5"/>
  <c r="F29" i="5"/>
  <c r="P30" i="5"/>
  <c r="H30" i="5"/>
  <c r="F30" i="5"/>
  <c r="P31" i="5"/>
  <c r="H31" i="5"/>
  <c r="F31" i="5"/>
  <c r="P32" i="5"/>
  <c r="H32" i="5"/>
  <c r="F32" i="5"/>
  <c r="P33" i="5"/>
  <c r="H33" i="5"/>
  <c r="F33" i="5"/>
  <c r="P34" i="5"/>
  <c r="H34" i="5"/>
  <c r="F34" i="5"/>
  <c r="P35" i="5"/>
  <c r="H35" i="5"/>
  <c r="F35" i="5"/>
  <c r="P36" i="5"/>
  <c r="H36" i="5"/>
  <c r="F36" i="5"/>
  <c r="P37" i="5"/>
  <c r="H37" i="5"/>
  <c r="F37" i="5"/>
  <c r="P38" i="5"/>
  <c r="H38" i="5"/>
  <c r="F38" i="5"/>
  <c r="P39" i="5"/>
  <c r="H39" i="5"/>
  <c r="F39" i="5"/>
  <c r="P40" i="5"/>
  <c r="H40" i="5"/>
  <c r="F40" i="5"/>
  <c r="P41" i="5"/>
  <c r="H41" i="5"/>
  <c r="F41" i="5"/>
  <c r="P42" i="5"/>
  <c r="H42" i="5"/>
  <c r="F42" i="5"/>
  <c r="P43" i="5"/>
  <c r="H43" i="5"/>
  <c r="F43" i="5"/>
  <c r="P44" i="5"/>
  <c r="H44" i="5"/>
  <c r="F44" i="5"/>
  <c r="P45" i="5"/>
  <c r="H45" i="5"/>
  <c r="F45" i="5"/>
  <c r="P46" i="5"/>
  <c r="H46" i="5"/>
  <c r="F46" i="5"/>
  <c r="P47" i="5"/>
  <c r="H47" i="5"/>
  <c r="F47" i="5"/>
  <c r="P48" i="5"/>
  <c r="H48" i="5"/>
  <c r="F48" i="5"/>
  <c r="P49" i="5"/>
  <c r="H49" i="5"/>
  <c r="F49" i="5"/>
  <c r="P50" i="5"/>
  <c r="H50" i="5"/>
  <c r="F50" i="5"/>
  <c r="P51" i="5"/>
  <c r="H51" i="5"/>
  <c r="F51" i="5"/>
  <c r="P52" i="5"/>
  <c r="H52" i="5"/>
  <c r="F52" i="5"/>
  <c r="P53" i="5"/>
  <c r="H53" i="5"/>
  <c r="F53" i="5"/>
  <c r="P54" i="5"/>
  <c r="H54" i="5"/>
  <c r="I54" i="5"/>
  <c r="F54" i="5"/>
  <c r="P55" i="5"/>
  <c r="H55" i="5"/>
  <c r="F66" i="5"/>
  <c r="I55" i="5"/>
  <c r="H56" i="5"/>
  <c r="F63" i="5"/>
  <c r="F55" i="5"/>
  <c r="F56" i="5"/>
  <c r="H58" i="5"/>
  <c r="F57" i="5"/>
  <c r="F58" i="5"/>
  <c r="H59" i="5"/>
  <c r="F59" i="5"/>
  <c r="F60" i="5"/>
  <c r="F61" i="5"/>
</calcChain>
</file>

<file path=xl/comments1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2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3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comments4.xml><?xml version="1.0" encoding="utf-8"?>
<comments xmlns="http://schemas.openxmlformats.org/spreadsheetml/2006/main">
  <authors>
    <author>HF Global Inc.</author>
  </authors>
  <commentList>
    <comment ref="F7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Official name of the company we will be issuing PO against</t>
        </r>
      </text>
    </comment>
    <comment ref="H8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Name and contact info of the person issuing the quote.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Use part number provided in part description documents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e.g. TPE, ABS, Aluminum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Unit of weight should match the cost quote above</t>
        </r>
      </text>
    </comment>
    <comment ref="M26" authorId="0">
      <text>
        <r>
          <rPr>
            <b/>
            <sz val="9"/>
            <color indexed="81"/>
            <rFont val="Tahoma"/>
            <family val="2"/>
          </rPr>
          <t>HF Global Inc.:</t>
        </r>
        <r>
          <rPr>
            <sz val="9"/>
            <color indexed="81"/>
            <rFont val="Tahoma"/>
            <family val="2"/>
          </rPr>
          <t xml:space="preserve">
If a machining step = machine rate; if a labor process = wage</t>
        </r>
      </text>
    </comment>
  </commentList>
</comments>
</file>

<file path=xl/sharedStrings.xml><?xml version="1.0" encoding="utf-8"?>
<sst xmlns="http://schemas.openxmlformats.org/spreadsheetml/2006/main" count="400" uniqueCount="106">
  <si>
    <t>US dollars only ($)</t>
  </si>
  <si>
    <t>Please submit this cost breakdown with the official quotation with your company letterhead.</t>
  </si>
  <si>
    <t>Supplier Information</t>
  </si>
  <si>
    <t>Supplier Name:</t>
  </si>
  <si>
    <t>Supplier website:</t>
  </si>
  <si>
    <t>Telephone:</t>
  </si>
  <si>
    <t>HQ Location:</t>
  </si>
  <si>
    <t>Quoted By:</t>
  </si>
  <si>
    <t>Fax:</t>
  </si>
  <si>
    <t>Manufacturing Location(s):</t>
  </si>
  <si>
    <t>Date of Quote:</t>
  </si>
  <si>
    <t>Email:</t>
  </si>
  <si>
    <t>General &amp; Labor</t>
  </si>
  <si>
    <t>Part Number</t>
  </si>
  <si>
    <t>Hours / Shift</t>
  </si>
  <si>
    <t>Part Description</t>
  </si>
  <si>
    <t>Shift(s) / Day</t>
  </si>
  <si>
    <t>Capacity (Quantity / Day)</t>
  </si>
  <si>
    <t>Work Days / Year</t>
  </si>
  <si>
    <t>Components &amp; Materials</t>
  </si>
  <si>
    <t>Component Description</t>
  </si>
  <si>
    <t>Component Material</t>
  </si>
  <si>
    <t>Material cost / Kg</t>
  </si>
  <si>
    <t>Kg Material / Component</t>
  </si>
  <si>
    <t>Material cost / Component</t>
  </si>
  <si>
    <t>Components / Part</t>
  </si>
  <si>
    <t>Material cost / Part</t>
  </si>
  <si>
    <t>Operation Count</t>
  </si>
  <si>
    <t>Operation Description</t>
  </si>
  <si>
    <t>Cost / Part</t>
  </si>
  <si>
    <t>Material Cost / Part Added</t>
  </si>
  <si>
    <t>Op Cost/ Part</t>
  </si>
  <si>
    <t>Machine Type or Manual Labor Process</t>
  </si>
  <si>
    <t>Cycle Time (Seconds)</t>
  </si>
  <si>
    <t>Yield</t>
  </si>
  <si>
    <t>Parts / Day</t>
  </si>
  <si>
    <t>Total Rate $/hr</t>
  </si>
  <si>
    <t>M/c $/part</t>
  </si>
  <si>
    <t>Process Yield loss/part</t>
  </si>
  <si>
    <t>Material Yld loss/ part</t>
  </si>
  <si>
    <t>Input</t>
  </si>
  <si>
    <t>Protection</t>
  </si>
  <si>
    <t>Packaging</t>
  </si>
  <si>
    <t>Net Process</t>
  </si>
  <si>
    <t>Shipping</t>
  </si>
  <si>
    <t>Req PPD</t>
  </si>
  <si>
    <t>G&amp;A (XX%)</t>
  </si>
  <si>
    <t>Profit (XX%)</t>
  </si>
  <si>
    <t>Other</t>
  </si>
  <si>
    <t>*Explain "Other" here</t>
  </si>
  <si>
    <t>Total Part Cost</t>
  </si>
  <si>
    <t>Total Ops</t>
  </si>
  <si>
    <t>M/c $</t>
  </si>
  <si>
    <t>Process Yield loss</t>
  </si>
  <si>
    <t>Material Yld loss</t>
  </si>
  <si>
    <t>Materials</t>
  </si>
  <si>
    <t>Cycle Time (sec)</t>
  </si>
  <si>
    <t>Supplier Notes:</t>
  </si>
  <si>
    <t>Assembly</t>
  </si>
  <si>
    <t>Harry's Inc. - Unit Bottoms-Up Cost Breakdown</t>
  </si>
  <si>
    <t xml:space="preserve">Please fill in only the cells highlighted in "yellow". Input values only where requested (do not include units within cells). </t>
  </si>
  <si>
    <t>flex</t>
  </si>
  <si>
    <t>Handle</t>
  </si>
  <si>
    <t>N/A</t>
  </si>
  <si>
    <t xml:space="preserve"> ABS HI121H, Black </t>
  </si>
  <si>
    <t>ABS</t>
  </si>
  <si>
    <t>TPU</t>
  </si>
  <si>
    <t>Connector-Molding</t>
  </si>
  <si>
    <t>50T</t>
  </si>
  <si>
    <t>Bottom Grip-Molding_1 shot</t>
  </si>
  <si>
    <t>Bottom Grip-Molding_2 shot</t>
  </si>
  <si>
    <t>Top  Grip-Molding_1 shot</t>
  </si>
  <si>
    <t>Top  Grip-Molding_2 shot</t>
  </si>
  <si>
    <t>NORYL RESIN PKN4752 COOL GREY 11C</t>
  </si>
  <si>
    <t xml:space="preserve"> TPU 70 shore A, with </t>
  </si>
  <si>
    <t>NORYL</t>
  </si>
  <si>
    <t>LOGO Base-Molding</t>
  </si>
  <si>
    <t>PUSHER -Molding</t>
  </si>
  <si>
    <t>Chassis-Die cast_P part</t>
  </si>
  <si>
    <t>Logo-P part</t>
  </si>
  <si>
    <t>120T- 2 shot</t>
  </si>
  <si>
    <t>Connector-plating</t>
  </si>
  <si>
    <t>Assemble and press the double shoot part( Mirror3_1 and Mirror3_3) to the Mirror3_2</t>
  </si>
  <si>
    <t>Insert Cartridge_4_6 to the double shoot part(Mirror3_5 and 2pcs Mirror4), then insert them to the Mirror3_2.</t>
  </si>
  <si>
    <t>Assemble and press 1piece double shoot part(Mirror3_4 and Mirror3_6) and 1piece Mirror3_7 to the Mirror3_2.</t>
  </si>
  <si>
    <t>Attach and press Logo to Mirror3_7, inspection and package.</t>
  </si>
  <si>
    <t>Inspection and package.&amp;Rework(Replace the cosmetic and structure defect parts with new one)&amp;OBA</t>
  </si>
  <si>
    <t>Inspection and package&amp;Rework(Replace the cosmetic and structure defect parts with new one)&amp;OBA</t>
  </si>
  <si>
    <t>LOGO Base-Pad printing</t>
  </si>
  <si>
    <t>Pad-print color 1</t>
  </si>
  <si>
    <t>Pad print Ink, White color</t>
  </si>
  <si>
    <t>ink</t>
  </si>
  <si>
    <t xml:space="preserve">Hardener </t>
  </si>
  <si>
    <t>Thinner</t>
  </si>
  <si>
    <t>Top  Grip-Molding</t>
  </si>
  <si>
    <t>100T</t>
  </si>
  <si>
    <t>Attach and press Logo to Dome1, inspection and package.</t>
  </si>
  <si>
    <t>Assemble and press the double shoot part( Mirror1_5 and Mirror1_6) to the Fillet93.</t>
  </si>
  <si>
    <t>Insert Cartridge_4_6 to Mirror1_1, then insert them to Fillet93.</t>
  </si>
  <si>
    <t>Assemble and press 1piece Dome1 and 1piece Mirror1_3 to Fillet93.</t>
  </si>
  <si>
    <t>San Jose CA</t>
  </si>
  <si>
    <t>Zhuhai China</t>
  </si>
  <si>
    <t>www.flextronics.com</t>
  </si>
  <si>
    <t>Chris Yong</t>
  </si>
  <si>
    <t>0086 13817815276</t>
  </si>
  <si>
    <t>chris.yong@flextronics.com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</si>
</sst>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7" formatCode="&quot;$&quot;#,##0.00_);\(&quot;$&quot;#,##0.00\)"/>
    <numFmt numFmtId="44" formatCode="_(&quot;$&quot;* #,##0.00_);_(&quot;$&quot;* \(#,##0.00\);_(&quot;$&quot;* &quot;-&quot;??_);_(@_)"/>
    <numFmt numFmtId="164" formatCode="mmmm\ d\,\ yyyy"/>
    <numFmt numFmtId="165" formatCode="&quot;$&quot;#,##0.00"/>
    <numFmt numFmtId="166" formatCode="&quot;$&quot;#,##0.000"/>
    <numFmt numFmtId="167" formatCode="\$#,##0.000;[Red]\$#,##0.000"/>
    <numFmt numFmtId="168" formatCode="\$#,##0.0000;[Red]\$#,##0.0000"/>
    <numFmt numFmtId="169" formatCode="0.0"/>
    <numFmt numFmtId="170" formatCode="\$#,##0.000_);[Red]\(\$#,##0.000\)"/>
    <numFmt numFmtId="171" formatCode="0.0%"/>
    <numFmt numFmtId="172" formatCode="\$#,##0.00;[Red]\$#,##0.00"/>
    <numFmt numFmtId="173" formatCode="0\ &quot;seconds&quot;"/>
    <numFmt numFmtId="174" formatCode="&quot;$&quot;#,##0.0000"/>
    <numFmt numFmtId="175" formatCode="0.000"/>
    <numFmt numFmtId="176" formatCode="0.0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i/>
      <sz val="11"/>
      <color indexed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Dashed">
        <color auto="1"/>
      </bottom>
      <diagonal/>
    </border>
    <border>
      <left style="medium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0" fillId="0" borderId="0"/>
    <xf numFmtId="44" fontId="10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246">
    <xf numFmtId="0" fontId="0" fillId="0" borderId="0" xfId="0"/>
    <xf numFmtId="167" fontId="11" fillId="0" borderId="23" xfId="5" applyNumberFormat="1" applyFont="1" applyFill="1" applyBorder="1" applyAlignment="1" applyProtection="1">
      <alignment horizontal="center"/>
      <protection locked="0"/>
    </xf>
    <xf numFmtId="167" fontId="11" fillId="0" borderId="19" xfId="5" applyNumberFormat="1" applyFont="1" applyFill="1" applyBorder="1" applyAlignment="1" applyProtection="1">
      <alignment horizontal="center"/>
      <protection locked="0"/>
    </xf>
    <xf numFmtId="167" fontId="11" fillId="0" borderId="30" xfId="5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0" fontId="4" fillId="2" borderId="2" xfId="0" applyFont="1" applyFill="1" applyBorder="1" applyAlignment="1" applyProtection="1">
      <alignment vertical="center"/>
    </xf>
    <xf numFmtId="0" fontId="4" fillId="2" borderId="3" xfId="0" applyFont="1" applyFill="1" applyBorder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5" fillId="2" borderId="4" xfId="0" applyFont="1" applyFill="1" applyBorder="1" applyAlignment="1" applyProtection="1">
      <alignment horizontal="left" vertical="top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5" xfId="0" applyFont="1" applyFill="1" applyBorder="1" applyAlignment="1" applyProtection="1">
      <alignment horizontal="left" vertical="center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5" fillId="2" borderId="6" xfId="0" applyFont="1" applyFill="1" applyBorder="1" applyAlignment="1" applyProtection="1">
      <alignment horizontal="left" vertical="top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8" xfId="0" applyFont="1" applyFill="1" applyBorder="1" applyAlignment="1" applyProtection="1">
      <alignment horizontal="left" vertical="center" wrapText="1"/>
    </xf>
    <xf numFmtId="0" fontId="1" fillId="0" borderId="0" xfId="0" applyFont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 applyProtection="1">
      <alignment horizontal="left" vertical="center" wrapText="1"/>
    </xf>
    <xf numFmtId="0" fontId="7" fillId="0" borderId="10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vertical="center"/>
    </xf>
    <xf numFmtId="0" fontId="7" fillId="0" borderId="11" xfId="3" applyFont="1" applyFill="1" applyBorder="1" applyAlignment="1" applyProtection="1">
      <alignment horizontal="left" vertical="center"/>
    </xf>
    <xf numFmtId="0" fontId="1" fillId="0" borderId="0" xfId="3" applyFont="1" applyAlignment="1" applyProtection="1">
      <alignment vertical="center"/>
    </xf>
    <xf numFmtId="0" fontId="1" fillId="0" borderId="0" xfId="3" applyFont="1" applyBorder="1" applyAlignment="1" applyProtection="1">
      <alignment vertical="center"/>
    </xf>
    <xf numFmtId="0" fontId="7" fillId="0" borderId="14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vertical="center"/>
    </xf>
    <xf numFmtId="0" fontId="7" fillId="0" borderId="15" xfId="3" applyFont="1" applyFill="1" applyBorder="1" applyAlignment="1" applyProtection="1">
      <alignment horizontal="left" vertical="center"/>
    </xf>
    <xf numFmtId="0" fontId="8" fillId="0" borderId="0" xfId="3" applyFont="1" applyAlignment="1" applyProtection="1">
      <alignment vertical="center"/>
    </xf>
    <xf numFmtId="0" fontId="3" fillId="0" borderId="0" xfId="3" applyFont="1" applyBorder="1" applyAlignment="1" applyProtection="1">
      <alignment vertical="center"/>
    </xf>
    <xf numFmtId="0" fontId="8" fillId="0" borderId="0" xfId="3" applyFont="1" applyBorder="1" applyAlignment="1" applyProtection="1">
      <alignment vertical="center"/>
    </xf>
    <xf numFmtId="0" fontId="7" fillId="0" borderId="18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vertical="center"/>
    </xf>
    <xf numFmtId="0" fontId="7" fillId="0" borderId="19" xfId="3" applyFont="1" applyFill="1" applyBorder="1" applyAlignment="1" applyProtection="1">
      <alignment horizontal="left" vertical="center"/>
    </xf>
    <xf numFmtId="0" fontId="7" fillId="0" borderId="0" xfId="3" applyFont="1" applyAlignment="1" applyProtection="1">
      <alignment vertical="center"/>
    </xf>
    <xf numFmtId="0" fontId="7" fillId="0" borderId="0" xfId="3" applyFont="1" applyBorder="1" applyAlignment="1" applyProtection="1">
      <alignment vertical="center"/>
    </xf>
    <xf numFmtId="0" fontId="3" fillId="0" borderId="0" xfId="3" applyFont="1" applyFill="1" applyBorder="1" applyAlignment="1" applyProtection="1">
      <alignment horizontal="center" vertical="center" wrapText="1" readingOrder="1"/>
    </xf>
    <xf numFmtId="0" fontId="7" fillId="0" borderId="0" xfId="3" applyFont="1" applyFill="1" applyBorder="1" applyAlignment="1" applyProtection="1">
      <alignment vertical="center"/>
    </xf>
    <xf numFmtId="0" fontId="9" fillId="0" borderId="0" xfId="3" applyFont="1" applyFill="1" applyBorder="1" applyAlignment="1" applyProtection="1">
      <alignment horizontal="left" vertical="center"/>
    </xf>
    <xf numFmtId="0" fontId="7" fillId="0" borderId="0" xfId="3" applyFont="1" applyFill="1" applyBorder="1" applyAlignment="1" applyProtection="1">
      <alignment horizontal="left" vertical="center"/>
    </xf>
    <xf numFmtId="164" fontId="9" fillId="0" borderId="0" xfId="3" applyNumberFormat="1" applyFont="1" applyFill="1" applyBorder="1" applyAlignment="1" applyProtection="1">
      <alignment horizontal="left" vertical="center"/>
    </xf>
    <xf numFmtId="0" fontId="7" fillId="0" borderId="0" xfId="3" applyFont="1" applyFill="1" applyAlignment="1" applyProtection="1">
      <alignment vertical="center"/>
    </xf>
    <xf numFmtId="0" fontId="3" fillId="0" borderId="0" xfId="3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 readingOrder="1"/>
    </xf>
    <xf numFmtId="0" fontId="9" fillId="0" borderId="0" xfId="4" applyFont="1" applyAlignment="1" applyProtection="1">
      <alignment horizontal="center"/>
    </xf>
    <xf numFmtId="0" fontId="0" fillId="0" borderId="0" xfId="0" applyFont="1" applyProtection="1"/>
    <xf numFmtId="0" fontId="1" fillId="0" borderId="0" xfId="0" applyFont="1" applyFill="1" applyBorder="1" applyAlignment="1" applyProtection="1">
      <alignment vertical="center"/>
    </xf>
    <xf numFmtId="0" fontId="7" fillId="0" borderId="21" xfId="0" applyFont="1" applyFill="1" applyBorder="1" applyAlignment="1" applyProtection="1">
      <alignment vertical="center"/>
    </xf>
    <xf numFmtId="0" fontId="7" fillId="0" borderId="22" xfId="0" applyFont="1" applyFill="1" applyBorder="1" applyAlignment="1" applyProtection="1">
      <alignment vertical="center"/>
    </xf>
    <xf numFmtId="0" fontId="7" fillId="0" borderId="23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 wrapText="1" readingOrder="1"/>
    </xf>
    <xf numFmtId="0" fontId="7" fillId="0" borderId="0" xfId="0" applyFont="1" applyFill="1" applyBorder="1" applyAlignment="1" applyProtection="1">
      <alignment vertical="center"/>
    </xf>
    <xf numFmtId="3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4" applyFont="1" applyFill="1" applyBorder="1" applyAlignment="1" applyProtection="1">
      <alignment horizontal="center"/>
    </xf>
    <xf numFmtId="0" fontId="0" fillId="0" borderId="0" xfId="0" applyFont="1" applyFill="1" applyBorder="1" applyProtection="1"/>
    <xf numFmtId="0" fontId="0" fillId="0" borderId="0" xfId="0" applyFill="1" applyBorder="1" applyProtection="1"/>
    <xf numFmtId="0" fontId="0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0" fontId="9" fillId="0" borderId="0" xfId="4" applyFont="1" applyFill="1" applyBorder="1" applyAlignment="1" applyProtection="1">
      <alignment horizontal="center" vertical="center"/>
    </xf>
    <xf numFmtId="0" fontId="1" fillId="0" borderId="0" xfId="3" applyFont="1" applyFill="1" applyBorder="1" applyAlignment="1" applyProtection="1">
      <alignment horizontal="center" vertical="center" wrapText="1"/>
    </xf>
    <xf numFmtId="0" fontId="9" fillId="0" borderId="0" xfId="3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vertical="center"/>
    </xf>
    <xf numFmtId="166" fontId="9" fillId="0" borderId="26" xfId="1" applyNumberFormat="1" applyFont="1" applyFill="1" applyBorder="1" applyAlignment="1" applyProtection="1">
      <alignment horizontal="center" vertical="center"/>
    </xf>
    <xf numFmtId="166" fontId="9" fillId="0" borderId="15" xfId="1" applyNumberFormat="1" applyFont="1" applyFill="1" applyBorder="1" applyAlignment="1" applyProtection="1">
      <alignment horizontal="center" vertical="center"/>
    </xf>
    <xf numFmtId="166" fontId="9" fillId="0" borderId="29" xfId="1" applyNumberFormat="1" applyFont="1" applyFill="1" applyBorder="1" applyAlignment="1" applyProtection="1">
      <alignment horizontal="center" vertical="center"/>
    </xf>
    <xf numFmtId="0" fontId="1" fillId="0" borderId="31" xfId="0" applyFont="1" applyFill="1" applyBorder="1" applyAlignment="1" applyProtection="1">
      <alignment horizontal="center" vertical="center" wrapText="1" readingOrder="1"/>
    </xf>
    <xf numFmtId="0" fontId="3" fillId="0" borderId="31" xfId="0" applyFont="1" applyFill="1" applyBorder="1" applyAlignment="1" applyProtection="1">
      <alignment horizontal="center" vertical="center" wrapText="1" readingOrder="1"/>
    </xf>
    <xf numFmtId="0" fontId="7" fillId="0" borderId="32" xfId="0" applyFont="1" applyFill="1" applyBorder="1" applyAlignment="1" applyProtection="1">
      <alignment horizontal="left" vertical="center"/>
    </xf>
    <xf numFmtId="0" fontId="9" fillId="0" borderId="32" xfId="0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center" vertical="center" wrapText="1"/>
    </xf>
    <xf numFmtId="0" fontId="7" fillId="2" borderId="11" xfId="4" applyFont="1" applyFill="1" applyBorder="1" applyAlignment="1" applyProtection="1">
      <alignment horizontal="center" vertical="center" wrapText="1"/>
    </xf>
    <xf numFmtId="165" fontId="7" fillId="2" borderId="11" xfId="4" applyNumberFormat="1" applyFont="1" applyFill="1" applyBorder="1" applyAlignment="1" applyProtection="1">
      <alignment horizontal="center" vertical="center" wrapText="1"/>
    </xf>
    <xf numFmtId="0" fontId="12" fillId="0" borderId="11" xfId="4" applyFont="1" applyFill="1" applyBorder="1" applyAlignment="1" applyProtection="1">
      <alignment horizontal="center" vertical="center" wrapText="1"/>
    </xf>
    <xf numFmtId="0" fontId="12" fillId="2" borderId="11" xfId="4" applyFont="1" applyFill="1" applyBorder="1" applyAlignment="1" applyProtection="1">
      <alignment horizontal="center" vertical="center" wrapText="1"/>
    </xf>
    <xf numFmtId="10" fontId="12" fillId="2" borderId="11" xfId="4" applyNumberFormat="1" applyFont="1" applyFill="1" applyBorder="1" applyAlignment="1" applyProtection="1">
      <alignment horizontal="center" vertical="center" wrapText="1"/>
    </xf>
    <xf numFmtId="1" fontId="12" fillId="2" borderId="11" xfId="4" applyNumberFormat="1" applyFont="1" applyFill="1" applyBorder="1" applyAlignment="1" applyProtection="1">
      <alignment horizontal="center" vertical="center" wrapText="1"/>
    </xf>
    <xf numFmtId="165" fontId="7" fillId="2" borderId="12" xfId="4" applyNumberFormat="1" applyFont="1" applyFill="1" applyBorder="1" applyAlignment="1" applyProtection="1">
      <alignment horizontal="center" vertical="center" wrapText="1"/>
    </xf>
    <xf numFmtId="0" fontId="9" fillId="0" borderId="14" xfId="4" applyFont="1" applyBorder="1" applyAlignment="1" applyProtection="1">
      <alignment horizontal="center"/>
    </xf>
    <xf numFmtId="0" fontId="9" fillId="0" borderId="15" xfId="4" applyFont="1" applyBorder="1" applyProtection="1"/>
    <xf numFmtId="168" fontId="9" fillId="0" borderId="15" xfId="4" applyNumberFormat="1" applyFont="1" applyBorder="1" applyAlignment="1" applyProtection="1">
      <alignment horizontal="center"/>
    </xf>
    <xf numFmtId="168" fontId="7" fillId="0" borderId="15" xfId="5" applyNumberFormat="1" applyFont="1" applyBorder="1" applyAlignment="1" applyProtection="1">
      <alignment horizontal="center"/>
    </xf>
    <xf numFmtId="0" fontId="9" fillId="0" borderId="15" xfId="4" applyFont="1" applyBorder="1" applyAlignment="1" applyProtection="1">
      <alignment horizontal="center"/>
    </xf>
    <xf numFmtId="1" fontId="7" fillId="0" borderId="15" xfId="4" applyNumberFormat="1" applyFont="1" applyBorder="1" applyAlignment="1" applyProtection="1">
      <alignment horizontal="center"/>
    </xf>
    <xf numFmtId="0" fontId="9" fillId="0" borderId="16" xfId="4" applyFont="1" applyBorder="1" applyProtection="1"/>
    <xf numFmtId="165" fontId="9" fillId="0" borderId="15" xfId="4" applyNumberFormat="1" applyFont="1" applyBorder="1" applyAlignment="1" applyProtection="1">
      <alignment horizontal="center"/>
    </xf>
    <xf numFmtId="1" fontId="11" fillId="0" borderId="15" xfId="4" applyNumberFormat="1" applyFont="1" applyBorder="1" applyAlignment="1" applyProtection="1">
      <alignment horizontal="center"/>
    </xf>
    <xf numFmtId="166" fontId="9" fillId="0" borderId="15" xfId="4" applyNumberFormat="1" applyFont="1" applyBorder="1" applyAlignment="1" applyProtection="1">
      <alignment horizontal="center"/>
    </xf>
    <xf numFmtId="166" fontId="9" fillId="0" borderId="16" xfId="4" applyNumberFormat="1" applyFont="1" applyBorder="1" applyAlignment="1" applyProtection="1">
      <alignment horizontal="center"/>
    </xf>
    <xf numFmtId="0" fontId="7" fillId="0" borderId="14" xfId="4" applyFont="1" applyBorder="1" applyProtection="1"/>
    <xf numFmtId="0" fontId="9" fillId="0" borderId="15" xfId="4" applyFont="1" applyFill="1" applyBorder="1" applyProtection="1"/>
    <xf numFmtId="0" fontId="7" fillId="0" borderId="15" xfId="4" applyFont="1" applyBorder="1" applyProtection="1"/>
    <xf numFmtId="7" fontId="9" fillId="0" borderId="15" xfId="4" applyNumberFormat="1" applyFont="1" applyBorder="1" applyAlignment="1" applyProtection="1">
      <alignment horizontal="center"/>
    </xf>
    <xf numFmtId="1" fontId="7" fillId="0" borderId="15" xfId="4" applyNumberFormat="1" applyFont="1" applyBorder="1" applyProtection="1"/>
    <xf numFmtId="0" fontId="7" fillId="0" borderId="16" xfId="4" applyFont="1" applyBorder="1" applyProtection="1"/>
    <xf numFmtId="0" fontId="9" fillId="0" borderId="15" xfId="4" applyFont="1" applyBorder="1" applyAlignment="1" applyProtection="1">
      <alignment horizontal="right"/>
    </xf>
    <xf numFmtId="172" fontId="9" fillId="0" borderId="15" xfId="4" applyNumberFormat="1" applyFont="1" applyBorder="1" applyAlignment="1" applyProtection="1">
      <alignment horizontal="center"/>
    </xf>
    <xf numFmtId="1" fontId="9" fillId="0" borderId="27" xfId="4" applyNumberFormat="1" applyFont="1" applyBorder="1" applyProtection="1"/>
    <xf numFmtId="0" fontId="0" fillId="0" borderId="15" xfId="0" applyBorder="1" applyProtection="1"/>
    <xf numFmtId="49" fontId="14" fillId="0" borderId="15" xfId="4" applyNumberFormat="1" applyFont="1" applyFill="1" applyBorder="1" applyAlignment="1" applyProtection="1">
      <alignment horizontal="left"/>
    </xf>
    <xf numFmtId="1" fontId="9" fillId="0" borderId="15" xfId="4" applyNumberFormat="1" applyFont="1" applyBorder="1" applyProtection="1"/>
    <xf numFmtId="0" fontId="7" fillId="0" borderId="36" xfId="4" applyFont="1" applyFill="1" applyBorder="1" applyProtection="1"/>
    <xf numFmtId="0" fontId="7" fillId="0" borderId="37" xfId="4" applyFont="1" applyFill="1" applyBorder="1" applyProtection="1"/>
    <xf numFmtId="167" fontId="7" fillId="0" borderId="37" xfId="4" applyNumberFormat="1" applyFont="1" applyFill="1" applyBorder="1" applyAlignment="1" applyProtection="1">
      <alignment horizontal="center"/>
    </xf>
    <xf numFmtId="0" fontId="7" fillId="0" borderId="37" xfId="4" applyFont="1" applyBorder="1" applyAlignment="1" applyProtection="1">
      <alignment horizontal="center"/>
    </xf>
    <xf numFmtId="0" fontId="7" fillId="0" borderId="37" xfId="4" applyFont="1" applyBorder="1" applyProtection="1"/>
    <xf numFmtId="1" fontId="7" fillId="0" borderId="37" xfId="4" applyNumberFormat="1" applyFont="1" applyBorder="1" applyProtection="1"/>
    <xf numFmtId="0" fontId="7" fillId="0" borderId="38" xfId="4" applyFont="1" applyBorder="1" applyProtection="1"/>
    <xf numFmtId="0" fontId="7" fillId="0" borderId="14" xfId="4" applyFont="1" applyFill="1" applyBorder="1" applyProtection="1"/>
    <xf numFmtId="0" fontId="7" fillId="0" borderId="15" xfId="4" applyFont="1" applyFill="1" applyBorder="1" applyProtection="1"/>
    <xf numFmtId="165" fontId="9" fillId="0" borderId="39" xfId="4" applyNumberFormat="1" applyFont="1" applyBorder="1" applyAlignment="1" applyProtection="1">
      <alignment horizontal="center"/>
    </xf>
    <xf numFmtId="0" fontId="0" fillId="0" borderId="16" xfId="0" applyBorder="1" applyProtection="1"/>
    <xf numFmtId="0" fontId="7" fillId="0" borderId="14" xfId="4" applyFont="1" applyFill="1" applyBorder="1" applyAlignment="1" applyProtection="1">
      <alignment horizontal="left" indent="1"/>
    </xf>
    <xf numFmtId="172" fontId="9" fillId="0" borderId="39" xfId="4" applyNumberFormat="1" applyFont="1" applyBorder="1" applyAlignment="1" applyProtection="1">
      <alignment horizontal="center"/>
    </xf>
    <xf numFmtId="0" fontId="0" fillId="0" borderId="14" xfId="0" applyFont="1" applyBorder="1" applyProtection="1"/>
    <xf numFmtId="0" fontId="0" fillId="0" borderId="15" xfId="0" applyFont="1" applyBorder="1" applyProtection="1"/>
    <xf numFmtId="0" fontId="0" fillId="0" borderId="16" xfId="0" applyFont="1" applyBorder="1" applyProtection="1"/>
    <xf numFmtId="0" fontId="0" fillId="0" borderId="19" xfId="0" applyBorder="1" applyProtection="1"/>
    <xf numFmtId="0" fontId="0" fillId="0" borderId="20" xfId="0" applyBorder="1" applyProtection="1"/>
    <xf numFmtId="0" fontId="7" fillId="0" borderId="0" xfId="4" applyFont="1" applyFill="1" applyBorder="1" applyProtection="1"/>
    <xf numFmtId="0" fontId="4" fillId="2" borderId="1" xfId="0" applyFont="1" applyFill="1" applyBorder="1" applyAlignment="1" applyProtection="1">
      <alignment vertical="center"/>
    </xf>
    <xf numFmtId="0" fontId="18" fillId="0" borderId="33" xfId="4" applyFont="1" applyFill="1" applyBorder="1" applyProtection="1"/>
    <xf numFmtId="0" fontId="18" fillId="0" borderId="34" xfId="4" applyFont="1" applyFill="1" applyBorder="1" applyProtection="1"/>
    <xf numFmtId="0" fontId="18" fillId="0" borderId="34" xfId="4" applyFont="1" applyBorder="1" applyAlignment="1" applyProtection="1">
      <alignment horizontal="center"/>
    </xf>
    <xf numFmtId="0" fontId="18" fillId="0" borderId="34" xfId="4" applyFont="1" applyBorder="1" applyProtection="1"/>
    <xf numFmtId="1" fontId="18" fillId="0" borderId="34" xfId="4" applyNumberFormat="1" applyFont="1" applyBorder="1" applyProtection="1"/>
    <xf numFmtId="0" fontId="18" fillId="0" borderId="35" xfId="4" applyFont="1" applyBorder="1" applyProtection="1"/>
    <xf numFmtId="0" fontId="19" fillId="0" borderId="0" xfId="0" applyFont="1" applyProtection="1"/>
    <xf numFmtId="0" fontId="2" fillId="4" borderId="11" xfId="3" applyFont="1" applyFill="1" applyBorder="1" applyAlignment="1" applyProtection="1">
      <alignment horizontal="left" vertical="center"/>
      <protection locked="0"/>
    </xf>
    <xf numFmtId="0" fontId="2" fillId="4" borderId="15" xfId="3" applyFont="1" applyFill="1" applyBorder="1" applyAlignment="1" applyProtection="1">
      <alignment horizontal="left" vertical="center"/>
      <protection locked="0"/>
    </xf>
    <xf numFmtId="0" fontId="2" fillId="4" borderId="19" xfId="3" applyFont="1" applyFill="1" applyBorder="1" applyAlignment="1" applyProtection="1">
      <alignment horizontal="left" vertical="center"/>
      <protection locked="0"/>
    </xf>
    <xf numFmtId="0" fontId="2" fillId="4" borderId="12" xfId="3" applyFont="1" applyFill="1" applyBorder="1" applyAlignment="1" applyProtection="1">
      <alignment horizontal="left" vertical="center"/>
      <protection locked="0"/>
    </xf>
    <xf numFmtId="0" fontId="2" fillId="4" borderId="16" xfId="3" applyFont="1" applyFill="1" applyBorder="1" applyAlignment="1" applyProtection="1">
      <alignment horizontal="left" vertical="center"/>
      <protection locked="0"/>
    </xf>
    <xf numFmtId="49" fontId="2" fillId="4" borderId="20" xfId="3" applyNumberFormat="1" applyFont="1" applyFill="1" applyBorder="1" applyAlignment="1" applyProtection="1">
      <alignment horizontal="left" vertical="center"/>
      <protection locked="0"/>
    </xf>
    <xf numFmtId="0" fontId="2" fillId="4" borderId="11" xfId="0" applyFont="1" applyFill="1" applyBorder="1" applyAlignment="1" applyProtection="1">
      <alignment horizontal="center" vertical="center"/>
      <protection locked="0"/>
    </xf>
    <xf numFmtId="0" fontId="2" fillId="4" borderId="15" xfId="0" applyFont="1" applyFill="1" applyBorder="1" applyAlignment="1" applyProtection="1">
      <alignment horizontal="center" vertical="center"/>
      <protection locked="0"/>
    </xf>
    <xf numFmtId="0" fontId="2" fillId="4" borderId="24" xfId="0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0" fontId="2" fillId="4" borderId="25" xfId="0" applyFont="1" applyFill="1" applyBorder="1" applyAlignment="1" applyProtection="1">
      <alignment horizontal="center" vertical="center" wrapText="1"/>
      <protection locked="0"/>
    </xf>
    <xf numFmtId="0" fontId="2" fillId="4" borderId="26" xfId="0" applyFont="1" applyFill="1" applyBorder="1" applyAlignment="1" applyProtection="1">
      <alignment horizontal="center"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2" fillId="4" borderId="28" xfId="0" applyFont="1" applyFill="1" applyBorder="1" applyAlignment="1" applyProtection="1">
      <alignment horizontal="center" vertical="center"/>
      <protection locked="0"/>
    </xf>
    <xf numFmtId="165" fontId="2" fillId="4" borderId="27" xfId="0" applyNumberFormat="1" applyFont="1" applyFill="1" applyBorder="1" applyAlignment="1" applyProtection="1">
      <alignment horizontal="center" vertical="center"/>
      <protection locked="0"/>
    </xf>
    <xf numFmtId="165" fontId="2" fillId="4" borderId="28" xfId="0" applyNumberFormat="1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center" vertical="center"/>
      <protection locked="0"/>
    </xf>
    <xf numFmtId="168" fontId="13" fillId="4" borderId="15" xfId="4" applyNumberFormat="1" applyFont="1" applyFill="1" applyBorder="1" applyAlignment="1" applyProtection="1">
      <alignment horizontal="center"/>
      <protection locked="0"/>
    </xf>
    <xf numFmtId="0" fontId="2" fillId="4" borderId="15" xfId="3" applyFont="1" applyFill="1" applyBorder="1" applyAlignment="1" applyProtection="1">
      <alignment horizontal="left" vertical="center" wrapText="1"/>
      <protection locked="0"/>
    </xf>
    <xf numFmtId="0" fontId="2" fillId="4" borderId="15" xfId="4" applyFont="1" applyFill="1" applyBorder="1" applyAlignment="1" applyProtection="1">
      <alignment horizontal="left" vertical="center"/>
      <protection locked="0"/>
    </xf>
    <xf numFmtId="0" fontId="2" fillId="4" borderId="15" xfId="4" applyFont="1" applyFill="1" applyBorder="1" applyAlignment="1" applyProtection="1">
      <alignment horizontal="left"/>
      <protection locked="0"/>
    </xf>
    <xf numFmtId="0" fontId="2" fillId="4" borderId="15" xfId="4" applyFont="1" applyFill="1" applyBorder="1" applyAlignment="1" applyProtection="1">
      <alignment horizontal="left" wrapText="1"/>
      <protection locked="0"/>
    </xf>
    <xf numFmtId="169" fontId="2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4" applyNumberFormat="1" applyFont="1" applyFill="1" applyBorder="1" applyAlignment="1" applyProtection="1">
      <alignment horizontal="center"/>
      <protection locked="0"/>
    </xf>
    <xf numFmtId="169" fontId="13" fillId="4" borderId="15" xfId="4" applyNumberFormat="1" applyFont="1" applyFill="1" applyBorder="1" applyAlignment="1" applyProtection="1">
      <alignment horizontal="center"/>
      <protection locked="0"/>
    </xf>
    <xf numFmtId="170" fontId="13" fillId="4" borderId="15" xfId="4" applyNumberFormat="1" applyFont="1" applyFill="1" applyBorder="1" applyAlignment="1" applyProtection="1">
      <alignment horizontal="center"/>
      <protection locked="0"/>
    </xf>
    <xf numFmtId="49" fontId="14" fillId="4" borderId="15" xfId="4" applyNumberFormat="1" applyFont="1" applyFill="1" applyBorder="1" applyAlignment="1" applyProtection="1">
      <alignment horizontal="left"/>
      <protection locked="0"/>
    </xf>
    <xf numFmtId="0" fontId="18" fillId="0" borderId="14" xfId="4" applyFont="1" applyFill="1" applyBorder="1" applyProtection="1"/>
    <xf numFmtId="0" fontId="19" fillId="0" borderId="15" xfId="0" applyFont="1" applyBorder="1" applyProtection="1"/>
    <xf numFmtId="0" fontId="18" fillId="0" borderId="18" xfId="4" applyFont="1" applyFill="1" applyBorder="1" applyProtection="1"/>
    <xf numFmtId="0" fontId="19" fillId="0" borderId="19" xfId="0" applyFont="1" applyBorder="1" applyProtection="1"/>
    <xf numFmtId="0" fontId="7" fillId="0" borderId="15" xfId="4" applyFont="1" applyBorder="1" applyAlignment="1" applyProtection="1">
      <alignment horizontal="center"/>
    </xf>
    <xf numFmtId="1" fontId="8" fillId="0" borderId="15" xfId="4" applyNumberFormat="1" applyFont="1" applyFill="1" applyBorder="1" applyAlignment="1" applyProtection="1">
      <alignment horizontal="center"/>
    </xf>
    <xf numFmtId="173" fontId="18" fillId="5" borderId="15" xfId="4" applyNumberFormat="1" applyFont="1" applyFill="1" applyBorder="1" applyAlignment="1" applyProtection="1">
      <alignment horizontal="center"/>
    </xf>
    <xf numFmtId="9" fontId="18" fillId="5" borderId="19" xfId="4" applyNumberFormat="1" applyFont="1" applyFill="1" applyBorder="1" applyAlignment="1" applyProtection="1">
      <alignment horizontal="center"/>
    </xf>
    <xf numFmtId="16" fontId="2" fillId="4" borderId="19" xfId="3" applyNumberFormat="1" applyFont="1" applyFill="1" applyBorder="1" applyAlignment="1" applyProtection="1">
      <alignment horizontal="left" vertical="center"/>
      <protection locked="0"/>
    </xf>
    <xf numFmtId="3" fontId="2" fillId="3" borderId="19" xfId="0" applyNumberFormat="1" applyFont="1" applyFill="1" applyBorder="1" applyAlignment="1" applyProtection="1">
      <alignment horizontal="center" vertical="center"/>
      <protection locked="0"/>
    </xf>
    <xf numFmtId="0" fontId="2" fillId="3" borderId="12" xfId="3" applyFont="1" applyFill="1" applyBorder="1" applyAlignment="1" applyProtection="1">
      <alignment horizontal="center" vertical="center"/>
      <protection locked="0"/>
    </xf>
    <xf numFmtId="0" fontId="2" fillId="3" borderId="16" xfId="3" applyFont="1" applyFill="1" applyBorder="1" applyAlignment="1" applyProtection="1">
      <alignment horizontal="center" vertical="center"/>
      <protection locked="0"/>
    </xf>
    <xf numFmtId="0" fontId="2" fillId="3" borderId="20" xfId="3" applyFont="1" applyFill="1" applyBorder="1" applyAlignment="1" applyProtection="1">
      <alignment horizontal="center" vertical="center"/>
      <protection locked="0"/>
    </xf>
    <xf numFmtId="174" fontId="2" fillId="4" borderId="26" xfId="0" applyNumberFormat="1" applyFont="1" applyFill="1" applyBorder="1" applyAlignment="1" applyProtection="1">
      <alignment horizontal="center" vertical="center"/>
      <protection locked="0"/>
    </xf>
    <xf numFmtId="174" fontId="2" fillId="4" borderId="27" xfId="0" applyNumberFormat="1" applyFont="1" applyFill="1" applyBorder="1" applyAlignment="1" applyProtection="1">
      <alignment horizontal="center" vertical="center"/>
      <protection locked="0"/>
    </xf>
    <xf numFmtId="176" fontId="13" fillId="4" borderId="15" xfId="4" applyNumberFormat="1" applyFont="1" applyFill="1" applyBorder="1" applyAlignment="1" applyProtection="1">
      <alignment horizontal="center"/>
      <protection locked="0"/>
    </xf>
    <xf numFmtId="10" fontId="13" fillId="4" borderId="15" xfId="2" applyNumberFormat="1" applyFont="1" applyFill="1" applyBorder="1" applyAlignment="1" applyProtection="1">
      <alignment horizontal="center"/>
      <protection locked="0"/>
    </xf>
    <xf numFmtId="168" fontId="18" fillId="5" borderId="34" xfId="4" applyNumberFormat="1" applyFont="1" applyFill="1" applyBorder="1" applyAlignment="1" applyProtection="1">
      <alignment horizontal="center"/>
    </xf>
    <xf numFmtId="174" fontId="9" fillId="0" borderId="15" xfId="4" applyNumberFormat="1" applyFont="1" applyBorder="1" applyAlignment="1" applyProtection="1">
      <alignment horizontal="center"/>
    </xf>
    <xf numFmtId="0" fontId="9" fillId="0" borderId="14" xfId="4" applyFont="1" applyBorder="1" applyAlignment="1" applyProtection="1">
      <alignment horizontal="center" vertical="center"/>
    </xf>
    <xf numFmtId="168" fontId="9" fillId="0" borderId="15" xfId="4" applyNumberFormat="1" applyFont="1" applyBorder="1" applyAlignment="1" applyProtection="1">
      <alignment horizontal="center" vertical="center"/>
    </xf>
    <xf numFmtId="168" fontId="13" fillId="4" borderId="15" xfId="4" applyNumberFormat="1" applyFont="1" applyFill="1" applyBorder="1" applyAlignment="1" applyProtection="1">
      <alignment horizontal="center" vertical="center"/>
      <protection locked="0"/>
    </xf>
    <xf numFmtId="165" fontId="9" fillId="0" borderId="15" xfId="4" applyNumberFormat="1" applyFont="1" applyBorder="1" applyAlignment="1" applyProtection="1">
      <alignment horizontal="center" vertical="center"/>
    </xf>
    <xf numFmtId="169" fontId="2" fillId="4" borderId="15" xfId="4" applyNumberFormat="1" applyFont="1" applyFill="1" applyBorder="1" applyAlignment="1" applyProtection="1">
      <alignment horizontal="center" vertical="center"/>
      <protection locked="0"/>
    </xf>
    <xf numFmtId="10" fontId="13" fillId="4" borderId="15" xfId="4" applyNumberFormat="1" applyFont="1" applyFill="1" applyBorder="1" applyAlignment="1" applyProtection="1">
      <alignment horizontal="center" vertical="center"/>
      <protection locked="0"/>
    </xf>
    <xf numFmtId="1" fontId="11" fillId="0" borderId="15" xfId="4" applyNumberFormat="1" applyFont="1" applyBorder="1" applyAlignment="1" applyProtection="1">
      <alignment horizontal="center" vertical="center"/>
    </xf>
    <xf numFmtId="175" fontId="13" fillId="4" borderId="15" xfId="4" applyNumberFormat="1" applyFont="1" applyFill="1" applyBorder="1" applyAlignment="1" applyProtection="1">
      <alignment horizontal="center" vertical="center"/>
      <protection locked="0"/>
    </xf>
    <xf numFmtId="166" fontId="9" fillId="0" borderId="15" xfId="4" applyNumberFormat="1" applyFont="1" applyBorder="1" applyAlignment="1" applyProtection="1">
      <alignment horizontal="center" vertical="center"/>
    </xf>
    <xf numFmtId="166" fontId="9" fillId="0" borderId="16" xfId="4" applyNumberFormat="1" applyFont="1" applyBorder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176" fontId="13" fillId="4" borderId="15" xfId="4" applyNumberFormat="1" applyFont="1" applyFill="1" applyBorder="1" applyAlignment="1" applyProtection="1">
      <alignment horizontal="center" vertical="center"/>
      <protection locked="0"/>
    </xf>
    <xf numFmtId="169" fontId="13" fillId="4" borderId="15" xfId="4" applyNumberFormat="1" applyFont="1" applyFill="1" applyBorder="1" applyAlignment="1" applyProtection="1">
      <alignment horizontal="center" vertical="center"/>
      <protection locked="0"/>
    </xf>
    <xf numFmtId="0" fontId="2" fillId="4" borderId="15" xfId="4" applyFont="1" applyFill="1" applyBorder="1" applyAlignment="1" applyProtection="1">
      <alignment horizontal="left" vertical="center" wrapText="1"/>
      <protection locked="0"/>
    </xf>
    <xf numFmtId="0" fontId="7" fillId="0" borderId="14" xfId="4" applyFont="1" applyBorder="1" applyAlignment="1" applyProtection="1">
      <alignment vertical="center"/>
    </xf>
    <xf numFmtId="0" fontId="9" fillId="0" borderId="15" xfId="4" applyFont="1" applyFill="1" applyBorder="1" applyAlignment="1" applyProtection="1">
      <alignment vertical="center"/>
    </xf>
    <xf numFmtId="174" fontId="9" fillId="0" borderId="15" xfId="4" applyNumberFormat="1" applyFont="1" applyBorder="1" applyAlignment="1" applyProtection="1">
      <alignment horizontal="center" vertical="center"/>
    </xf>
    <xf numFmtId="0" fontId="7" fillId="0" borderId="15" xfId="4" applyFont="1" applyBorder="1" applyAlignment="1" applyProtection="1">
      <alignment vertical="center"/>
    </xf>
    <xf numFmtId="7" fontId="9" fillId="0" borderId="15" xfId="4" applyNumberFormat="1" applyFont="1" applyBorder="1" applyAlignment="1" applyProtection="1">
      <alignment horizontal="center" vertical="center"/>
    </xf>
    <xf numFmtId="1" fontId="7" fillId="0" borderId="15" xfId="4" applyNumberFormat="1" applyFont="1" applyBorder="1" applyAlignment="1" applyProtection="1">
      <alignment vertical="center"/>
    </xf>
    <xf numFmtId="0" fontId="7" fillId="0" borderId="16" xfId="4" applyFont="1" applyBorder="1" applyAlignment="1" applyProtection="1">
      <alignment vertical="center"/>
    </xf>
    <xf numFmtId="0" fontId="9" fillId="0" borderId="15" xfId="4" applyFont="1" applyBorder="1" applyAlignment="1" applyProtection="1">
      <alignment horizontal="right" vertical="center"/>
    </xf>
    <xf numFmtId="170" fontId="13" fillId="4" borderId="15" xfId="4" applyNumberFormat="1" applyFont="1" applyFill="1" applyBorder="1" applyAlignment="1" applyProtection="1">
      <alignment horizontal="center" vertical="center"/>
      <protection locked="0"/>
    </xf>
    <xf numFmtId="0" fontId="9" fillId="0" borderId="15" xfId="4" applyFont="1" applyBorder="1" applyAlignment="1" applyProtection="1">
      <alignment vertical="center"/>
    </xf>
    <xf numFmtId="0" fontId="7" fillId="0" borderId="15" xfId="4" applyFont="1" applyBorder="1" applyAlignment="1" applyProtection="1">
      <alignment horizontal="center" vertical="center"/>
    </xf>
    <xf numFmtId="1" fontId="8" fillId="0" borderId="15" xfId="4" applyNumberFormat="1" applyFont="1" applyFill="1" applyBorder="1" applyAlignment="1" applyProtection="1">
      <alignment horizontal="center" vertical="center"/>
    </xf>
    <xf numFmtId="0" fontId="9" fillId="0" borderId="16" xfId="4" applyFont="1" applyBorder="1" applyAlignment="1" applyProtection="1">
      <alignment vertical="center"/>
    </xf>
    <xf numFmtId="10" fontId="13" fillId="4" borderId="15" xfId="2" applyNumberFormat="1" applyFont="1" applyFill="1" applyBorder="1" applyAlignment="1" applyProtection="1">
      <alignment horizontal="center" vertical="center"/>
      <protection locked="0"/>
    </xf>
    <xf numFmtId="172" fontId="9" fillId="0" borderId="15" xfId="4" applyNumberFormat="1" applyFont="1" applyBorder="1" applyAlignment="1" applyProtection="1">
      <alignment horizontal="center" vertical="center"/>
    </xf>
    <xf numFmtId="1" fontId="9" fillId="0" borderId="27" xfId="4" applyNumberFormat="1" applyFont="1" applyBorder="1" applyAlignment="1" applyProtection="1">
      <alignment vertical="center"/>
    </xf>
    <xf numFmtId="171" fontId="13" fillId="4" borderId="15" xfId="2" applyNumberFormat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vertical="center"/>
    </xf>
    <xf numFmtId="49" fontId="14" fillId="4" borderId="15" xfId="4" applyNumberFormat="1" applyFont="1" applyFill="1" applyBorder="1" applyAlignment="1" applyProtection="1">
      <alignment horizontal="left" vertical="center"/>
      <protection locked="0"/>
    </xf>
    <xf numFmtId="49" fontId="14" fillId="0" borderId="15" xfId="4" applyNumberFormat="1" applyFont="1" applyFill="1" applyBorder="1" applyAlignment="1" applyProtection="1">
      <alignment horizontal="left" vertical="center"/>
    </xf>
    <xf numFmtId="1" fontId="9" fillId="0" borderId="15" xfId="4" applyNumberFormat="1" applyFont="1" applyBorder="1" applyAlignment="1" applyProtection="1">
      <alignment vertical="center"/>
    </xf>
    <xf numFmtId="0" fontId="18" fillId="0" borderId="33" xfId="4" applyFont="1" applyFill="1" applyBorder="1" applyAlignment="1" applyProtection="1">
      <alignment vertical="center"/>
    </xf>
    <xf numFmtId="0" fontId="18" fillId="0" borderId="34" xfId="4" applyFont="1" applyFill="1" applyBorder="1" applyAlignment="1" applyProtection="1">
      <alignment vertical="center"/>
    </xf>
    <xf numFmtId="168" fontId="18" fillId="5" borderId="34" xfId="4" applyNumberFormat="1" applyFont="1" applyFill="1" applyBorder="1" applyAlignment="1" applyProtection="1">
      <alignment horizontal="center" vertical="center"/>
    </xf>
    <xf numFmtId="0" fontId="18" fillId="0" borderId="34" xfId="4" applyFont="1" applyBorder="1" applyAlignment="1" applyProtection="1">
      <alignment horizontal="center" vertical="center"/>
    </xf>
    <xf numFmtId="0" fontId="18" fillId="0" borderId="34" xfId="4" applyFont="1" applyBorder="1" applyAlignment="1" applyProtection="1">
      <alignment vertical="center"/>
    </xf>
    <xf numFmtId="1" fontId="18" fillId="0" borderId="34" xfId="4" applyNumberFormat="1" applyFont="1" applyBorder="1" applyAlignment="1" applyProtection="1">
      <alignment vertical="center"/>
    </xf>
    <xf numFmtId="0" fontId="18" fillId="0" borderId="35" xfId="4" applyFont="1" applyBorder="1" applyAlignment="1" applyProtection="1">
      <alignment vertical="center"/>
    </xf>
    <xf numFmtId="0" fontId="19" fillId="0" borderId="0" xfId="0" applyFont="1" applyAlignment="1" applyProtection="1">
      <alignment vertical="center"/>
    </xf>
    <xf numFmtId="9" fontId="13" fillId="4" borderId="15" xfId="2" applyNumberFormat="1" applyFont="1" applyFill="1" applyBorder="1" applyAlignment="1" applyProtection="1">
      <alignment horizontal="center"/>
      <protection locked="0"/>
    </xf>
    <xf numFmtId="0" fontId="20" fillId="4" borderId="11" xfId="3" applyFont="1" applyFill="1" applyBorder="1" applyAlignment="1" applyProtection="1">
      <alignment horizontal="left" vertical="center"/>
      <protection locked="0"/>
    </xf>
    <xf numFmtId="0" fontId="20" fillId="4" borderId="15" xfId="3" applyFont="1" applyFill="1" applyBorder="1" applyAlignment="1" applyProtection="1">
      <alignment horizontal="left" vertical="center"/>
      <protection locked="0"/>
    </xf>
    <xf numFmtId="0" fontId="20" fillId="4" borderId="19" xfId="3" applyFont="1" applyFill="1" applyBorder="1" applyAlignment="1" applyProtection="1">
      <alignment horizontal="left" vertical="center"/>
      <protection locked="0"/>
    </xf>
    <xf numFmtId="0" fontId="22" fillId="4" borderId="11" xfId="6" applyFont="1" applyFill="1" applyBorder="1" applyAlignment="1" applyProtection="1">
      <alignment horizontal="left" vertical="center"/>
      <protection locked="0"/>
    </xf>
    <xf numFmtId="16" fontId="20" fillId="4" borderId="19" xfId="3" applyNumberFormat="1" applyFont="1" applyFill="1" applyBorder="1" applyAlignment="1" applyProtection="1">
      <alignment horizontal="left" vertical="center"/>
      <protection locked="0"/>
    </xf>
    <xf numFmtId="0" fontId="20" fillId="4" borderId="12" xfId="3" applyFont="1" applyFill="1" applyBorder="1" applyAlignment="1" applyProtection="1">
      <alignment horizontal="left" vertical="center"/>
      <protection locked="0"/>
    </xf>
    <xf numFmtId="0" fontId="20" fillId="4" borderId="16" xfId="3" applyFont="1" applyFill="1" applyBorder="1" applyAlignment="1" applyProtection="1">
      <alignment horizontal="left" vertical="center"/>
      <protection locked="0"/>
    </xf>
    <xf numFmtId="49" fontId="21" fillId="4" borderId="20" xfId="6" applyNumberFormat="1" applyFill="1" applyBorder="1" applyAlignment="1" applyProtection="1">
      <alignment horizontal="left" vertical="center"/>
      <protection locked="0"/>
    </xf>
    <xf numFmtId="0" fontId="3" fillId="2" borderId="9" xfId="3" applyFont="1" applyFill="1" applyBorder="1" applyAlignment="1" applyProtection="1">
      <alignment horizontal="center" vertical="center" wrapText="1" readingOrder="1"/>
    </xf>
    <xf numFmtId="0" fontId="3" fillId="2" borderId="13" xfId="3" applyFont="1" applyFill="1" applyBorder="1" applyAlignment="1" applyProtection="1">
      <alignment horizontal="center" vertical="center" wrapText="1" readingOrder="1"/>
    </xf>
    <xf numFmtId="0" fontId="3" fillId="2" borderId="17" xfId="3" applyFont="1" applyFill="1" applyBorder="1" applyAlignment="1" applyProtection="1">
      <alignment horizontal="center" vertical="center" wrapText="1" readingOrder="1"/>
    </xf>
    <xf numFmtId="0" fontId="3" fillId="2" borderId="9" xfId="0" applyFont="1" applyFill="1" applyBorder="1" applyAlignment="1" applyProtection="1">
      <alignment horizontal="center" vertical="center" wrapText="1" readingOrder="1"/>
    </xf>
    <xf numFmtId="0" fontId="3" fillId="2" borderId="13" xfId="0" applyFont="1" applyFill="1" applyBorder="1" applyAlignment="1" applyProtection="1">
      <alignment horizontal="center" vertical="center" wrapText="1" readingOrder="1"/>
    </xf>
    <xf numFmtId="0" fontId="3" fillId="2" borderId="17" xfId="0" applyFont="1" applyFill="1" applyBorder="1" applyAlignment="1" applyProtection="1">
      <alignment horizontal="center" vertical="center" wrapText="1" readingOrder="1"/>
    </xf>
    <xf numFmtId="49" fontId="15" fillId="4" borderId="1" xfId="0" applyNumberFormat="1" applyFont="1" applyFill="1" applyBorder="1" applyAlignment="1" applyProtection="1">
      <alignment horizontal="left" vertical="top"/>
      <protection locked="0"/>
    </xf>
    <xf numFmtId="49" fontId="15" fillId="4" borderId="2" xfId="0" applyNumberFormat="1" applyFont="1" applyFill="1" applyBorder="1" applyAlignment="1" applyProtection="1">
      <alignment horizontal="left" vertical="top"/>
      <protection locked="0"/>
    </xf>
    <xf numFmtId="49" fontId="15" fillId="4" borderId="3" xfId="0" applyNumberFormat="1" applyFont="1" applyFill="1" applyBorder="1" applyAlignment="1" applyProtection="1">
      <alignment horizontal="left" vertical="top"/>
      <protection locked="0"/>
    </xf>
    <xf numFmtId="49" fontId="15" fillId="4" borderId="4" xfId="0" applyNumberFormat="1" applyFont="1" applyFill="1" applyBorder="1" applyAlignment="1" applyProtection="1">
      <alignment horizontal="left" vertical="top"/>
      <protection locked="0"/>
    </xf>
    <xf numFmtId="49" fontId="15" fillId="4" borderId="0" xfId="0" applyNumberFormat="1" applyFont="1" applyFill="1" applyBorder="1" applyAlignment="1" applyProtection="1">
      <alignment horizontal="left" vertical="top"/>
      <protection locked="0"/>
    </xf>
    <xf numFmtId="49" fontId="15" fillId="4" borderId="5" xfId="0" applyNumberFormat="1" applyFont="1" applyFill="1" applyBorder="1" applyAlignment="1" applyProtection="1">
      <alignment horizontal="left" vertical="top"/>
      <protection locked="0"/>
    </xf>
    <xf numFmtId="49" fontId="15" fillId="4" borderId="6" xfId="0" applyNumberFormat="1" applyFont="1" applyFill="1" applyBorder="1" applyAlignment="1" applyProtection="1">
      <alignment horizontal="left" vertical="top"/>
      <protection locked="0"/>
    </xf>
    <xf numFmtId="49" fontId="15" fillId="4" borderId="7" xfId="0" applyNumberFormat="1" applyFont="1" applyFill="1" applyBorder="1" applyAlignment="1" applyProtection="1">
      <alignment horizontal="left" vertical="top"/>
      <protection locked="0"/>
    </xf>
    <xf numFmtId="49" fontId="15" fillId="4" borderId="8" xfId="0" applyNumberFormat="1" applyFont="1" applyFill="1" applyBorder="1" applyAlignment="1" applyProtection="1">
      <alignment horizontal="left" vertical="top"/>
      <protection locked="0"/>
    </xf>
  </cellXfs>
  <cellStyles count="7">
    <cellStyle name="Currency" xfId="1" builtinId="4"/>
    <cellStyle name="Hyperlink" xfId="6" builtinId="8"/>
    <cellStyle name="Normal" xfId="0" builtinId="0"/>
    <cellStyle name="Normal 2 2" xfId="3"/>
    <cellStyle name="Normal_BUC M84-Keyboard-02_01_07-check.xls 2" xfId="4"/>
    <cellStyle name="Percent" xfId="2" builtinId="5"/>
    <cellStyle name="貨幣_GP_PP RFQ_818-0511-17_K20 CTO Frame_1103 2" xfId="5"/>
  </cellStyles>
  <dxfs count="0"/>
  <tableStyles count="0" defaultTableStyle="TableStyleMedium2" defaultPivotStyle="PivotStyleLight16"/>
  <colors>
    <mruColors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3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1255143</xdr:colOff>
      <xdr:row>1</xdr:row>
      <xdr:rowOff>89647</xdr:rowOff>
    </xdr:from>
    <xdr:to>
      <xdr:col>8</xdr:col>
      <xdr:colOff>2582155</xdr:colOff>
      <xdr:row>2</xdr:row>
      <xdr:rowOff>145676</xdr:rowOff>
    </xdr:to>
    <xdr:pic>
      <xdr:nvPicPr>
        <xdr:cNvPr id="2" name="Picture 1" descr="C:\Users\SKoren\Pictures\Harrys_Logo_Transparent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42218" y="222997"/>
          <a:ext cx="1327012" cy="3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http://www.flextronics.com/" TargetMode="External"/><Relationship Id="rId2" Type="http://schemas.openxmlformats.org/officeDocument/2006/relationships/hyperlink" Target="mailto:chris.yong@flextronic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D1:Y75"/>
  <sheetViews>
    <sheetView showGridLines="0" tabSelected="1" view="pageBreakPreview" topLeftCell="C2" zoomScale="70" zoomScaleNormal="80" zoomScaleSheetLayoutView="70" zoomScalePageLayoutView="80" workbookViewId="0">
      <selection activeCell="I13" sqref="I13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34.5" style="4" customWidth="1"/>
    <col min="6" max="6" width="20.1640625" style="4" customWidth="1"/>
    <col min="7" max="7" width="25.83203125" style="4" customWidth="1"/>
    <col min="8" max="8" width="20.1640625" style="4" customWidth="1"/>
    <col min="9" max="9" width="44.5" style="4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24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231" t="s">
        <v>2</v>
      </c>
      <c r="E7" s="24" t="s">
        <v>3</v>
      </c>
      <c r="F7" s="223" t="s">
        <v>61</v>
      </c>
      <c r="G7" s="25" t="s">
        <v>4</v>
      </c>
      <c r="H7" s="226" t="s">
        <v>102</v>
      </c>
      <c r="I7" s="26" t="s">
        <v>5</v>
      </c>
      <c r="J7" s="228" t="s">
        <v>104</v>
      </c>
      <c r="S7" s="28"/>
      <c r="T7" s="28"/>
      <c r="U7" s="28"/>
      <c r="V7" s="28"/>
      <c r="W7" s="28"/>
      <c r="X7" s="28"/>
    </row>
    <row r="8" spans="4:24" s="32" customFormat="1" ht="14.25" customHeight="1">
      <c r="D8" s="232"/>
      <c r="E8" s="29" t="s">
        <v>6</v>
      </c>
      <c r="F8" s="224" t="s">
        <v>100</v>
      </c>
      <c r="G8" s="30" t="s">
        <v>7</v>
      </c>
      <c r="H8" s="224" t="s">
        <v>103</v>
      </c>
      <c r="I8" s="31" t="s">
        <v>8</v>
      </c>
      <c r="J8" s="229"/>
      <c r="S8" s="33"/>
      <c r="T8" s="33"/>
      <c r="U8" s="33"/>
      <c r="V8" s="33"/>
      <c r="W8" s="33"/>
      <c r="X8" s="34"/>
    </row>
    <row r="9" spans="4:24" s="38" customFormat="1" ht="14.25" customHeight="1" thickBot="1">
      <c r="D9" s="233"/>
      <c r="E9" s="35" t="s">
        <v>9</v>
      </c>
      <c r="F9" s="225" t="s">
        <v>101</v>
      </c>
      <c r="G9" s="36" t="s">
        <v>10</v>
      </c>
      <c r="H9" s="227">
        <f ca="1">TODAY()</f>
        <v>42590</v>
      </c>
      <c r="I9" s="37" t="s">
        <v>11</v>
      </c>
      <c r="J9" s="230" t="s">
        <v>105</v>
      </c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234" t="s">
        <v>12</v>
      </c>
      <c r="E12" s="51" t="s">
        <v>13</v>
      </c>
      <c r="F12" s="138" t="s">
        <v>63</v>
      </c>
      <c r="G12" s="25" t="s">
        <v>14</v>
      </c>
      <c r="H12" s="169">
        <v>10</v>
      </c>
      <c r="I12" s="43"/>
      <c r="K12" s="49"/>
      <c r="L12" s="49"/>
      <c r="M12" s="49"/>
      <c r="N12" s="49"/>
      <c r="O12" s="49"/>
      <c r="P12" s="49"/>
      <c r="Q12" s="49"/>
      <c r="R12" s="49"/>
    </row>
    <row r="13" spans="4:24">
      <c r="D13" s="235"/>
      <c r="E13" s="52" t="s">
        <v>15</v>
      </c>
      <c r="F13" s="138" t="s">
        <v>62</v>
      </c>
      <c r="G13" s="30" t="s">
        <v>16</v>
      </c>
      <c r="H13" s="170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236"/>
      <c r="E14" s="53" t="s">
        <v>17</v>
      </c>
      <c r="F14" s="168">
        <f>ROUNDUP(3600/J69*20*K70,-2)</f>
        <v>1100</v>
      </c>
      <c r="G14" s="36" t="s">
        <v>18</v>
      </c>
      <c r="H14" s="171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57" hidden="1" thickBot="1">
      <c r="D16" s="60"/>
      <c r="E16" s="61"/>
      <c r="F16" s="56" t="str">
        <f>F18&amp;"/"&amp;F19&amp;"/"&amp;TEXT(F20,"$#,###.000")&amp;"/"&amp;TEXT(F22,"$#,###.000")</f>
        <v xml:space="preserve"> ABS HI121H, Black /ABS/$1.957/$.007</v>
      </c>
      <c r="G16" s="62" t="str">
        <f t="shared" ref="G16:P16" si="0">G18&amp;"/"&amp;G19&amp;"/"&amp;TEXT(G20,"$#,###.000")&amp;"/"&amp;TEXT(G22,"$#,###.000")</f>
        <v xml:space="preserve"> TPU 70 shore A, with /TPU/$13.536/$.039</v>
      </c>
      <c r="H16" s="63" t="str">
        <f t="shared" si="0"/>
        <v>NORYL RESIN PKN4752 COOL GREY 11C/NORYL/$15.967/$.018</v>
      </c>
      <c r="I16" s="64" t="str">
        <f t="shared" si="0"/>
        <v>Pad print Ink, White color/ink/$80.533/$.031</v>
      </c>
      <c r="J16" s="64" t="str">
        <f t="shared" si="0"/>
        <v>Hardener /Hardener /$136.907/$.053</v>
      </c>
      <c r="K16" s="65" t="str">
        <f t="shared" si="0"/>
        <v>Thinner/Thinner/$22.549/$.009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>
        <f t="shared" si="1"/>
        <v>1</v>
      </c>
      <c r="J17" s="64">
        <f t="shared" si="1"/>
        <v>1</v>
      </c>
      <c r="K17" s="65">
        <f t="shared" si="1"/>
        <v>1</v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234" t="s">
        <v>19</v>
      </c>
      <c r="E18" s="51" t="s">
        <v>20</v>
      </c>
      <c r="F18" s="140" t="s">
        <v>64</v>
      </c>
      <c r="G18" s="141" t="s">
        <v>74</v>
      </c>
      <c r="H18" s="141" t="s">
        <v>73</v>
      </c>
      <c r="I18" s="141" t="s">
        <v>90</v>
      </c>
      <c r="J18" s="141" t="s">
        <v>92</v>
      </c>
      <c r="K18" s="141" t="s">
        <v>93</v>
      </c>
      <c r="L18" s="141"/>
      <c r="M18" s="141"/>
      <c r="N18" s="141"/>
      <c r="O18" s="141"/>
      <c r="P18" s="142"/>
      <c r="Q18" s="49"/>
      <c r="R18" s="49"/>
      <c r="S18" s="49"/>
      <c r="T18" s="49"/>
    </row>
    <row r="19" spans="4:25">
      <c r="D19" s="235"/>
      <c r="E19" s="52" t="s">
        <v>21</v>
      </c>
      <c r="F19" s="143" t="s">
        <v>65</v>
      </c>
      <c r="G19" s="144" t="s">
        <v>66</v>
      </c>
      <c r="H19" s="144" t="s">
        <v>75</v>
      </c>
      <c r="I19" s="144" t="s">
        <v>91</v>
      </c>
      <c r="J19" s="144" t="s">
        <v>92</v>
      </c>
      <c r="K19" s="144" t="s">
        <v>93</v>
      </c>
      <c r="L19" s="144"/>
      <c r="M19" s="144"/>
      <c r="N19" s="144"/>
      <c r="O19" s="144"/>
      <c r="P19" s="145"/>
      <c r="Q19" s="49"/>
      <c r="R19" s="49"/>
      <c r="S19" s="49"/>
      <c r="T19" s="49"/>
    </row>
    <row r="20" spans="4:25">
      <c r="D20" s="235"/>
      <c r="E20" s="52" t="s">
        <v>22</v>
      </c>
      <c r="F20" s="172">
        <v>1.9570000000000001</v>
      </c>
      <c r="G20" s="173">
        <v>13.535646616541355</v>
      </c>
      <c r="H20" s="173">
        <v>15.966600000000001</v>
      </c>
      <c r="I20" s="173">
        <v>80.533477842003848</v>
      </c>
      <c r="J20" s="146">
        <v>136.90691233140655</v>
      </c>
      <c r="K20" s="146">
        <v>22.549373795761081</v>
      </c>
      <c r="L20" s="146"/>
      <c r="M20" s="146"/>
      <c r="N20" s="146"/>
      <c r="O20" s="146"/>
      <c r="P20" s="147"/>
      <c r="Q20" s="49"/>
      <c r="R20" s="49"/>
      <c r="S20" s="49"/>
      <c r="T20" s="49"/>
    </row>
    <row r="21" spans="4:25">
      <c r="D21" s="235"/>
      <c r="E21" s="52" t="s">
        <v>23</v>
      </c>
      <c r="F21" s="143">
        <f>3.37/1000</f>
        <v>3.3700000000000002E-3</v>
      </c>
      <c r="G21" s="144">
        <f>2.9/1000</f>
        <v>2.8999999999999998E-3</v>
      </c>
      <c r="H21" s="144">
        <f>1.1/1000</f>
        <v>1.1000000000000001E-3</v>
      </c>
      <c r="I21" s="144">
        <v>3.8999999999999999E-4</v>
      </c>
      <c r="J21" s="144">
        <v>3.8999999999999999E-4</v>
      </c>
      <c r="K21" s="144">
        <v>3.8999999999999999E-4</v>
      </c>
      <c r="L21" s="144"/>
      <c r="M21" s="144"/>
      <c r="N21" s="144"/>
      <c r="O21" s="144"/>
      <c r="P21" s="145"/>
      <c r="Q21" s="49"/>
      <c r="R21" s="49"/>
      <c r="S21" s="49"/>
      <c r="T21" s="49"/>
    </row>
    <row r="22" spans="4:25">
      <c r="D22" s="235"/>
      <c r="E22" s="52" t="s">
        <v>24</v>
      </c>
      <c r="F22" s="67">
        <f t="shared" ref="F22:K22" si="2">F20*F21</f>
        <v>6.5950900000000005E-3</v>
      </c>
      <c r="G22" s="68">
        <f t="shared" si="2"/>
        <v>3.9253375187969924E-2</v>
      </c>
      <c r="H22" s="68">
        <f t="shared" si="2"/>
        <v>1.7563260000000004E-2</v>
      </c>
      <c r="I22" s="68">
        <f t="shared" si="2"/>
        <v>3.1408056358381502E-2</v>
      </c>
      <c r="J22" s="68">
        <f t="shared" si="2"/>
        <v>5.3393695809248555E-2</v>
      </c>
      <c r="K22" s="68">
        <f t="shared" si="2"/>
        <v>8.794255780346821E-3</v>
      </c>
      <c r="L22" s="68">
        <f>L20*L21</f>
        <v>0</v>
      </c>
      <c r="M22" s="68">
        <f>M20*M21</f>
        <v>0</v>
      </c>
      <c r="N22" s="68">
        <f>N20*N21</f>
        <v>0</v>
      </c>
      <c r="O22" s="68">
        <f>O20*O21</f>
        <v>0</v>
      </c>
      <c r="P22" s="69">
        <f>P20*P21</f>
        <v>0</v>
      </c>
      <c r="Q22" s="49"/>
      <c r="R22" s="49"/>
      <c r="S22" s="49"/>
      <c r="T22" s="49"/>
    </row>
    <row r="23" spans="4:25">
      <c r="D23" s="235"/>
      <c r="E23" s="52" t="s">
        <v>25</v>
      </c>
      <c r="F23" s="143">
        <v>1</v>
      </c>
      <c r="G23" s="139">
        <v>1</v>
      </c>
      <c r="H23" s="139">
        <v>1</v>
      </c>
      <c r="I23" s="139">
        <v>1</v>
      </c>
      <c r="J23" s="139">
        <v>0.1</v>
      </c>
      <c r="K23" s="139">
        <v>0.15</v>
      </c>
      <c r="L23" s="139"/>
      <c r="M23" s="139"/>
      <c r="N23" s="139"/>
      <c r="O23" s="139"/>
      <c r="P23" s="148"/>
      <c r="Q23" s="49"/>
      <c r="R23" s="49"/>
      <c r="S23" s="49"/>
      <c r="T23" s="49"/>
    </row>
    <row r="24" spans="4:25" ht="15" thickBot="1">
      <c r="D24" s="236"/>
      <c r="E24" s="53" t="s">
        <v>26</v>
      </c>
      <c r="F24" s="1">
        <f t="shared" ref="F24:P24" si="3">(F22*F23)</f>
        <v>6.5950900000000005E-3</v>
      </c>
      <c r="G24" s="2">
        <f t="shared" si="3"/>
        <v>3.9253375187969924E-2</v>
      </c>
      <c r="H24" s="2">
        <f t="shared" si="3"/>
        <v>1.7563260000000004E-2</v>
      </c>
      <c r="I24" s="2">
        <f>(I22*I23)*80%</f>
        <v>2.5126445086705203E-2</v>
      </c>
      <c r="J24" s="2">
        <f t="shared" ref="J24:K24" si="4">(J22*J23)*80%</f>
        <v>4.2714956647398848E-3</v>
      </c>
      <c r="K24" s="2">
        <f t="shared" si="4"/>
        <v>1.0553106936416186E-3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70"/>
      <c r="E25" s="71"/>
      <c r="F25" s="72"/>
      <c r="G25" s="72"/>
      <c r="H25" s="72"/>
      <c r="I25" s="73"/>
      <c r="J25" s="7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>
      <c r="D26" s="74" t="s">
        <v>27</v>
      </c>
      <c r="E26" s="75" t="s">
        <v>28</v>
      </c>
      <c r="F26" s="76" t="s">
        <v>29</v>
      </c>
      <c r="G26" s="76" t="s">
        <v>30</v>
      </c>
      <c r="H26" s="76" t="s">
        <v>31</v>
      </c>
      <c r="I26" s="77" t="s">
        <v>32</v>
      </c>
      <c r="J26" s="78" t="s">
        <v>33</v>
      </c>
      <c r="K26" s="79" t="s">
        <v>34</v>
      </c>
      <c r="L26" s="80" t="s">
        <v>35</v>
      </c>
      <c r="M26" s="77" t="s">
        <v>36</v>
      </c>
      <c r="N26" s="76" t="s">
        <v>37</v>
      </c>
      <c r="O26" s="76" t="s">
        <v>38</v>
      </c>
      <c r="P26" s="81" t="s">
        <v>39</v>
      </c>
      <c r="Q26" s="49"/>
      <c r="R26" s="49"/>
    </row>
    <row r="27" spans="4:25">
      <c r="D27" s="82">
        <v>0</v>
      </c>
      <c r="E27" s="83"/>
      <c r="F27" s="84">
        <f>G27+H27</f>
        <v>9.3864976633056624E-2</v>
      </c>
      <c r="G27" s="85">
        <f>SUM(F24:L24)</f>
        <v>9.3864976633056624E-2</v>
      </c>
      <c r="H27" s="86">
        <v>0</v>
      </c>
      <c r="I27" s="83"/>
      <c r="J27" s="83"/>
      <c r="K27" s="83"/>
      <c r="L27" s="87" t="s">
        <v>40</v>
      </c>
      <c r="M27" s="83"/>
      <c r="N27" s="83"/>
      <c r="O27" s="83"/>
      <c r="P27" s="88"/>
      <c r="Q27" s="49"/>
      <c r="R27" s="49"/>
    </row>
    <row r="28" spans="4:25" s="189" customFormat="1">
      <c r="D28" s="178">
        <v>1</v>
      </c>
      <c r="E28" s="133" t="s">
        <v>76</v>
      </c>
      <c r="F28" s="179">
        <f t="shared" ref="F28:F55" si="5">F27+G28+H28</f>
        <v>0.10575329304350221</v>
      </c>
      <c r="G28" s="180">
        <v>1.6000000000000001E-3</v>
      </c>
      <c r="H28" s="181">
        <f t="shared" ref="H28:H55" si="6">SUM(N28:P28)</f>
        <v>1.0288316410445591E-2</v>
      </c>
      <c r="I28" s="150" t="s">
        <v>68</v>
      </c>
      <c r="J28" s="182">
        <f>20/8</f>
        <v>2.5</v>
      </c>
      <c r="K28" s="183">
        <v>0.98</v>
      </c>
      <c r="L28" s="184">
        <f t="shared" ref="L28:L54" si="7">(1-K28)*L29+L29</f>
        <v>1296.4400933909978</v>
      </c>
      <c r="M28" s="190">
        <v>11.874376768636882</v>
      </c>
      <c r="N28" s="186">
        <f t="shared" ref="N28:N55" si="8">(M28/3600)*J28</f>
        <v>8.246094978220056E-3</v>
      </c>
      <c r="O28" s="186">
        <f t="shared" ref="O28:O55" si="9">(1-K28)*N28</f>
        <v>1.6492189956440127E-4</v>
      </c>
      <c r="P28" s="187">
        <f t="shared" ref="P28:P55" si="10">(1-K28)*F27</f>
        <v>1.8772995326611342E-3</v>
      </c>
      <c r="Q28" s="188"/>
      <c r="R28" s="188"/>
    </row>
    <row r="29" spans="4:25" s="189" customFormat="1">
      <c r="D29" s="178">
        <v>2</v>
      </c>
      <c r="E29" s="133" t="s">
        <v>88</v>
      </c>
      <c r="F29" s="179">
        <f t="shared" si="5"/>
        <v>0.12171692257389034</v>
      </c>
      <c r="G29" s="180">
        <v>5.3E-3</v>
      </c>
      <c r="H29" s="181">
        <f t="shared" si="6"/>
        <v>1.0663629530388134E-2</v>
      </c>
      <c r="I29" s="150" t="s">
        <v>89</v>
      </c>
      <c r="J29" s="182">
        <v>2</v>
      </c>
      <c r="K29" s="183">
        <v>0.995</v>
      </c>
      <c r="L29" s="184">
        <f t="shared" si="7"/>
        <v>1271.0196994029391</v>
      </c>
      <c r="M29" s="190">
        <v>18.151993549559322</v>
      </c>
      <c r="N29" s="186">
        <f t="shared" si="8"/>
        <v>1.008444086086629E-2</v>
      </c>
      <c r="O29" s="186">
        <f t="shared" si="9"/>
        <v>5.0422204304331495E-5</v>
      </c>
      <c r="P29" s="187">
        <f t="shared" si="10"/>
        <v>5.287664652175115E-4</v>
      </c>
      <c r="Q29" s="188"/>
      <c r="R29" s="188"/>
    </row>
    <row r="30" spans="4:25" s="189" customFormat="1">
      <c r="D30" s="178">
        <v>3</v>
      </c>
      <c r="E30" s="150" t="s">
        <v>77</v>
      </c>
      <c r="F30" s="179">
        <f t="shared" si="5"/>
        <v>0.13316264772763151</v>
      </c>
      <c r="G30" s="180">
        <v>1.9E-3</v>
      </c>
      <c r="H30" s="181">
        <f t="shared" si="6"/>
        <v>9.5457251537411601E-3</v>
      </c>
      <c r="I30" s="150" t="s">
        <v>68</v>
      </c>
      <c r="J30" s="182">
        <f>20/8</f>
        <v>2.5</v>
      </c>
      <c r="K30" s="183">
        <v>0.99</v>
      </c>
      <c r="L30" s="184">
        <f t="shared" si="7"/>
        <v>1264.6962183113822</v>
      </c>
      <c r="M30" s="190">
        <v>11.874376768636882</v>
      </c>
      <c r="N30" s="186">
        <f t="shared" si="8"/>
        <v>8.246094978220056E-3</v>
      </c>
      <c r="O30" s="186">
        <f t="shared" si="9"/>
        <v>8.2460949782200635E-5</v>
      </c>
      <c r="P30" s="187">
        <f t="shared" si="10"/>
        <v>1.2171692257389045E-3</v>
      </c>
      <c r="Q30" s="188"/>
      <c r="R30" s="188"/>
    </row>
    <row r="31" spans="4:25" s="189" customFormat="1">
      <c r="D31" s="178">
        <v>4</v>
      </c>
      <c r="E31" s="150" t="s">
        <v>71</v>
      </c>
      <c r="F31" s="179">
        <f t="shared" si="5"/>
        <v>0.14603822687348492</v>
      </c>
      <c r="G31" s="180">
        <v>2.5999999999999999E-3</v>
      </c>
      <c r="H31" s="181">
        <f t="shared" si="6"/>
        <v>1.0275579145853418E-2</v>
      </c>
      <c r="I31" s="150" t="s">
        <v>80</v>
      </c>
      <c r="J31" s="182">
        <f>26/8</f>
        <v>3.25</v>
      </c>
      <c r="K31" s="183">
        <v>0.98</v>
      </c>
      <c r="L31" s="184">
        <f t="shared" si="7"/>
        <v>1252.1744735756258</v>
      </c>
      <c r="M31" s="190">
        <v>8.2667795742632961</v>
      </c>
      <c r="N31" s="186">
        <f t="shared" si="8"/>
        <v>7.4630648934321427E-3</v>
      </c>
      <c r="O31" s="186">
        <f t="shared" si="9"/>
        <v>1.4926129786864298E-4</v>
      </c>
      <c r="P31" s="187">
        <f t="shared" si="10"/>
        <v>2.6632529545526323E-3</v>
      </c>
      <c r="Q31" s="188"/>
      <c r="R31" s="188"/>
    </row>
    <row r="32" spans="4:25" s="189" customFormat="1">
      <c r="D32" s="178">
        <v>5</v>
      </c>
      <c r="E32" s="150" t="s">
        <v>72</v>
      </c>
      <c r="F32" s="179">
        <f t="shared" si="5"/>
        <v>0.15917131760225539</v>
      </c>
      <c r="G32" s="180">
        <v>2.5999999999999999E-3</v>
      </c>
      <c r="H32" s="181">
        <f t="shared" si="6"/>
        <v>1.0533090728770487E-2</v>
      </c>
      <c r="I32" s="150" t="s">
        <v>80</v>
      </c>
      <c r="J32" s="182">
        <f>26/8</f>
        <v>3.25</v>
      </c>
      <c r="K32" s="183">
        <v>0.98</v>
      </c>
      <c r="L32" s="184">
        <f t="shared" si="7"/>
        <v>1227.6220329172802</v>
      </c>
      <c r="M32" s="190">
        <v>8.2667795742632961</v>
      </c>
      <c r="N32" s="186">
        <f t="shared" si="8"/>
        <v>7.4630648934321427E-3</v>
      </c>
      <c r="O32" s="186">
        <f t="shared" si="9"/>
        <v>1.4926129786864298E-4</v>
      </c>
      <c r="P32" s="187">
        <f t="shared" si="10"/>
        <v>2.9207645374697009E-3</v>
      </c>
      <c r="Q32" s="188"/>
      <c r="R32" s="188"/>
    </row>
    <row r="33" spans="4:18" s="189" customFormat="1">
      <c r="D33" s="178">
        <v>6</v>
      </c>
      <c r="E33" s="133" t="s">
        <v>69</v>
      </c>
      <c r="F33" s="179">
        <f t="shared" si="5"/>
        <v>0.17573097902854373</v>
      </c>
      <c r="G33" s="180">
        <v>4.3E-3</v>
      </c>
      <c r="H33" s="181">
        <f t="shared" si="6"/>
        <v>1.2259661426288357E-2</v>
      </c>
      <c r="I33" s="150" t="s">
        <v>80</v>
      </c>
      <c r="J33" s="182">
        <f>31/8</f>
        <v>3.875</v>
      </c>
      <c r="K33" s="183">
        <v>0.98</v>
      </c>
      <c r="L33" s="184">
        <f t="shared" si="7"/>
        <v>1203.5510126640002</v>
      </c>
      <c r="M33" s="190">
        <v>8.2667795742632961</v>
      </c>
      <c r="N33" s="186">
        <f t="shared" si="8"/>
        <v>8.898269680630632E-3</v>
      </c>
      <c r="O33" s="186">
        <f t="shared" si="9"/>
        <v>1.7796539361261281E-4</v>
      </c>
      <c r="P33" s="187">
        <f t="shared" si="10"/>
        <v>3.1834263520451106E-3</v>
      </c>
      <c r="Q33" s="188"/>
      <c r="R33" s="188"/>
    </row>
    <row r="34" spans="4:18" s="189" customFormat="1">
      <c r="D34" s="178">
        <v>7</v>
      </c>
      <c r="E34" s="133" t="s">
        <v>70</v>
      </c>
      <c r="F34" s="179">
        <f t="shared" si="5"/>
        <v>0.19262183368335786</v>
      </c>
      <c r="G34" s="180">
        <v>4.3E-3</v>
      </c>
      <c r="H34" s="181">
        <f t="shared" si="6"/>
        <v>1.2590854654814123E-2</v>
      </c>
      <c r="I34" s="150" t="s">
        <v>80</v>
      </c>
      <c r="J34" s="182">
        <f>31/8</f>
        <v>3.875</v>
      </c>
      <c r="K34" s="183">
        <v>0.98</v>
      </c>
      <c r="L34" s="184">
        <f t="shared" si="7"/>
        <v>1179.9519732000001</v>
      </c>
      <c r="M34" s="190">
        <v>8.2667795742632961</v>
      </c>
      <c r="N34" s="186">
        <f t="shared" si="8"/>
        <v>8.898269680630632E-3</v>
      </c>
      <c r="O34" s="186">
        <f t="shared" si="9"/>
        <v>1.7796539361261281E-4</v>
      </c>
      <c r="P34" s="187">
        <f t="shared" si="10"/>
        <v>3.5146195805708779E-3</v>
      </c>
      <c r="Q34" s="188"/>
      <c r="R34" s="188"/>
    </row>
    <row r="35" spans="4:18" s="189" customFormat="1">
      <c r="D35" s="178">
        <v>8</v>
      </c>
      <c r="E35" s="133" t="s">
        <v>67</v>
      </c>
      <c r="F35" s="179">
        <f t="shared" si="5"/>
        <v>0.20762638892258795</v>
      </c>
      <c r="G35" s="180">
        <v>1.9E-3</v>
      </c>
      <c r="H35" s="181">
        <f t="shared" si="6"/>
        <v>1.3104555239230065E-2</v>
      </c>
      <c r="I35" s="151" t="s">
        <v>68</v>
      </c>
      <c r="J35" s="182">
        <f>22/8</f>
        <v>2.75</v>
      </c>
      <c r="K35" s="183">
        <v>0.98</v>
      </c>
      <c r="L35" s="184">
        <f t="shared" si="7"/>
        <v>1156.81566</v>
      </c>
      <c r="M35" s="190">
        <v>11.874376768636882</v>
      </c>
      <c r="N35" s="186">
        <f t="shared" si="8"/>
        <v>9.0707044760420623E-3</v>
      </c>
      <c r="O35" s="186">
        <f t="shared" si="9"/>
        <v>1.8141408952084142E-4</v>
      </c>
      <c r="P35" s="187">
        <f t="shared" si="10"/>
        <v>3.8524366736671606E-3</v>
      </c>
      <c r="Q35" s="188"/>
      <c r="R35" s="188"/>
    </row>
    <row r="36" spans="4:18" s="189" customFormat="1">
      <c r="D36" s="178">
        <v>9</v>
      </c>
      <c r="E36" s="133" t="s">
        <v>81</v>
      </c>
      <c r="F36" s="179">
        <f t="shared" si="5"/>
        <v>0.2759612928364954</v>
      </c>
      <c r="G36" s="180">
        <v>6.2106112246229792E-2</v>
      </c>
      <c r="H36" s="181">
        <f t="shared" si="6"/>
        <v>6.2287916676776441E-3</v>
      </c>
      <c r="I36" s="151"/>
      <c r="J36" s="182"/>
      <c r="K36" s="183">
        <v>0.97</v>
      </c>
      <c r="L36" s="184">
        <f t="shared" si="7"/>
        <v>1134.133</v>
      </c>
      <c r="M36" s="191">
        <v>0</v>
      </c>
      <c r="N36" s="186">
        <f t="shared" si="8"/>
        <v>0</v>
      </c>
      <c r="O36" s="186">
        <f t="shared" si="9"/>
        <v>0</v>
      </c>
      <c r="P36" s="187">
        <f t="shared" si="10"/>
        <v>6.2287916676776441E-3</v>
      </c>
      <c r="Q36" s="188"/>
      <c r="R36" s="188"/>
    </row>
    <row r="37" spans="4:18" s="189" customFormat="1">
      <c r="D37" s="178">
        <v>10</v>
      </c>
      <c r="E37" s="151" t="s">
        <v>78</v>
      </c>
      <c r="F37" s="179">
        <f t="shared" si="5"/>
        <v>0.67996129283649542</v>
      </c>
      <c r="G37" s="180">
        <v>0.40400000000000003</v>
      </c>
      <c r="H37" s="181">
        <f t="shared" si="6"/>
        <v>0</v>
      </c>
      <c r="I37" s="150"/>
      <c r="J37" s="182"/>
      <c r="K37" s="183">
        <v>1</v>
      </c>
      <c r="L37" s="184">
        <f t="shared" si="7"/>
        <v>1101.0999999999999</v>
      </c>
      <c r="M37" s="191">
        <v>0</v>
      </c>
      <c r="N37" s="186">
        <f t="shared" si="8"/>
        <v>0</v>
      </c>
      <c r="O37" s="186">
        <f t="shared" si="9"/>
        <v>0</v>
      </c>
      <c r="P37" s="187">
        <f t="shared" si="10"/>
        <v>0</v>
      </c>
      <c r="Q37" s="188"/>
      <c r="R37" s="188"/>
    </row>
    <row r="38" spans="4:18" s="189" customFormat="1" ht="28">
      <c r="D38" s="178">
        <v>11</v>
      </c>
      <c r="E38" s="150" t="s">
        <v>58</v>
      </c>
      <c r="F38" s="179">
        <f t="shared" si="5"/>
        <v>0.69303954849021987</v>
      </c>
      <c r="G38" s="180">
        <v>0</v>
      </c>
      <c r="H38" s="181">
        <f t="shared" si="6"/>
        <v>1.30782556537244E-2</v>
      </c>
      <c r="I38" s="150" t="s">
        <v>82</v>
      </c>
      <c r="J38" s="182">
        <v>8</v>
      </c>
      <c r="K38" s="183">
        <v>1</v>
      </c>
      <c r="L38" s="184">
        <f t="shared" si="7"/>
        <v>1101.0999999999999</v>
      </c>
      <c r="M38" s="190">
        <v>5.8852150441759798</v>
      </c>
      <c r="N38" s="186">
        <f t="shared" si="8"/>
        <v>1.30782556537244E-2</v>
      </c>
      <c r="O38" s="186">
        <f t="shared" si="9"/>
        <v>0</v>
      </c>
      <c r="P38" s="187">
        <f t="shared" si="10"/>
        <v>0</v>
      </c>
      <c r="Q38" s="188"/>
      <c r="R38" s="188"/>
    </row>
    <row r="39" spans="4:18" s="189" customFormat="1" ht="28">
      <c r="D39" s="178">
        <v>12</v>
      </c>
      <c r="E39" s="150" t="s">
        <v>58</v>
      </c>
      <c r="F39" s="179">
        <f t="shared" si="5"/>
        <v>0.70611780414394432</v>
      </c>
      <c r="G39" s="180">
        <v>0</v>
      </c>
      <c r="H39" s="181">
        <f t="shared" si="6"/>
        <v>1.30782556537244E-2</v>
      </c>
      <c r="I39" s="150" t="s">
        <v>83</v>
      </c>
      <c r="J39" s="182">
        <v>8</v>
      </c>
      <c r="K39" s="183">
        <v>1</v>
      </c>
      <c r="L39" s="184">
        <f t="shared" si="7"/>
        <v>1101.0999999999999</v>
      </c>
      <c r="M39" s="190">
        <v>5.8852150441759798</v>
      </c>
      <c r="N39" s="186">
        <f t="shared" si="8"/>
        <v>1.30782556537244E-2</v>
      </c>
      <c r="O39" s="186">
        <f t="shared" si="9"/>
        <v>0</v>
      </c>
      <c r="P39" s="187">
        <f t="shared" si="10"/>
        <v>0</v>
      </c>
      <c r="Q39" s="188"/>
      <c r="R39" s="188"/>
    </row>
    <row r="40" spans="4:18" s="189" customFormat="1" ht="28">
      <c r="D40" s="178">
        <v>13</v>
      </c>
      <c r="E40" s="150" t="s">
        <v>58</v>
      </c>
      <c r="F40" s="179">
        <f t="shared" si="5"/>
        <v>0.71919605979766876</v>
      </c>
      <c r="G40" s="180">
        <v>0</v>
      </c>
      <c r="H40" s="181">
        <f t="shared" si="6"/>
        <v>1.30782556537244E-2</v>
      </c>
      <c r="I40" s="150" t="s">
        <v>84</v>
      </c>
      <c r="J40" s="182">
        <v>8</v>
      </c>
      <c r="K40" s="183">
        <v>1</v>
      </c>
      <c r="L40" s="184">
        <f t="shared" si="7"/>
        <v>1101.0999999999999</v>
      </c>
      <c r="M40" s="190">
        <v>5.8852150441759798</v>
      </c>
      <c r="N40" s="186">
        <f t="shared" si="8"/>
        <v>1.30782556537244E-2</v>
      </c>
      <c r="O40" s="186">
        <f t="shared" si="9"/>
        <v>0</v>
      </c>
      <c r="P40" s="187">
        <f t="shared" si="10"/>
        <v>0</v>
      </c>
      <c r="Q40" s="188"/>
      <c r="R40" s="188"/>
    </row>
    <row r="41" spans="4:18" s="189" customFormat="1" ht="28">
      <c r="D41" s="178">
        <v>14</v>
      </c>
      <c r="E41" s="150" t="s">
        <v>58</v>
      </c>
      <c r="F41" s="179">
        <f t="shared" si="5"/>
        <v>0.75918928376829475</v>
      </c>
      <c r="G41" s="180">
        <v>2.6182694001450249E-2</v>
      </c>
      <c r="H41" s="181">
        <f t="shared" si="6"/>
        <v>1.3810529969175792E-2</v>
      </c>
      <c r="I41" s="150" t="s">
        <v>87</v>
      </c>
      <c r="J41" s="182">
        <v>8</v>
      </c>
      <c r="K41" s="183">
        <v>0.999</v>
      </c>
      <c r="L41" s="184">
        <f t="shared" si="7"/>
        <v>1101.0999999999999</v>
      </c>
      <c r="M41" s="190">
        <v>5.8852150441759798</v>
      </c>
      <c r="N41" s="186">
        <f t="shared" si="8"/>
        <v>1.30782556537244E-2</v>
      </c>
      <c r="O41" s="186">
        <f t="shared" si="9"/>
        <v>1.3078255653724411E-5</v>
      </c>
      <c r="P41" s="187">
        <f t="shared" si="10"/>
        <v>7.1919605979766938E-4</v>
      </c>
      <c r="Q41" s="188"/>
      <c r="R41" s="188"/>
    </row>
    <row r="42" spans="4:18" s="189" customFormat="1" hidden="1">
      <c r="D42" s="178">
        <v>15</v>
      </c>
      <c r="E42" s="150"/>
      <c r="F42" s="179">
        <f t="shared" si="5"/>
        <v>0.75918928376829475</v>
      </c>
      <c r="G42" s="180">
        <v>0</v>
      </c>
      <c r="H42" s="181">
        <f t="shared" si="6"/>
        <v>0</v>
      </c>
      <c r="I42" s="150"/>
      <c r="J42" s="182"/>
      <c r="K42" s="183">
        <v>1</v>
      </c>
      <c r="L42" s="184">
        <f t="shared" si="7"/>
        <v>1100</v>
      </c>
      <c r="M42" s="191">
        <v>0</v>
      </c>
      <c r="N42" s="186">
        <f t="shared" si="8"/>
        <v>0</v>
      </c>
      <c r="O42" s="186">
        <f t="shared" si="9"/>
        <v>0</v>
      </c>
      <c r="P42" s="187">
        <f t="shared" si="10"/>
        <v>0</v>
      </c>
      <c r="Q42" s="188"/>
      <c r="R42" s="188"/>
    </row>
    <row r="43" spans="4:18" s="189" customFormat="1" hidden="1">
      <c r="D43" s="178">
        <v>16</v>
      </c>
      <c r="E43" s="150"/>
      <c r="F43" s="179">
        <f t="shared" si="5"/>
        <v>0.75918928376829475</v>
      </c>
      <c r="G43" s="180">
        <v>0</v>
      </c>
      <c r="H43" s="181">
        <f t="shared" si="6"/>
        <v>0</v>
      </c>
      <c r="I43" s="151"/>
      <c r="J43" s="182"/>
      <c r="K43" s="183">
        <v>1</v>
      </c>
      <c r="L43" s="184">
        <f>(1-K43)*L44+L44</f>
        <v>1100</v>
      </c>
      <c r="M43" s="191">
        <v>0</v>
      </c>
      <c r="N43" s="186">
        <f t="shared" si="8"/>
        <v>0</v>
      </c>
      <c r="O43" s="186">
        <f t="shared" si="9"/>
        <v>0</v>
      </c>
      <c r="P43" s="187">
        <f t="shared" si="10"/>
        <v>0</v>
      </c>
      <c r="Q43" s="188"/>
      <c r="R43" s="188"/>
    </row>
    <row r="44" spans="4:18" s="189" customFormat="1" hidden="1">
      <c r="D44" s="178">
        <v>17</v>
      </c>
      <c r="E44" s="133"/>
      <c r="F44" s="179">
        <f t="shared" si="5"/>
        <v>0.75918928376829475</v>
      </c>
      <c r="G44" s="180">
        <v>0</v>
      </c>
      <c r="H44" s="181">
        <f t="shared" si="6"/>
        <v>0</v>
      </c>
      <c r="I44" s="151"/>
      <c r="J44" s="182"/>
      <c r="K44" s="183">
        <v>1</v>
      </c>
      <c r="L44" s="184">
        <f t="shared" si="7"/>
        <v>1100</v>
      </c>
      <c r="M44" s="191">
        <v>0</v>
      </c>
      <c r="N44" s="186">
        <f t="shared" si="8"/>
        <v>0</v>
      </c>
      <c r="O44" s="186">
        <f t="shared" si="9"/>
        <v>0</v>
      </c>
      <c r="P44" s="187">
        <f t="shared" si="10"/>
        <v>0</v>
      </c>
      <c r="Q44" s="188"/>
      <c r="R44" s="188"/>
    </row>
    <row r="45" spans="4:18" s="189" customFormat="1" hidden="1">
      <c r="D45" s="178">
        <v>18</v>
      </c>
      <c r="E45" s="192"/>
      <c r="F45" s="179">
        <f t="shared" si="5"/>
        <v>0.75918928376829475</v>
      </c>
      <c r="G45" s="180">
        <v>0</v>
      </c>
      <c r="H45" s="181">
        <f t="shared" si="6"/>
        <v>0</v>
      </c>
      <c r="I45" s="151"/>
      <c r="J45" s="182"/>
      <c r="K45" s="183">
        <v>1</v>
      </c>
      <c r="L45" s="184">
        <f t="shared" si="7"/>
        <v>1100</v>
      </c>
      <c r="M45" s="191">
        <v>0</v>
      </c>
      <c r="N45" s="186">
        <f t="shared" si="8"/>
        <v>0</v>
      </c>
      <c r="O45" s="186">
        <f t="shared" si="9"/>
        <v>0</v>
      </c>
      <c r="P45" s="187">
        <f t="shared" si="10"/>
        <v>0</v>
      </c>
      <c r="Q45" s="188"/>
      <c r="R45" s="188"/>
    </row>
    <row r="46" spans="4:18" s="189" customFormat="1" hidden="1">
      <c r="D46" s="178">
        <v>19</v>
      </c>
      <c r="E46" s="151"/>
      <c r="F46" s="179">
        <f t="shared" si="5"/>
        <v>0.75918928376829475</v>
      </c>
      <c r="G46" s="180">
        <v>0</v>
      </c>
      <c r="H46" s="181">
        <f t="shared" si="6"/>
        <v>0</v>
      </c>
      <c r="I46" s="151"/>
      <c r="J46" s="182"/>
      <c r="K46" s="183">
        <v>1</v>
      </c>
      <c r="L46" s="184">
        <f t="shared" si="7"/>
        <v>1100</v>
      </c>
      <c r="M46" s="191">
        <v>0</v>
      </c>
      <c r="N46" s="186">
        <f t="shared" si="8"/>
        <v>0</v>
      </c>
      <c r="O46" s="186">
        <f t="shared" si="9"/>
        <v>0</v>
      </c>
      <c r="P46" s="187">
        <f t="shared" si="10"/>
        <v>0</v>
      </c>
      <c r="Q46" s="188"/>
      <c r="R46" s="188"/>
    </row>
    <row r="47" spans="4:18" s="189" customFormat="1" hidden="1">
      <c r="D47" s="178">
        <v>20</v>
      </c>
      <c r="E47" s="151"/>
      <c r="F47" s="179">
        <f t="shared" si="5"/>
        <v>0.75918928376829475</v>
      </c>
      <c r="G47" s="180">
        <v>0</v>
      </c>
      <c r="H47" s="181">
        <f t="shared" si="6"/>
        <v>0</v>
      </c>
      <c r="I47" s="151"/>
      <c r="J47" s="182"/>
      <c r="K47" s="183">
        <v>1</v>
      </c>
      <c r="L47" s="184">
        <f t="shared" si="7"/>
        <v>1100</v>
      </c>
      <c r="M47" s="191">
        <v>0</v>
      </c>
      <c r="N47" s="186">
        <f t="shared" si="8"/>
        <v>0</v>
      </c>
      <c r="O47" s="186">
        <f t="shared" si="9"/>
        <v>0</v>
      </c>
      <c r="P47" s="187">
        <f t="shared" si="10"/>
        <v>0</v>
      </c>
      <c r="Q47" s="188"/>
      <c r="R47" s="188"/>
    </row>
    <row r="48" spans="4:18" s="189" customFormat="1" hidden="1">
      <c r="D48" s="178">
        <v>21</v>
      </c>
      <c r="E48" s="151"/>
      <c r="F48" s="179">
        <f t="shared" si="5"/>
        <v>0.75918928376829475</v>
      </c>
      <c r="G48" s="180">
        <v>0</v>
      </c>
      <c r="H48" s="181">
        <f t="shared" si="6"/>
        <v>0</v>
      </c>
      <c r="I48" s="151"/>
      <c r="J48" s="182"/>
      <c r="K48" s="183">
        <v>1</v>
      </c>
      <c r="L48" s="184">
        <f t="shared" si="7"/>
        <v>1100</v>
      </c>
      <c r="M48" s="191">
        <v>0</v>
      </c>
      <c r="N48" s="186">
        <f t="shared" si="8"/>
        <v>0</v>
      </c>
      <c r="O48" s="186">
        <f t="shared" si="9"/>
        <v>0</v>
      </c>
      <c r="P48" s="187">
        <f t="shared" si="10"/>
        <v>0</v>
      </c>
      <c r="Q48" s="188"/>
      <c r="R48" s="188"/>
    </row>
    <row r="49" spans="4:18" s="189" customFormat="1" hidden="1">
      <c r="D49" s="178">
        <v>22</v>
      </c>
      <c r="E49" s="151"/>
      <c r="F49" s="179">
        <f t="shared" si="5"/>
        <v>0.75918928376829475</v>
      </c>
      <c r="G49" s="180">
        <v>0</v>
      </c>
      <c r="H49" s="181">
        <f t="shared" si="6"/>
        <v>0</v>
      </c>
      <c r="I49" s="151"/>
      <c r="J49" s="182"/>
      <c r="K49" s="183">
        <v>1</v>
      </c>
      <c r="L49" s="184">
        <f t="shared" si="7"/>
        <v>1100</v>
      </c>
      <c r="M49" s="191">
        <v>0</v>
      </c>
      <c r="N49" s="186">
        <f t="shared" si="8"/>
        <v>0</v>
      </c>
      <c r="O49" s="186">
        <f t="shared" si="9"/>
        <v>0</v>
      </c>
      <c r="P49" s="187">
        <f t="shared" si="10"/>
        <v>0</v>
      </c>
      <c r="Q49" s="188"/>
      <c r="R49" s="188"/>
    </row>
    <row r="50" spans="4:18" s="189" customFormat="1" hidden="1">
      <c r="D50" s="178">
        <v>23</v>
      </c>
      <c r="E50" s="151"/>
      <c r="F50" s="179">
        <f t="shared" si="5"/>
        <v>0.75918928376829475</v>
      </c>
      <c r="G50" s="180">
        <v>0</v>
      </c>
      <c r="H50" s="181">
        <f t="shared" si="6"/>
        <v>0</v>
      </c>
      <c r="I50" s="151"/>
      <c r="J50" s="182"/>
      <c r="K50" s="183">
        <v>1</v>
      </c>
      <c r="L50" s="184">
        <f t="shared" si="7"/>
        <v>1100</v>
      </c>
      <c r="M50" s="191">
        <v>0</v>
      </c>
      <c r="N50" s="186">
        <f t="shared" si="8"/>
        <v>0</v>
      </c>
      <c r="O50" s="186">
        <f t="shared" si="9"/>
        <v>0</v>
      </c>
      <c r="P50" s="187">
        <f t="shared" si="10"/>
        <v>0</v>
      </c>
      <c r="Q50" s="188"/>
      <c r="R50" s="188"/>
    </row>
    <row r="51" spans="4:18" s="189" customFormat="1" hidden="1">
      <c r="D51" s="178">
        <v>24</v>
      </c>
      <c r="E51" s="133"/>
      <c r="F51" s="179">
        <f t="shared" si="5"/>
        <v>0.75918928376829475</v>
      </c>
      <c r="G51" s="180">
        <v>0</v>
      </c>
      <c r="H51" s="181">
        <f t="shared" si="6"/>
        <v>0</v>
      </c>
      <c r="I51" s="151"/>
      <c r="J51" s="182"/>
      <c r="K51" s="183">
        <v>1</v>
      </c>
      <c r="L51" s="184">
        <f t="shared" si="7"/>
        <v>1100</v>
      </c>
      <c r="M51" s="191">
        <v>0</v>
      </c>
      <c r="N51" s="186">
        <f t="shared" si="8"/>
        <v>0</v>
      </c>
      <c r="O51" s="186">
        <f t="shared" si="9"/>
        <v>0</v>
      </c>
      <c r="P51" s="187">
        <f t="shared" si="10"/>
        <v>0</v>
      </c>
      <c r="Q51" s="188"/>
      <c r="R51" s="188"/>
    </row>
    <row r="52" spans="4:18" s="189" customFormat="1" hidden="1">
      <c r="D52" s="178">
        <v>25</v>
      </c>
      <c r="E52" s="133"/>
      <c r="F52" s="179">
        <f t="shared" si="5"/>
        <v>0.75918928376829475</v>
      </c>
      <c r="G52" s="180">
        <v>0</v>
      </c>
      <c r="H52" s="181">
        <f t="shared" si="6"/>
        <v>0</v>
      </c>
      <c r="I52" s="151"/>
      <c r="J52" s="182"/>
      <c r="K52" s="183">
        <v>1</v>
      </c>
      <c r="L52" s="184">
        <f t="shared" si="7"/>
        <v>1100</v>
      </c>
      <c r="M52" s="191">
        <v>0</v>
      </c>
      <c r="N52" s="186">
        <f t="shared" si="8"/>
        <v>0</v>
      </c>
      <c r="O52" s="186">
        <f t="shared" si="9"/>
        <v>0</v>
      </c>
      <c r="P52" s="187">
        <f t="shared" si="10"/>
        <v>0</v>
      </c>
      <c r="Q52" s="188"/>
      <c r="R52" s="188"/>
    </row>
    <row r="53" spans="4:18" s="189" customFormat="1" hidden="1">
      <c r="D53" s="178">
        <v>26</v>
      </c>
      <c r="E53" s="133"/>
      <c r="F53" s="179">
        <f t="shared" si="5"/>
        <v>0.75918928376829475</v>
      </c>
      <c r="G53" s="180">
        <v>0</v>
      </c>
      <c r="H53" s="181">
        <f t="shared" si="6"/>
        <v>0</v>
      </c>
      <c r="I53" s="151"/>
      <c r="J53" s="182"/>
      <c r="K53" s="183">
        <v>1</v>
      </c>
      <c r="L53" s="184">
        <f t="shared" si="7"/>
        <v>1100</v>
      </c>
      <c r="M53" s="191">
        <v>0</v>
      </c>
      <c r="N53" s="186">
        <f t="shared" si="8"/>
        <v>0</v>
      </c>
      <c r="O53" s="186">
        <f t="shared" si="9"/>
        <v>0</v>
      </c>
      <c r="P53" s="187">
        <f t="shared" si="10"/>
        <v>0</v>
      </c>
      <c r="Q53" s="188"/>
      <c r="R53" s="188"/>
    </row>
    <row r="54" spans="4:18" s="189" customFormat="1">
      <c r="D54" s="193" t="s">
        <v>41</v>
      </c>
      <c r="E54" s="194"/>
      <c r="F54" s="179">
        <f>F53+G54+H54</f>
        <v>0.75918928376829475</v>
      </c>
      <c r="G54" s="180">
        <v>0</v>
      </c>
      <c r="H54" s="181">
        <f t="shared" si="6"/>
        <v>0</v>
      </c>
      <c r="I54" s="181">
        <f>SUM(G54:H54)</f>
        <v>0</v>
      </c>
      <c r="J54" s="182"/>
      <c r="K54" s="183">
        <v>1</v>
      </c>
      <c r="L54" s="184">
        <f t="shared" si="7"/>
        <v>1100</v>
      </c>
      <c r="M54" s="191">
        <v>0</v>
      </c>
      <c r="N54" s="186">
        <f t="shared" si="8"/>
        <v>0</v>
      </c>
      <c r="O54" s="186">
        <f t="shared" si="9"/>
        <v>0</v>
      </c>
      <c r="P54" s="187">
        <f>(1-K54)*F53</f>
        <v>0</v>
      </c>
      <c r="Q54" s="188"/>
      <c r="R54" s="188"/>
    </row>
    <row r="55" spans="4:18" s="189" customFormat="1">
      <c r="D55" s="193" t="s">
        <v>42</v>
      </c>
      <c r="E55" s="194"/>
      <c r="F55" s="179">
        <f t="shared" si="5"/>
        <v>0.78431403470477801</v>
      </c>
      <c r="G55" s="180">
        <v>2.5124750936483236E-2</v>
      </c>
      <c r="H55" s="181">
        <f t="shared" si="6"/>
        <v>0</v>
      </c>
      <c r="I55" s="195">
        <f>SUM(G55:H55)</f>
        <v>2.5124750936483236E-2</v>
      </c>
      <c r="J55" s="182"/>
      <c r="K55" s="183">
        <v>1</v>
      </c>
      <c r="L55" s="184">
        <f>(1-K55)*L57+L57</f>
        <v>1100</v>
      </c>
      <c r="M55" s="191">
        <v>0</v>
      </c>
      <c r="N55" s="186">
        <f t="shared" si="8"/>
        <v>0</v>
      </c>
      <c r="O55" s="186">
        <f t="shared" si="9"/>
        <v>0</v>
      </c>
      <c r="P55" s="187">
        <f t="shared" si="10"/>
        <v>0</v>
      </c>
      <c r="Q55" s="188"/>
      <c r="R55" s="188"/>
    </row>
    <row r="56" spans="4:18" s="189" customFormat="1">
      <c r="D56" s="193" t="s">
        <v>43</v>
      </c>
      <c r="E56" s="196"/>
      <c r="F56" s="179">
        <f>F55</f>
        <v>0.78431403470477801</v>
      </c>
      <c r="G56" s="179">
        <f>SUM(G27:G55)</f>
        <v>0.63577853381721994</v>
      </c>
      <c r="H56" s="197">
        <f>SUM(H27:H55)</f>
        <v>0.14853550088755796</v>
      </c>
      <c r="I56" s="196"/>
      <c r="J56" s="196"/>
      <c r="K56" s="196"/>
      <c r="L56" s="198"/>
      <c r="M56" s="196"/>
      <c r="N56" s="196"/>
      <c r="O56" s="196"/>
      <c r="P56" s="199"/>
      <c r="Q56" s="188"/>
      <c r="R56" s="188"/>
    </row>
    <row r="57" spans="4:18" s="189" customFormat="1">
      <c r="D57" s="193" t="s">
        <v>44</v>
      </c>
      <c r="E57" s="200"/>
      <c r="F57" s="179">
        <f>F56+H57</f>
        <v>0.78431403470477801</v>
      </c>
      <c r="G57" s="179"/>
      <c r="H57" s="201">
        <v>0</v>
      </c>
      <c r="I57" s="202"/>
      <c r="J57" s="202"/>
      <c r="K57" s="203" t="s">
        <v>45</v>
      </c>
      <c r="L57" s="204">
        <f>F14</f>
        <v>1100</v>
      </c>
      <c r="M57" s="202"/>
      <c r="N57" s="202"/>
      <c r="O57" s="202"/>
      <c r="P57" s="205"/>
      <c r="Q57" s="188"/>
      <c r="R57" s="188"/>
    </row>
    <row r="58" spans="4:18" s="189" customFormat="1">
      <c r="D58" s="193" t="s">
        <v>46</v>
      </c>
      <c r="E58" s="206">
        <v>4.1200000000000001E-2</v>
      </c>
      <c r="F58" s="179">
        <f>F57+H58</f>
        <v>0.81662777293461486</v>
      </c>
      <c r="G58" s="179"/>
      <c r="H58" s="207">
        <f>F55*E58</f>
        <v>3.2313738229836853E-2</v>
      </c>
      <c r="I58" s="202"/>
      <c r="J58" s="202"/>
      <c r="K58" s="202"/>
      <c r="L58" s="208"/>
      <c r="M58" s="202"/>
      <c r="N58" s="202"/>
      <c r="O58" s="202"/>
      <c r="P58" s="205"/>
      <c r="Q58" s="188"/>
      <c r="R58" s="188"/>
    </row>
    <row r="59" spans="4:18" s="189" customFormat="1">
      <c r="D59" s="193" t="s">
        <v>47</v>
      </c>
      <c r="E59" s="209">
        <v>4.1300000000000003E-2</v>
      </c>
      <c r="F59" s="179">
        <f>F58+H59</f>
        <v>0.84901994256792224</v>
      </c>
      <c r="G59" s="179"/>
      <c r="H59" s="207">
        <f>F56*E59</f>
        <v>3.2392169633307336E-2</v>
      </c>
      <c r="I59" s="196"/>
      <c r="J59" s="210"/>
      <c r="K59" s="210"/>
      <c r="L59" s="198"/>
      <c r="M59" s="202"/>
      <c r="N59" s="202"/>
      <c r="O59" s="202"/>
      <c r="P59" s="205"/>
      <c r="Q59" s="188"/>
      <c r="R59" s="188"/>
    </row>
    <row r="60" spans="4:18" s="189" customFormat="1">
      <c r="D60" s="193" t="s">
        <v>48</v>
      </c>
      <c r="E60" s="211" t="s">
        <v>49</v>
      </c>
      <c r="F60" s="179">
        <f>F59+H60</f>
        <v>0.84901994256792224</v>
      </c>
      <c r="G60" s="179"/>
      <c r="H60" s="201">
        <v>0</v>
      </c>
      <c r="I60" s="212"/>
      <c r="J60" s="202"/>
      <c r="K60" s="202"/>
      <c r="L60" s="213"/>
      <c r="M60" s="202"/>
      <c r="N60" s="202"/>
      <c r="O60" s="202"/>
      <c r="P60" s="205"/>
      <c r="Q60" s="188"/>
      <c r="R60" s="188"/>
    </row>
    <row r="61" spans="4:18" s="221" customFormat="1" ht="21" thickBot="1">
      <c r="D61" s="214" t="s">
        <v>50</v>
      </c>
      <c r="E61" s="215"/>
      <c r="F61" s="216">
        <f>F60</f>
        <v>0.84901994256792224</v>
      </c>
      <c r="G61" s="217"/>
      <c r="H61" s="217"/>
      <c r="I61" s="218"/>
      <c r="J61" s="218"/>
      <c r="K61" s="218"/>
      <c r="L61" s="219"/>
      <c r="M61" s="218"/>
      <c r="N61" s="218"/>
      <c r="O61" s="218"/>
      <c r="P61" s="220"/>
    </row>
    <row r="62" spans="4:18" ht="5" customHeight="1">
      <c r="D62" s="105"/>
      <c r="E62" s="106"/>
      <c r="F62" s="107"/>
      <c r="G62" s="108"/>
      <c r="H62" s="108"/>
      <c r="I62" s="109"/>
      <c r="J62" s="109"/>
      <c r="K62" s="109"/>
      <c r="L62" s="110"/>
      <c r="M62" s="109"/>
      <c r="N62" s="109"/>
      <c r="O62" s="109"/>
      <c r="P62" s="111"/>
      <c r="Q62" s="49"/>
      <c r="R62" s="49"/>
    </row>
    <row r="63" spans="4:18">
      <c r="D63" s="112" t="s">
        <v>51</v>
      </c>
      <c r="E63" s="113"/>
      <c r="F63" s="114">
        <f>SUM(H27:H55)</f>
        <v>0.14853550088755796</v>
      </c>
      <c r="G63" s="86"/>
      <c r="H63" s="102"/>
      <c r="I63" s="95"/>
      <c r="J63" s="95"/>
      <c r="K63" s="95"/>
      <c r="L63" s="97"/>
      <c r="M63" s="95"/>
      <c r="N63" s="102"/>
      <c r="O63" s="102"/>
      <c r="P63" s="115"/>
      <c r="Q63" s="49"/>
      <c r="R63" s="49"/>
    </row>
    <row r="64" spans="4:18">
      <c r="D64" s="116" t="s">
        <v>52</v>
      </c>
      <c r="E64" s="113"/>
      <c r="F64" s="114">
        <f>SUM(N28:N55)</f>
        <v>0.12068302705637164</v>
      </c>
      <c r="G64" s="86"/>
      <c r="H64" s="102"/>
      <c r="I64" s="95"/>
      <c r="J64" s="95"/>
      <c r="K64" s="95"/>
      <c r="L64" s="97"/>
      <c r="M64" s="95"/>
      <c r="N64" s="91"/>
      <c r="O64" s="91"/>
      <c r="P64" s="92"/>
      <c r="Q64" s="49"/>
      <c r="R64" s="49"/>
    </row>
    <row r="65" spans="4:18">
      <c r="D65" s="116" t="s">
        <v>53</v>
      </c>
      <c r="E65" s="113"/>
      <c r="F65" s="114">
        <f>SUM(O28:O55)</f>
        <v>1.1467507817880108E-3</v>
      </c>
      <c r="G65" s="86"/>
      <c r="H65" s="102"/>
      <c r="I65" s="95"/>
      <c r="J65" s="95"/>
      <c r="K65" s="95"/>
      <c r="L65" s="97"/>
      <c r="M65" s="95"/>
      <c r="N65" s="91"/>
      <c r="O65" s="91"/>
      <c r="P65" s="92"/>
      <c r="Q65" s="49"/>
      <c r="R65" s="49"/>
    </row>
    <row r="66" spans="4:18">
      <c r="D66" s="116" t="s">
        <v>54</v>
      </c>
      <c r="E66" s="113"/>
      <c r="F66" s="114">
        <f>SUM(P28:P55)</f>
        <v>2.6705723049398344E-2</v>
      </c>
      <c r="G66" s="86"/>
      <c r="H66" s="102"/>
      <c r="I66" s="95"/>
      <c r="J66" s="95"/>
      <c r="K66" s="95"/>
      <c r="L66" s="97"/>
      <c r="M66" s="95"/>
      <c r="N66" s="91"/>
      <c r="O66" s="91"/>
      <c r="P66" s="92"/>
      <c r="Q66" s="49"/>
      <c r="R66" s="49"/>
    </row>
    <row r="67" spans="4:18">
      <c r="D67" s="112" t="s">
        <v>55</v>
      </c>
      <c r="E67" s="113"/>
      <c r="F67" s="117">
        <f>SUM(G27:G55)</f>
        <v>0.63577853381721994</v>
      </c>
      <c r="G67" s="102"/>
      <c r="H67" s="89"/>
      <c r="I67" s="95"/>
      <c r="J67" s="95"/>
      <c r="K67" s="95"/>
      <c r="L67" s="97"/>
      <c r="M67" s="95"/>
      <c r="N67" s="95"/>
      <c r="O67" s="95"/>
      <c r="P67" s="98"/>
      <c r="Q67" s="49"/>
      <c r="R67" s="49"/>
    </row>
    <row r="68" spans="4:18" ht="5" customHeight="1"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20"/>
      <c r="Q68" s="49"/>
      <c r="R68" s="49"/>
    </row>
    <row r="69" spans="4:18" ht="20">
      <c r="D69" s="159" t="s">
        <v>56</v>
      </c>
      <c r="E69" s="160"/>
      <c r="F69" s="160"/>
      <c r="G69" s="160"/>
      <c r="H69" s="160"/>
      <c r="I69" s="160"/>
      <c r="J69" s="165">
        <f>SUM(J28:J55)</f>
        <v>56</v>
      </c>
      <c r="K69" s="160"/>
      <c r="L69" s="102"/>
      <c r="M69" s="102"/>
      <c r="N69" s="102"/>
      <c r="O69" s="102"/>
      <c r="P69" s="115"/>
    </row>
    <row r="70" spans="4:18" ht="21" thickBot="1">
      <c r="D70" s="161" t="s">
        <v>34</v>
      </c>
      <c r="E70" s="162"/>
      <c r="F70" s="162"/>
      <c r="G70" s="162"/>
      <c r="H70" s="162"/>
      <c r="I70" s="162"/>
      <c r="J70" s="162"/>
      <c r="K70" s="166">
        <f>PRODUCT(K28:K55)</f>
        <v>0.8455746450858288</v>
      </c>
      <c r="L70" s="121"/>
      <c r="M70" s="121"/>
      <c r="N70" s="121"/>
      <c r="O70" s="121"/>
      <c r="P70" s="122"/>
    </row>
    <row r="72" spans="4:18" ht="15" thickBot="1">
      <c r="D72" s="123" t="s">
        <v>57</v>
      </c>
    </row>
    <row r="73" spans="4:18">
      <c r="D73" s="237"/>
      <c r="E73" s="238"/>
      <c r="F73" s="238"/>
      <c r="G73" s="238"/>
      <c r="H73" s="239"/>
    </row>
    <row r="74" spans="4:18">
      <c r="D74" s="240"/>
      <c r="E74" s="241"/>
      <c r="F74" s="241"/>
      <c r="G74" s="241"/>
      <c r="H74" s="242"/>
    </row>
    <row r="75" spans="4:18" ht="15" thickBot="1">
      <c r="D75" s="243"/>
      <c r="E75" s="244"/>
      <c r="F75" s="244"/>
      <c r="G75" s="244"/>
      <c r="H75" s="245"/>
    </row>
  </sheetData>
  <mergeCells count="4">
    <mergeCell ref="D7:D9"/>
    <mergeCell ref="D12:D14"/>
    <mergeCell ref="D18:D24"/>
    <mergeCell ref="D73:H75"/>
  </mergeCells>
  <dataValidations count="9">
    <dataValidation type="decimal" operator="greaterThan" allowBlank="1" showInputMessage="1" showErrorMessage="1" errorTitle="Invalid format" error="Must enter number only" sqref="H12:H14 F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hyperlinks>
    <hyperlink ref="H7" r:id="rId1"/>
    <hyperlink ref="J9" r:id="rId2"/>
  </hyperlinks>
  <pageMargins left="0.7" right="0.7" top="0.75" bottom="0.75" header="0.3" footer="0.3"/>
  <pageSetup scale="32" orientation="portrait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D1:Y75"/>
  <sheetViews>
    <sheetView showGridLines="0" view="pageBreakPreview" topLeftCell="B39" zoomScale="70" zoomScaleNormal="80" zoomScaleSheetLayoutView="70" zoomScalePageLayoutView="80" workbookViewId="0">
      <selection activeCell="I12" sqref="I12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58.33203125" style="4" bestFit="1" customWidth="1"/>
    <col min="6" max="6" width="20.1640625" style="4" customWidth="1"/>
    <col min="7" max="7" width="25.83203125" style="4" customWidth="1"/>
    <col min="8" max="8" width="20.1640625" style="4" customWidth="1"/>
    <col min="9" max="9" width="46.33203125" style="4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24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231" t="s">
        <v>2</v>
      </c>
      <c r="E7" s="24" t="s">
        <v>3</v>
      </c>
      <c r="F7" s="132" t="s">
        <v>61</v>
      </c>
      <c r="G7" s="25" t="s">
        <v>4</v>
      </c>
      <c r="H7" s="132"/>
      <c r="I7" s="26" t="s">
        <v>5</v>
      </c>
      <c r="J7" s="135"/>
      <c r="S7" s="28"/>
      <c r="T7" s="28"/>
      <c r="U7" s="28"/>
      <c r="V7" s="28"/>
      <c r="W7" s="28"/>
      <c r="X7" s="28"/>
    </row>
    <row r="8" spans="4:24" s="32" customFormat="1" ht="14.25" customHeight="1">
      <c r="D8" s="232"/>
      <c r="E8" s="29" t="s">
        <v>6</v>
      </c>
      <c r="F8" s="133"/>
      <c r="G8" s="30" t="s">
        <v>7</v>
      </c>
      <c r="H8" s="133"/>
      <c r="I8" s="31" t="s">
        <v>8</v>
      </c>
      <c r="J8" s="136"/>
      <c r="S8" s="33"/>
      <c r="T8" s="33"/>
      <c r="U8" s="33"/>
      <c r="V8" s="33"/>
      <c r="W8" s="33"/>
      <c r="X8" s="34"/>
    </row>
    <row r="9" spans="4:24" s="38" customFormat="1" ht="14.25" customHeight="1" thickBot="1">
      <c r="D9" s="233"/>
      <c r="E9" s="35" t="s">
        <v>9</v>
      </c>
      <c r="F9" s="134"/>
      <c r="G9" s="36" t="s">
        <v>10</v>
      </c>
      <c r="H9" s="167">
        <f ca="1">TODAY()</f>
        <v>42590</v>
      </c>
      <c r="I9" s="37" t="s">
        <v>11</v>
      </c>
      <c r="J9" s="137"/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234" t="s">
        <v>12</v>
      </c>
      <c r="E12" s="51" t="s">
        <v>13</v>
      </c>
      <c r="F12" s="138" t="s">
        <v>63</v>
      </c>
      <c r="G12" s="25" t="s">
        <v>14</v>
      </c>
      <c r="H12" s="169">
        <v>10</v>
      </c>
      <c r="I12" s="43"/>
      <c r="K12" s="49"/>
      <c r="L12" s="49"/>
      <c r="M12" s="49"/>
      <c r="N12" s="49"/>
      <c r="O12" s="49"/>
      <c r="P12" s="49"/>
      <c r="Q12" s="49"/>
      <c r="R12" s="49"/>
    </row>
    <row r="13" spans="4:24">
      <c r="D13" s="235"/>
      <c r="E13" s="52" t="s">
        <v>15</v>
      </c>
      <c r="F13" s="138" t="s">
        <v>62</v>
      </c>
      <c r="G13" s="30" t="s">
        <v>16</v>
      </c>
      <c r="H13" s="170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236"/>
      <c r="E14" s="53" t="s">
        <v>17</v>
      </c>
      <c r="F14" s="168">
        <f>ROUNDUP(3600/J69*20*K70,-2)</f>
        <v>1000</v>
      </c>
      <c r="G14" s="36" t="s">
        <v>18</v>
      </c>
      <c r="H14" s="171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57" hidden="1" thickBot="1">
      <c r="D16" s="60"/>
      <c r="E16" s="61"/>
      <c r="F16" s="56" t="str">
        <f>F18&amp;"/"&amp;F19&amp;"/"&amp;TEXT(F20,"$#,###.000")&amp;"/"&amp;TEXT(F22,"$#,###.000")</f>
        <v xml:space="preserve"> ABS HI121H, Black /ABS/$1.957/$.007</v>
      </c>
      <c r="G16" s="62" t="str">
        <f t="shared" ref="G16:P16" si="0">G18&amp;"/"&amp;G19&amp;"/"&amp;TEXT(G20,"$#,###.000")&amp;"/"&amp;TEXT(G22,"$#,###.000")</f>
        <v xml:space="preserve"> TPU 70 shore A, with /TPU/$13.536/$.039</v>
      </c>
      <c r="H16" s="63" t="str">
        <f t="shared" si="0"/>
        <v>NORYL RESIN PKN4752 COOL GREY 11C/NORYL/$15.967/$.018</v>
      </c>
      <c r="I16" s="64" t="str">
        <f t="shared" si="0"/>
        <v>//$.000/$.000</v>
      </c>
      <c r="J16" s="64" t="str">
        <f t="shared" si="0"/>
        <v>//$.000/$.000</v>
      </c>
      <c r="K16" s="65" t="str">
        <f t="shared" si="0"/>
        <v>//$.000/$.000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 t="str">
        <f t="shared" si="1"/>
        <v/>
      </c>
      <c r="J17" s="64" t="str">
        <f t="shared" si="1"/>
        <v/>
      </c>
      <c r="K17" s="65" t="str">
        <f t="shared" si="1"/>
        <v/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234" t="s">
        <v>19</v>
      </c>
      <c r="E18" s="51" t="s">
        <v>20</v>
      </c>
      <c r="F18" s="140" t="s">
        <v>64</v>
      </c>
      <c r="G18" s="141" t="s">
        <v>74</v>
      </c>
      <c r="H18" s="141" t="s">
        <v>73</v>
      </c>
      <c r="I18" s="141"/>
      <c r="J18" s="141"/>
      <c r="K18" s="141"/>
      <c r="L18" s="141"/>
      <c r="M18" s="141"/>
      <c r="N18" s="141"/>
      <c r="O18" s="141"/>
      <c r="P18" s="142"/>
      <c r="Q18" s="49"/>
      <c r="R18" s="49"/>
      <c r="S18" s="49"/>
      <c r="T18" s="49"/>
    </row>
    <row r="19" spans="4:25">
      <c r="D19" s="235"/>
      <c r="E19" s="52" t="s">
        <v>21</v>
      </c>
      <c r="F19" s="143" t="s">
        <v>65</v>
      </c>
      <c r="G19" s="144" t="s">
        <v>66</v>
      </c>
      <c r="H19" s="144" t="s">
        <v>75</v>
      </c>
      <c r="I19" s="144"/>
      <c r="J19" s="144"/>
      <c r="K19" s="144"/>
      <c r="L19" s="144"/>
      <c r="M19" s="144"/>
      <c r="N19" s="144"/>
      <c r="O19" s="144"/>
      <c r="P19" s="145"/>
      <c r="Q19" s="49"/>
      <c r="R19" s="49"/>
      <c r="S19" s="49"/>
      <c r="T19" s="49"/>
    </row>
    <row r="20" spans="4:25">
      <c r="D20" s="235"/>
      <c r="E20" s="52" t="s">
        <v>22</v>
      </c>
      <c r="F20" s="172">
        <v>1.9570000000000001</v>
      </c>
      <c r="G20" s="173">
        <v>13.535646616541355</v>
      </c>
      <c r="H20" s="173">
        <v>15.966600000000001</v>
      </c>
      <c r="I20" s="146"/>
      <c r="J20" s="146"/>
      <c r="K20" s="146"/>
      <c r="L20" s="146"/>
      <c r="M20" s="146"/>
      <c r="N20" s="146"/>
      <c r="O20" s="146"/>
      <c r="P20" s="147"/>
      <c r="Q20" s="49"/>
      <c r="R20" s="49"/>
      <c r="S20" s="49"/>
      <c r="T20" s="49"/>
    </row>
    <row r="21" spans="4:25">
      <c r="D21" s="235"/>
      <c r="E21" s="52" t="s">
        <v>23</v>
      </c>
      <c r="F21" s="143">
        <f>3.37/1000</f>
        <v>3.3700000000000002E-3</v>
      </c>
      <c r="G21" s="144">
        <f>2.9/1000</f>
        <v>2.8999999999999998E-3</v>
      </c>
      <c r="H21" s="144">
        <f>1.1/1000</f>
        <v>1.1000000000000001E-3</v>
      </c>
      <c r="I21" s="144"/>
      <c r="J21" s="144"/>
      <c r="K21" s="144"/>
      <c r="L21" s="144"/>
      <c r="M21" s="144"/>
      <c r="N21" s="144"/>
      <c r="O21" s="144"/>
      <c r="P21" s="145"/>
      <c r="Q21" s="49"/>
      <c r="R21" s="49"/>
      <c r="S21" s="49"/>
      <c r="T21" s="49"/>
    </row>
    <row r="22" spans="4:25">
      <c r="D22" s="235"/>
      <c r="E22" s="52" t="s">
        <v>24</v>
      </c>
      <c r="F22" s="67">
        <f t="shared" ref="F22:K22" si="2">F20*F21</f>
        <v>6.5950900000000005E-3</v>
      </c>
      <c r="G22" s="68">
        <f t="shared" si="2"/>
        <v>3.9253375187969924E-2</v>
      </c>
      <c r="H22" s="68">
        <f t="shared" si="2"/>
        <v>1.7563260000000004E-2</v>
      </c>
      <c r="I22" s="68">
        <f t="shared" si="2"/>
        <v>0</v>
      </c>
      <c r="J22" s="68">
        <f t="shared" si="2"/>
        <v>0</v>
      </c>
      <c r="K22" s="68">
        <f t="shared" si="2"/>
        <v>0</v>
      </c>
      <c r="L22" s="68">
        <f>L20*L21</f>
        <v>0</v>
      </c>
      <c r="M22" s="68">
        <f>M20*M21</f>
        <v>0</v>
      </c>
      <c r="N22" s="68">
        <f>N20*N21</f>
        <v>0</v>
      </c>
      <c r="O22" s="68">
        <f>O20*O21</f>
        <v>0</v>
      </c>
      <c r="P22" s="69">
        <f>P20*P21</f>
        <v>0</v>
      </c>
      <c r="Q22" s="49"/>
      <c r="R22" s="49"/>
      <c r="S22" s="49"/>
      <c r="T22" s="49"/>
    </row>
    <row r="23" spans="4:25">
      <c r="D23" s="235"/>
      <c r="E23" s="52" t="s">
        <v>25</v>
      </c>
      <c r="F23" s="143">
        <v>1</v>
      </c>
      <c r="G23" s="139">
        <v>1</v>
      </c>
      <c r="H23" s="139">
        <v>1</v>
      </c>
      <c r="I23" s="139"/>
      <c r="J23" s="139"/>
      <c r="K23" s="139"/>
      <c r="L23" s="139"/>
      <c r="M23" s="139"/>
      <c r="N23" s="139"/>
      <c r="O23" s="139"/>
      <c r="P23" s="148"/>
      <c r="Q23" s="49"/>
      <c r="R23" s="49"/>
      <c r="S23" s="49"/>
      <c r="T23" s="49"/>
    </row>
    <row r="24" spans="4:25" ht="15" thickBot="1">
      <c r="D24" s="236"/>
      <c r="E24" s="53" t="s">
        <v>26</v>
      </c>
      <c r="F24" s="1">
        <f t="shared" ref="F24:P24" si="3">(F22*F23)</f>
        <v>6.5950900000000005E-3</v>
      </c>
      <c r="G24" s="2">
        <f t="shared" si="3"/>
        <v>3.9253375187969924E-2</v>
      </c>
      <c r="H24" s="2">
        <f t="shared" si="3"/>
        <v>1.7563260000000004E-2</v>
      </c>
      <c r="I24" s="2">
        <f t="shared" si="3"/>
        <v>0</v>
      </c>
      <c r="J24" s="2">
        <f t="shared" si="3"/>
        <v>0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70"/>
      <c r="E25" s="71"/>
      <c r="F25" s="72"/>
      <c r="G25" s="72"/>
      <c r="H25" s="72"/>
      <c r="I25" s="73"/>
      <c r="J25" s="7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>
      <c r="D26" s="74" t="s">
        <v>27</v>
      </c>
      <c r="E26" s="75" t="s">
        <v>28</v>
      </c>
      <c r="F26" s="76" t="s">
        <v>29</v>
      </c>
      <c r="G26" s="76" t="s">
        <v>30</v>
      </c>
      <c r="H26" s="76" t="s">
        <v>31</v>
      </c>
      <c r="I26" s="77" t="s">
        <v>32</v>
      </c>
      <c r="J26" s="78" t="s">
        <v>33</v>
      </c>
      <c r="K26" s="79" t="s">
        <v>34</v>
      </c>
      <c r="L26" s="80" t="s">
        <v>35</v>
      </c>
      <c r="M26" s="77" t="s">
        <v>36</v>
      </c>
      <c r="N26" s="76" t="s">
        <v>37</v>
      </c>
      <c r="O26" s="76" t="s">
        <v>38</v>
      </c>
      <c r="P26" s="81" t="s">
        <v>39</v>
      </c>
      <c r="Q26" s="49"/>
      <c r="R26" s="49"/>
    </row>
    <row r="27" spans="4:25">
      <c r="D27" s="82">
        <v>0</v>
      </c>
      <c r="E27" s="83"/>
      <c r="F27" s="84">
        <f>G27+H27</f>
        <v>6.341172518796992E-2</v>
      </c>
      <c r="G27" s="85">
        <f>SUM(F24:L24)</f>
        <v>6.341172518796992E-2</v>
      </c>
      <c r="H27" s="86">
        <v>0</v>
      </c>
      <c r="I27" s="83"/>
      <c r="J27" s="83"/>
      <c r="K27" s="83"/>
      <c r="L27" s="87" t="s">
        <v>40</v>
      </c>
      <c r="M27" s="83"/>
      <c r="N27" s="83"/>
      <c r="O27" s="83"/>
      <c r="P27" s="88"/>
      <c r="Q27" s="49"/>
      <c r="R27" s="49"/>
    </row>
    <row r="28" spans="4:25" s="189" customFormat="1">
      <c r="D28" s="178">
        <v>1</v>
      </c>
      <c r="E28" s="133" t="s">
        <v>76</v>
      </c>
      <c r="F28" s="179">
        <f t="shared" ref="F28:F55" si="4">F27+G28+H28</f>
        <v>7.4690976569513776E-2</v>
      </c>
      <c r="G28" s="180">
        <v>1.6000000000000001E-3</v>
      </c>
      <c r="H28" s="181">
        <f t="shared" ref="H28:H55" si="5">SUM(N28:P28)</f>
        <v>9.6792513815438554E-3</v>
      </c>
      <c r="I28" s="150" t="s">
        <v>68</v>
      </c>
      <c r="J28" s="182">
        <f>20/8</f>
        <v>2.5</v>
      </c>
      <c r="K28" s="183">
        <v>0.98</v>
      </c>
      <c r="L28" s="184">
        <f t="shared" ref="L28:L54" si="6">(1-K28)*L29+L29</f>
        <v>1172.7183115250998</v>
      </c>
      <c r="M28" s="190">
        <v>11.874376768636882</v>
      </c>
      <c r="N28" s="186">
        <f t="shared" ref="N28:N55" si="7">(M28/3600)*J28</f>
        <v>8.246094978220056E-3</v>
      </c>
      <c r="O28" s="186">
        <f t="shared" ref="O28:O55" si="8">(1-K28)*N28</f>
        <v>1.6492189956440127E-4</v>
      </c>
      <c r="P28" s="187">
        <f t="shared" ref="P28:P55" si="9">(1-K28)*F27</f>
        <v>1.2682345037593995E-3</v>
      </c>
      <c r="Q28" s="188"/>
      <c r="R28" s="188"/>
    </row>
    <row r="29" spans="4:25" s="189" customFormat="1">
      <c r="D29" s="178">
        <v>2</v>
      </c>
      <c r="E29" s="150" t="s">
        <v>77</v>
      </c>
      <c r="F29" s="179">
        <f t="shared" si="4"/>
        <v>8.5666442263211171E-2</v>
      </c>
      <c r="G29" s="180">
        <v>1.9E-3</v>
      </c>
      <c r="H29" s="181">
        <f t="shared" si="5"/>
        <v>9.0754656936973942E-3</v>
      </c>
      <c r="I29" s="150" t="s">
        <v>68</v>
      </c>
      <c r="J29" s="182">
        <f>20/8</f>
        <v>2.5</v>
      </c>
      <c r="K29" s="183">
        <v>0.99</v>
      </c>
      <c r="L29" s="184">
        <f t="shared" si="6"/>
        <v>1149.7238348285291</v>
      </c>
      <c r="M29" s="190">
        <v>11.874376768636882</v>
      </c>
      <c r="N29" s="186">
        <f t="shared" si="7"/>
        <v>8.246094978220056E-3</v>
      </c>
      <c r="O29" s="186">
        <f t="shared" si="8"/>
        <v>8.2460949782200635E-5</v>
      </c>
      <c r="P29" s="187">
        <f t="shared" si="9"/>
        <v>7.469097656951384E-4</v>
      </c>
      <c r="Q29" s="188"/>
      <c r="R29" s="188"/>
    </row>
    <row r="30" spans="4:25" s="189" customFormat="1">
      <c r="D30" s="178">
        <v>3</v>
      </c>
      <c r="E30" s="150" t="s">
        <v>71</v>
      </c>
      <c r="F30" s="179">
        <f t="shared" si="4"/>
        <v>9.7592097299776193E-2</v>
      </c>
      <c r="G30" s="180">
        <v>2.5999999999999999E-3</v>
      </c>
      <c r="H30" s="181">
        <f t="shared" si="5"/>
        <v>9.3256550365650101E-3</v>
      </c>
      <c r="I30" s="150" t="s">
        <v>80</v>
      </c>
      <c r="J30" s="182">
        <f>26/8</f>
        <v>3.25</v>
      </c>
      <c r="K30" s="183">
        <v>0.98</v>
      </c>
      <c r="L30" s="184">
        <f t="shared" si="6"/>
        <v>1138.3404305232962</v>
      </c>
      <c r="M30" s="190">
        <v>8.2667795742632961</v>
      </c>
      <c r="N30" s="186">
        <f t="shared" si="7"/>
        <v>7.4630648934321427E-3</v>
      </c>
      <c r="O30" s="186">
        <f t="shared" si="8"/>
        <v>1.4926129786864298E-4</v>
      </c>
      <c r="P30" s="187">
        <f t="shared" si="9"/>
        <v>1.713328845264225E-3</v>
      </c>
      <c r="Q30" s="188"/>
      <c r="R30" s="188"/>
    </row>
    <row r="31" spans="4:25" s="189" customFormat="1">
      <c r="D31" s="178">
        <v>4</v>
      </c>
      <c r="E31" s="150" t="s">
        <v>72</v>
      </c>
      <c r="F31" s="179">
        <f t="shared" si="4"/>
        <v>0.10975626543707251</v>
      </c>
      <c r="G31" s="180">
        <v>2.5999999999999999E-3</v>
      </c>
      <c r="H31" s="181">
        <f t="shared" si="5"/>
        <v>9.5641681372963111E-3</v>
      </c>
      <c r="I31" s="150" t="s">
        <v>80</v>
      </c>
      <c r="J31" s="182">
        <f>26/8</f>
        <v>3.25</v>
      </c>
      <c r="K31" s="183">
        <v>0.98</v>
      </c>
      <c r="L31" s="184">
        <f t="shared" si="6"/>
        <v>1116.0200299248002</v>
      </c>
      <c r="M31" s="190">
        <v>8.2667795742632961</v>
      </c>
      <c r="N31" s="186">
        <f t="shared" si="7"/>
        <v>7.4630648934321427E-3</v>
      </c>
      <c r="O31" s="186">
        <f t="shared" si="8"/>
        <v>1.4926129786864298E-4</v>
      </c>
      <c r="P31" s="187">
        <f t="shared" si="9"/>
        <v>1.9518419459955256E-3</v>
      </c>
      <c r="Q31" s="188"/>
      <c r="R31" s="188"/>
    </row>
    <row r="32" spans="4:25" s="189" customFormat="1">
      <c r="D32" s="178">
        <v>5</v>
      </c>
      <c r="E32" s="133" t="s">
        <v>69</v>
      </c>
      <c r="F32" s="179">
        <f t="shared" si="4"/>
        <v>0.12532762582005721</v>
      </c>
      <c r="G32" s="180">
        <v>4.3E-3</v>
      </c>
      <c r="H32" s="181">
        <f t="shared" si="5"/>
        <v>1.1271360382984697E-2</v>
      </c>
      <c r="I32" s="150" t="s">
        <v>80</v>
      </c>
      <c r="J32" s="182">
        <f>31/8</f>
        <v>3.875</v>
      </c>
      <c r="K32" s="183">
        <v>0.98</v>
      </c>
      <c r="L32" s="184">
        <f t="shared" si="6"/>
        <v>1094.1372842400001</v>
      </c>
      <c r="M32" s="190">
        <v>8.2667795742632961</v>
      </c>
      <c r="N32" s="186">
        <f t="shared" si="7"/>
        <v>8.898269680630632E-3</v>
      </c>
      <c r="O32" s="186">
        <f t="shared" si="8"/>
        <v>1.7796539361261281E-4</v>
      </c>
      <c r="P32" s="187">
        <f t="shared" si="9"/>
        <v>2.1951253087414521E-3</v>
      </c>
      <c r="Q32" s="188"/>
      <c r="R32" s="188"/>
    </row>
    <row r="33" spans="4:18" s="189" customFormat="1">
      <c r="D33" s="178">
        <v>6</v>
      </c>
      <c r="E33" s="133" t="s">
        <v>70</v>
      </c>
      <c r="F33" s="179">
        <f t="shared" si="4"/>
        <v>0.14121041341070162</v>
      </c>
      <c r="G33" s="180">
        <v>4.3E-3</v>
      </c>
      <c r="H33" s="181">
        <f t="shared" si="5"/>
        <v>1.1582787590644392E-2</v>
      </c>
      <c r="I33" s="150" t="s">
        <v>80</v>
      </c>
      <c r="J33" s="182">
        <f>31/8</f>
        <v>3.875</v>
      </c>
      <c r="K33" s="183">
        <v>0.98</v>
      </c>
      <c r="L33" s="184">
        <f t="shared" si="6"/>
        <v>1072.683612</v>
      </c>
      <c r="M33" s="190">
        <v>8.2667795742632961</v>
      </c>
      <c r="N33" s="186">
        <f t="shared" si="7"/>
        <v>8.898269680630632E-3</v>
      </c>
      <c r="O33" s="186">
        <f t="shared" si="8"/>
        <v>1.7796539361261281E-4</v>
      </c>
      <c r="P33" s="187">
        <f t="shared" si="9"/>
        <v>2.5065525164011467E-3</v>
      </c>
      <c r="Q33" s="188"/>
      <c r="R33" s="188"/>
    </row>
    <row r="34" spans="4:18" s="189" customFormat="1">
      <c r="D34" s="178">
        <v>7</v>
      </c>
      <c r="E34" s="133" t="s">
        <v>67</v>
      </c>
      <c r="F34" s="179">
        <f t="shared" si="4"/>
        <v>0.15518674024447857</v>
      </c>
      <c r="G34" s="180">
        <v>1.9E-3</v>
      </c>
      <c r="H34" s="181">
        <f t="shared" si="5"/>
        <v>1.2076326833776938E-2</v>
      </c>
      <c r="I34" s="150" t="s">
        <v>68</v>
      </c>
      <c r="J34" s="182">
        <f>22/8</f>
        <v>2.75</v>
      </c>
      <c r="K34" s="183">
        <v>0.98</v>
      </c>
      <c r="L34" s="184">
        <f t="shared" si="6"/>
        <v>1051.6505999999999</v>
      </c>
      <c r="M34" s="190">
        <v>11.874376768636882</v>
      </c>
      <c r="N34" s="186">
        <f t="shared" si="7"/>
        <v>9.0707044760420623E-3</v>
      </c>
      <c r="O34" s="186">
        <f t="shared" si="8"/>
        <v>1.8141408952084142E-4</v>
      </c>
      <c r="P34" s="187">
        <f t="shared" si="9"/>
        <v>2.8242082682140347E-3</v>
      </c>
      <c r="Q34" s="188"/>
      <c r="R34" s="188"/>
    </row>
    <row r="35" spans="4:18" s="189" customFormat="1">
      <c r="D35" s="178">
        <v>8</v>
      </c>
      <c r="E35" s="133" t="s">
        <v>81</v>
      </c>
      <c r="F35" s="179">
        <f t="shared" si="4"/>
        <v>0.2219484546980427</v>
      </c>
      <c r="G35" s="180">
        <v>6.2106112246229792E-2</v>
      </c>
      <c r="H35" s="181">
        <f t="shared" si="5"/>
        <v>4.6556022073343615E-3</v>
      </c>
      <c r="I35" s="151"/>
      <c r="J35" s="182"/>
      <c r="K35" s="183">
        <v>0.97</v>
      </c>
      <c r="L35" s="184">
        <f t="shared" si="6"/>
        <v>1031.03</v>
      </c>
      <c r="M35" s="191">
        <v>0</v>
      </c>
      <c r="N35" s="186">
        <f t="shared" si="7"/>
        <v>0</v>
      </c>
      <c r="O35" s="186">
        <f t="shared" si="8"/>
        <v>0</v>
      </c>
      <c r="P35" s="187">
        <f t="shared" si="9"/>
        <v>4.6556022073343615E-3</v>
      </c>
      <c r="Q35" s="188"/>
      <c r="R35" s="188"/>
    </row>
    <row r="36" spans="4:18" s="189" customFormat="1">
      <c r="D36" s="178">
        <v>9</v>
      </c>
      <c r="E36" s="151" t="s">
        <v>78</v>
      </c>
      <c r="F36" s="179">
        <f t="shared" si="4"/>
        <v>0.62594845469804272</v>
      </c>
      <c r="G36" s="180">
        <v>0.40400000000000003</v>
      </c>
      <c r="H36" s="181">
        <f t="shared" si="5"/>
        <v>0</v>
      </c>
      <c r="I36" s="151"/>
      <c r="J36" s="182"/>
      <c r="K36" s="183">
        <v>1</v>
      </c>
      <c r="L36" s="184">
        <f t="shared" si="6"/>
        <v>1001</v>
      </c>
      <c r="M36" s="191">
        <v>0</v>
      </c>
      <c r="N36" s="186">
        <f t="shared" si="7"/>
        <v>0</v>
      </c>
      <c r="O36" s="186">
        <f t="shared" si="8"/>
        <v>0</v>
      </c>
      <c r="P36" s="187">
        <f t="shared" si="9"/>
        <v>0</v>
      </c>
      <c r="Q36" s="188"/>
      <c r="R36" s="188"/>
    </row>
    <row r="37" spans="4:18" s="189" customFormat="1">
      <c r="D37" s="178">
        <v>10</v>
      </c>
      <c r="E37" s="151" t="s">
        <v>79</v>
      </c>
      <c r="F37" s="179">
        <f t="shared" si="4"/>
        <v>0.65107489978474797</v>
      </c>
      <c r="G37" s="180">
        <v>2.5126445086705203E-2</v>
      </c>
      <c r="H37" s="181">
        <f t="shared" si="5"/>
        <v>0</v>
      </c>
      <c r="I37" s="150"/>
      <c r="J37" s="182"/>
      <c r="K37" s="183">
        <v>1</v>
      </c>
      <c r="L37" s="184">
        <f t="shared" si="6"/>
        <v>1001</v>
      </c>
      <c r="M37" s="191">
        <v>0</v>
      </c>
      <c r="N37" s="186">
        <f t="shared" si="7"/>
        <v>0</v>
      </c>
      <c r="O37" s="186">
        <f t="shared" si="8"/>
        <v>0</v>
      </c>
      <c r="P37" s="187">
        <f t="shared" si="9"/>
        <v>0</v>
      </c>
      <c r="Q37" s="188"/>
      <c r="R37" s="188"/>
    </row>
    <row r="38" spans="4:18" s="189" customFormat="1" ht="28">
      <c r="D38" s="178">
        <v>11</v>
      </c>
      <c r="E38" s="150" t="s">
        <v>58</v>
      </c>
      <c r="F38" s="179">
        <f t="shared" si="4"/>
        <v>0.66415315543847242</v>
      </c>
      <c r="G38" s="180">
        <v>0</v>
      </c>
      <c r="H38" s="181">
        <f t="shared" si="5"/>
        <v>1.30782556537244E-2</v>
      </c>
      <c r="I38" s="150" t="s">
        <v>85</v>
      </c>
      <c r="J38" s="182">
        <v>8</v>
      </c>
      <c r="K38" s="183">
        <v>1</v>
      </c>
      <c r="L38" s="184">
        <f t="shared" si="6"/>
        <v>1001</v>
      </c>
      <c r="M38" s="185">
        <v>5.8852150441759798</v>
      </c>
      <c r="N38" s="186">
        <f t="shared" si="7"/>
        <v>1.30782556537244E-2</v>
      </c>
      <c r="O38" s="186">
        <f t="shared" si="8"/>
        <v>0</v>
      </c>
      <c r="P38" s="187">
        <f t="shared" si="9"/>
        <v>0</v>
      </c>
      <c r="Q38" s="188"/>
      <c r="R38" s="188"/>
    </row>
    <row r="39" spans="4:18" s="189" customFormat="1" ht="28">
      <c r="D39" s="178">
        <v>12</v>
      </c>
      <c r="E39" s="150" t="s">
        <v>58</v>
      </c>
      <c r="F39" s="179">
        <f t="shared" si="4"/>
        <v>0.67723141109219687</v>
      </c>
      <c r="G39" s="180">
        <v>0</v>
      </c>
      <c r="H39" s="181">
        <f t="shared" si="5"/>
        <v>1.30782556537244E-2</v>
      </c>
      <c r="I39" s="150" t="s">
        <v>82</v>
      </c>
      <c r="J39" s="182">
        <v>8</v>
      </c>
      <c r="K39" s="183">
        <v>1</v>
      </c>
      <c r="L39" s="184">
        <f t="shared" si="6"/>
        <v>1001</v>
      </c>
      <c r="M39" s="185">
        <v>5.8852150441759798</v>
      </c>
      <c r="N39" s="186">
        <f t="shared" si="7"/>
        <v>1.30782556537244E-2</v>
      </c>
      <c r="O39" s="186">
        <f t="shared" si="8"/>
        <v>0</v>
      </c>
      <c r="P39" s="187">
        <f t="shared" si="9"/>
        <v>0</v>
      </c>
      <c r="Q39" s="188"/>
      <c r="R39" s="188"/>
    </row>
    <row r="40" spans="4:18" s="189" customFormat="1" ht="28">
      <c r="D40" s="178">
        <v>13</v>
      </c>
      <c r="E40" s="150" t="s">
        <v>58</v>
      </c>
      <c r="F40" s="179">
        <f t="shared" si="4"/>
        <v>0.69030966674592131</v>
      </c>
      <c r="G40" s="180">
        <v>0</v>
      </c>
      <c r="H40" s="181">
        <f t="shared" si="5"/>
        <v>1.30782556537244E-2</v>
      </c>
      <c r="I40" s="150" t="s">
        <v>83</v>
      </c>
      <c r="J40" s="182">
        <v>8</v>
      </c>
      <c r="K40" s="183">
        <v>1</v>
      </c>
      <c r="L40" s="184">
        <f t="shared" si="6"/>
        <v>1001</v>
      </c>
      <c r="M40" s="185">
        <v>5.8852150441759798</v>
      </c>
      <c r="N40" s="186">
        <f t="shared" si="7"/>
        <v>1.30782556537244E-2</v>
      </c>
      <c r="O40" s="186">
        <f t="shared" si="8"/>
        <v>0</v>
      </c>
      <c r="P40" s="187">
        <f t="shared" si="9"/>
        <v>0</v>
      </c>
      <c r="Q40" s="188"/>
      <c r="R40" s="188"/>
    </row>
    <row r="41" spans="4:18" s="189" customFormat="1" ht="28">
      <c r="D41" s="178">
        <v>14</v>
      </c>
      <c r="E41" s="150" t="s">
        <v>58</v>
      </c>
      <c r="F41" s="179">
        <f t="shared" si="4"/>
        <v>0.70338792239964576</v>
      </c>
      <c r="G41" s="180">
        <v>0</v>
      </c>
      <c r="H41" s="181">
        <f t="shared" si="5"/>
        <v>1.30782556537244E-2</v>
      </c>
      <c r="I41" s="150" t="s">
        <v>84</v>
      </c>
      <c r="J41" s="182">
        <v>8</v>
      </c>
      <c r="K41" s="183">
        <v>1</v>
      </c>
      <c r="L41" s="184">
        <f t="shared" si="6"/>
        <v>1001</v>
      </c>
      <c r="M41" s="185">
        <v>5.8852150441759798</v>
      </c>
      <c r="N41" s="186">
        <f t="shared" si="7"/>
        <v>1.30782556537244E-2</v>
      </c>
      <c r="O41" s="186">
        <f t="shared" si="8"/>
        <v>0</v>
      </c>
      <c r="P41" s="187">
        <f t="shared" si="9"/>
        <v>0</v>
      </c>
      <c r="Q41" s="188"/>
      <c r="R41" s="188"/>
    </row>
    <row r="42" spans="4:18" s="189" customFormat="1" ht="28">
      <c r="D42" s="178">
        <v>15</v>
      </c>
      <c r="E42" s="150" t="s">
        <v>58</v>
      </c>
      <c r="F42" s="179">
        <f t="shared" si="4"/>
        <v>0.74336533823287376</v>
      </c>
      <c r="G42" s="180">
        <v>2.6182694001450249E-2</v>
      </c>
      <c r="H42" s="181">
        <f t="shared" si="5"/>
        <v>1.3794721831777769E-2</v>
      </c>
      <c r="I42" s="150" t="s">
        <v>86</v>
      </c>
      <c r="J42" s="182">
        <v>8</v>
      </c>
      <c r="K42" s="183">
        <v>0.999</v>
      </c>
      <c r="L42" s="184">
        <f t="shared" si="6"/>
        <v>1001</v>
      </c>
      <c r="M42" s="185">
        <v>5.8852150441759798</v>
      </c>
      <c r="N42" s="186">
        <f t="shared" si="7"/>
        <v>1.30782556537244E-2</v>
      </c>
      <c r="O42" s="186">
        <f t="shared" si="8"/>
        <v>1.3078255653724411E-5</v>
      </c>
      <c r="P42" s="187">
        <f t="shared" si="9"/>
        <v>7.0338792239964633E-4</v>
      </c>
      <c r="Q42" s="188"/>
      <c r="R42" s="188"/>
    </row>
    <row r="43" spans="4:18" s="189" customFormat="1" hidden="1">
      <c r="D43" s="178">
        <v>16</v>
      </c>
      <c r="E43" s="150"/>
      <c r="F43" s="179">
        <f t="shared" si="4"/>
        <v>0.74336533823287376</v>
      </c>
      <c r="G43" s="180">
        <v>0</v>
      </c>
      <c r="H43" s="181">
        <f t="shared" si="5"/>
        <v>0</v>
      </c>
      <c r="I43" s="151"/>
      <c r="J43" s="182"/>
      <c r="K43" s="183">
        <v>1</v>
      </c>
      <c r="L43" s="184">
        <f>(1-K43)*L44+L44</f>
        <v>1000</v>
      </c>
      <c r="M43" s="191">
        <v>0</v>
      </c>
      <c r="N43" s="186">
        <f t="shared" si="7"/>
        <v>0</v>
      </c>
      <c r="O43" s="186">
        <f t="shared" si="8"/>
        <v>0</v>
      </c>
      <c r="P43" s="187">
        <f t="shared" si="9"/>
        <v>0</v>
      </c>
      <c r="Q43" s="188"/>
      <c r="R43" s="188"/>
    </row>
    <row r="44" spans="4:18" s="189" customFormat="1" hidden="1">
      <c r="D44" s="178">
        <v>17</v>
      </c>
      <c r="E44" s="133"/>
      <c r="F44" s="179">
        <f t="shared" si="4"/>
        <v>0.74336533823287376</v>
      </c>
      <c r="G44" s="180">
        <v>0</v>
      </c>
      <c r="H44" s="181">
        <f t="shared" si="5"/>
        <v>0</v>
      </c>
      <c r="I44" s="151"/>
      <c r="J44" s="182"/>
      <c r="K44" s="183">
        <v>1</v>
      </c>
      <c r="L44" s="184">
        <f t="shared" si="6"/>
        <v>1000</v>
      </c>
      <c r="M44" s="191">
        <v>0</v>
      </c>
      <c r="N44" s="186">
        <f t="shared" si="7"/>
        <v>0</v>
      </c>
      <c r="O44" s="186">
        <f t="shared" si="8"/>
        <v>0</v>
      </c>
      <c r="P44" s="187">
        <f t="shared" si="9"/>
        <v>0</v>
      </c>
      <c r="Q44" s="188"/>
      <c r="R44" s="188"/>
    </row>
    <row r="45" spans="4:18" s="189" customFormat="1" hidden="1">
      <c r="D45" s="178">
        <v>18</v>
      </c>
      <c r="E45" s="192"/>
      <c r="F45" s="179">
        <f t="shared" si="4"/>
        <v>0.74336533823287376</v>
      </c>
      <c r="G45" s="180">
        <v>0</v>
      </c>
      <c r="H45" s="181">
        <f t="shared" si="5"/>
        <v>0</v>
      </c>
      <c r="I45" s="151"/>
      <c r="J45" s="182"/>
      <c r="K45" s="183">
        <v>1</v>
      </c>
      <c r="L45" s="184">
        <f t="shared" si="6"/>
        <v>1000</v>
      </c>
      <c r="M45" s="191">
        <v>0</v>
      </c>
      <c r="N45" s="186">
        <f t="shared" si="7"/>
        <v>0</v>
      </c>
      <c r="O45" s="186">
        <f t="shared" si="8"/>
        <v>0</v>
      </c>
      <c r="P45" s="187">
        <f t="shared" si="9"/>
        <v>0</v>
      </c>
      <c r="Q45" s="188"/>
      <c r="R45" s="188"/>
    </row>
    <row r="46" spans="4:18" s="189" customFormat="1" hidden="1">
      <c r="D46" s="178">
        <v>19</v>
      </c>
      <c r="E46" s="151"/>
      <c r="F46" s="179">
        <f t="shared" si="4"/>
        <v>0.74336533823287376</v>
      </c>
      <c r="G46" s="180">
        <v>0</v>
      </c>
      <c r="H46" s="181">
        <f t="shared" si="5"/>
        <v>0</v>
      </c>
      <c r="I46" s="151"/>
      <c r="J46" s="182"/>
      <c r="K46" s="183">
        <v>1</v>
      </c>
      <c r="L46" s="184">
        <f t="shared" si="6"/>
        <v>1000</v>
      </c>
      <c r="M46" s="191">
        <v>0</v>
      </c>
      <c r="N46" s="186">
        <f t="shared" si="7"/>
        <v>0</v>
      </c>
      <c r="O46" s="186">
        <f t="shared" si="8"/>
        <v>0</v>
      </c>
      <c r="P46" s="187">
        <f t="shared" si="9"/>
        <v>0</v>
      </c>
      <c r="Q46" s="188"/>
      <c r="R46" s="188"/>
    </row>
    <row r="47" spans="4:18" s="189" customFormat="1" hidden="1">
      <c r="D47" s="178">
        <v>20</v>
      </c>
      <c r="E47" s="151"/>
      <c r="F47" s="179">
        <f t="shared" si="4"/>
        <v>0.74336533823287376</v>
      </c>
      <c r="G47" s="180">
        <v>0</v>
      </c>
      <c r="H47" s="181">
        <f t="shared" si="5"/>
        <v>0</v>
      </c>
      <c r="I47" s="151"/>
      <c r="J47" s="182"/>
      <c r="K47" s="183">
        <v>1</v>
      </c>
      <c r="L47" s="184">
        <f t="shared" si="6"/>
        <v>1000</v>
      </c>
      <c r="M47" s="191">
        <v>0</v>
      </c>
      <c r="N47" s="186">
        <f t="shared" si="7"/>
        <v>0</v>
      </c>
      <c r="O47" s="186">
        <f t="shared" si="8"/>
        <v>0</v>
      </c>
      <c r="P47" s="187">
        <f t="shared" si="9"/>
        <v>0</v>
      </c>
      <c r="Q47" s="188"/>
      <c r="R47" s="188"/>
    </row>
    <row r="48" spans="4:18" s="189" customFormat="1" hidden="1">
      <c r="D48" s="178">
        <v>21</v>
      </c>
      <c r="E48" s="151"/>
      <c r="F48" s="179">
        <f t="shared" si="4"/>
        <v>0.74336533823287376</v>
      </c>
      <c r="G48" s="180">
        <v>0</v>
      </c>
      <c r="H48" s="181">
        <f t="shared" si="5"/>
        <v>0</v>
      </c>
      <c r="I48" s="151"/>
      <c r="J48" s="182"/>
      <c r="K48" s="183">
        <v>1</v>
      </c>
      <c r="L48" s="184">
        <f t="shared" si="6"/>
        <v>1000</v>
      </c>
      <c r="M48" s="191">
        <v>0</v>
      </c>
      <c r="N48" s="186">
        <f t="shared" si="7"/>
        <v>0</v>
      </c>
      <c r="O48" s="186">
        <f t="shared" si="8"/>
        <v>0</v>
      </c>
      <c r="P48" s="187">
        <f t="shared" si="9"/>
        <v>0</v>
      </c>
      <c r="Q48" s="188"/>
      <c r="R48" s="188"/>
    </row>
    <row r="49" spans="4:18" s="189" customFormat="1" hidden="1">
      <c r="D49" s="178">
        <v>22</v>
      </c>
      <c r="E49" s="151"/>
      <c r="F49" s="179">
        <f t="shared" si="4"/>
        <v>0.74336533823287376</v>
      </c>
      <c r="G49" s="180">
        <v>0</v>
      </c>
      <c r="H49" s="181">
        <f t="shared" si="5"/>
        <v>0</v>
      </c>
      <c r="I49" s="151"/>
      <c r="J49" s="182"/>
      <c r="K49" s="183">
        <v>1</v>
      </c>
      <c r="L49" s="184">
        <f t="shared" si="6"/>
        <v>1000</v>
      </c>
      <c r="M49" s="191">
        <v>0</v>
      </c>
      <c r="N49" s="186">
        <f t="shared" si="7"/>
        <v>0</v>
      </c>
      <c r="O49" s="186">
        <f t="shared" si="8"/>
        <v>0</v>
      </c>
      <c r="P49" s="187">
        <f t="shared" si="9"/>
        <v>0</v>
      </c>
      <c r="Q49" s="188"/>
      <c r="R49" s="188"/>
    </row>
    <row r="50" spans="4:18" s="189" customFormat="1" hidden="1">
      <c r="D50" s="178">
        <v>23</v>
      </c>
      <c r="E50" s="151"/>
      <c r="F50" s="179">
        <f t="shared" si="4"/>
        <v>0.74336533823287376</v>
      </c>
      <c r="G50" s="180">
        <v>0</v>
      </c>
      <c r="H50" s="181">
        <f t="shared" si="5"/>
        <v>0</v>
      </c>
      <c r="I50" s="151"/>
      <c r="J50" s="182"/>
      <c r="K50" s="183">
        <v>1</v>
      </c>
      <c r="L50" s="184">
        <f t="shared" si="6"/>
        <v>1000</v>
      </c>
      <c r="M50" s="191">
        <v>0</v>
      </c>
      <c r="N50" s="186">
        <f t="shared" si="7"/>
        <v>0</v>
      </c>
      <c r="O50" s="186">
        <f t="shared" si="8"/>
        <v>0</v>
      </c>
      <c r="P50" s="187">
        <f t="shared" si="9"/>
        <v>0</v>
      </c>
      <c r="Q50" s="188"/>
      <c r="R50" s="188"/>
    </row>
    <row r="51" spans="4:18" s="189" customFormat="1" hidden="1">
      <c r="D51" s="178">
        <v>24</v>
      </c>
      <c r="E51" s="133"/>
      <c r="F51" s="179">
        <f t="shared" si="4"/>
        <v>0.74336533823287376</v>
      </c>
      <c r="G51" s="180">
        <v>0</v>
      </c>
      <c r="H51" s="181">
        <f t="shared" si="5"/>
        <v>0</v>
      </c>
      <c r="I51" s="151"/>
      <c r="J51" s="182"/>
      <c r="K51" s="183">
        <v>1</v>
      </c>
      <c r="L51" s="184">
        <f t="shared" si="6"/>
        <v>1000</v>
      </c>
      <c r="M51" s="191">
        <v>0</v>
      </c>
      <c r="N51" s="186">
        <f t="shared" si="7"/>
        <v>0</v>
      </c>
      <c r="O51" s="186">
        <f t="shared" si="8"/>
        <v>0</v>
      </c>
      <c r="P51" s="187">
        <f t="shared" si="9"/>
        <v>0</v>
      </c>
      <c r="Q51" s="188"/>
      <c r="R51" s="188"/>
    </row>
    <row r="52" spans="4:18" s="189" customFormat="1" hidden="1">
      <c r="D52" s="178">
        <v>25</v>
      </c>
      <c r="E52" s="133"/>
      <c r="F52" s="179">
        <f t="shared" si="4"/>
        <v>0.74336533823287376</v>
      </c>
      <c r="G52" s="180">
        <v>0</v>
      </c>
      <c r="H52" s="181">
        <f t="shared" si="5"/>
        <v>0</v>
      </c>
      <c r="I52" s="151"/>
      <c r="J52" s="182"/>
      <c r="K52" s="183">
        <v>1</v>
      </c>
      <c r="L52" s="184">
        <f t="shared" si="6"/>
        <v>1000</v>
      </c>
      <c r="M52" s="191">
        <v>0</v>
      </c>
      <c r="N52" s="186">
        <f t="shared" si="7"/>
        <v>0</v>
      </c>
      <c r="O52" s="186">
        <f t="shared" si="8"/>
        <v>0</v>
      </c>
      <c r="P52" s="187">
        <f t="shared" si="9"/>
        <v>0</v>
      </c>
      <c r="Q52" s="188"/>
      <c r="R52" s="188"/>
    </row>
    <row r="53" spans="4:18" s="189" customFormat="1" hidden="1">
      <c r="D53" s="178">
        <v>26</v>
      </c>
      <c r="E53" s="133"/>
      <c r="F53" s="179">
        <f t="shared" si="4"/>
        <v>0.74336533823287376</v>
      </c>
      <c r="G53" s="180">
        <v>0</v>
      </c>
      <c r="H53" s="181">
        <f t="shared" si="5"/>
        <v>0</v>
      </c>
      <c r="I53" s="151"/>
      <c r="J53" s="182"/>
      <c r="K53" s="183">
        <v>1</v>
      </c>
      <c r="L53" s="184">
        <f t="shared" si="6"/>
        <v>1000</v>
      </c>
      <c r="M53" s="191">
        <v>0</v>
      </c>
      <c r="N53" s="186">
        <f t="shared" si="7"/>
        <v>0</v>
      </c>
      <c r="O53" s="186">
        <f t="shared" si="8"/>
        <v>0</v>
      </c>
      <c r="P53" s="187">
        <f t="shared" si="9"/>
        <v>0</v>
      </c>
      <c r="Q53" s="188"/>
      <c r="R53" s="188"/>
    </row>
    <row r="54" spans="4:18" s="189" customFormat="1">
      <c r="D54" s="193" t="s">
        <v>41</v>
      </c>
      <c r="E54" s="194"/>
      <c r="F54" s="179">
        <f>F53+G54+H54</f>
        <v>0.74336533823287376</v>
      </c>
      <c r="G54" s="180">
        <v>0</v>
      </c>
      <c r="H54" s="181">
        <f t="shared" si="5"/>
        <v>0</v>
      </c>
      <c r="I54" s="181">
        <f>SUM(G54:H54)</f>
        <v>0</v>
      </c>
      <c r="J54" s="182"/>
      <c r="K54" s="183">
        <v>1</v>
      </c>
      <c r="L54" s="184">
        <f t="shared" si="6"/>
        <v>1000</v>
      </c>
      <c r="M54" s="191">
        <v>0</v>
      </c>
      <c r="N54" s="186">
        <f t="shared" si="7"/>
        <v>0</v>
      </c>
      <c r="O54" s="186">
        <f t="shared" si="8"/>
        <v>0</v>
      </c>
      <c r="P54" s="187">
        <f>(1-K54)*F53</f>
        <v>0</v>
      </c>
      <c r="Q54" s="188"/>
      <c r="R54" s="188"/>
    </row>
    <row r="55" spans="4:18" s="189" customFormat="1">
      <c r="D55" s="193" t="s">
        <v>42</v>
      </c>
      <c r="E55" s="194"/>
      <c r="F55" s="179">
        <f t="shared" si="4"/>
        <v>0.76849008916935702</v>
      </c>
      <c r="G55" s="180">
        <v>2.5124750936483236E-2</v>
      </c>
      <c r="H55" s="181">
        <f t="shared" si="5"/>
        <v>0</v>
      </c>
      <c r="I55" s="195">
        <f>SUM(G55:H55)</f>
        <v>2.5124750936483236E-2</v>
      </c>
      <c r="J55" s="182"/>
      <c r="K55" s="183">
        <v>1</v>
      </c>
      <c r="L55" s="184">
        <f>(1-K55)*L57+L57</f>
        <v>1000</v>
      </c>
      <c r="M55" s="191">
        <v>0</v>
      </c>
      <c r="N55" s="186">
        <f t="shared" si="7"/>
        <v>0</v>
      </c>
      <c r="O55" s="186">
        <f t="shared" si="8"/>
        <v>0</v>
      </c>
      <c r="P55" s="187">
        <f t="shared" si="9"/>
        <v>0</v>
      </c>
      <c r="Q55" s="188"/>
      <c r="R55" s="188"/>
    </row>
    <row r="56" spans="4:18" s="189" customFormat="1">
      <c r="D56" s="193" t="s">
        <v>43</v>
      </c>
      <c r="E56" s="196"/>
      <c r="F56" s="179">
        <f>F55</f>
        <v>0.76849008916935702</v>
      </c>
      <c r="G56" s="179">
        <f>SUM(G27:G55)</f>
        <v>0.62515172745883851</v>
      </c>
      <c r="H56" s="197">
        <f>SUM(H27:H55)</f>
        <v>0.14333836171051834</v>
      </c>
      <c r="I56" s="196"/>
      <c r="J56" s="196"/>
      <c r="K56" s="196"/>
      <c r="L56" s="198"/>
      <c r="M56" s="196"/>
      <c r="N56" s="196"/>
      <c r="O56" s="196"/>
      <c r="P56" s="199"/>
      <c r="Q56" s="188"/>
      <c r="R56" s="188"/>
    </row>
    <row r="57" spans="4:18" s="189" customFormat="1">
      <c r="D57" s="193" t="s">
        <v>44</v>
      </c>
      <c r="E57" s="200"/>
      <c r="F57" s="179">
        <f>F56+H57</f>
        <v>0.76849008916935702</v>
      </c>
      <c r="G57" s="179"/>
      <c r="H57" s="201">
        <v>0</v>
      </c>
      <c r="I57" s="202"/>
      <c r="J57" s="202"/>
      <c r="K57" s="203" t="s">
        <v>45</v>
      </c>
      <c r="L57" s="204">
        <f>F14</f>
        <v>1000</v>
      </c>
      <c r="M57" s="202"/>
      <c r="N57" s="202"/>
      <c r="O57" s="202"/>
      <c r="P57" s="205"/>
      <c r="Q57" s="188"/>
      <c r="R57" s="188"/>
    </row>
    <row r="58" spans="4:18" s="189" customFormat="1">
      <c r="D58" s="193" t="s">
        <v>46</v>
      </c>
      <c r="E58" s="206">
        <v>4.1200000000000001E-2</v>
      </c>
      <c r="F58" s="179">
        <f>F57+H58</f>
        <v>0.80015188084313449</v>
      </c>
      <c r="G58" s="179"/>
      <c r="H58" s="207">
        <f>F55*E58</f>
        <v>3.1661791673777508E-2</v>
      </c>
      <c r="I58" s="202"/>
      <c r="J58" s="202"/>
      <c r="K58" s="202"/>
      <c r="L58" s="208"/>
      <c r="M58" s="202"/>
      <c r="N58" s="202"/>
      <c r="O58" s="202"/>
      <c r="P58" s="205"/>
      <c r="Q58" s="188"/>
      <c r="R58" s="188"/>
    </row>
    <row r="59" spans="4:18" s="189" customFormat="1">
      <c r="D59" s="193" t="s">
        <v>47</v>
      </c>
      <c r="E59" s="209">
        <v>0.05</v>
      </c>
      <c r="F59" s="179">
        <f>F58+H59</f>
        <v>0.83857638530160239</v>
      </c>
      <c r="G59" s="179"/>
      <c r="H59" s="207">
        <f>F56*E59</f>
        <v>3.8424504458467852E-2</v>
      </c>
      <c r="I59" s="196"/>
      <c r="J59" s="210"/>
      <c r="K59" s="210"/>
      <c r="L59" s="198"/>
      <c r="M59" s="202"/>
      <c r="N59" s="202"/>
      <c r="O59" s="202"/>
      <c r="P59" s="205"/>
      <c r="Q59" s="188"/>
      <c r="R59" s="188"/>
    </row>
    <row r="60" spans="4:18" s="189" customFormat="1">
      <c r="D60" s="193" t="s">
        <v>48</v>
      </c>
      <c r="E60" s="211" t="s">
        <v>49</v>
      </c>
      <c r="F60" s="179">
        <f>F59+H60</f>
        <v>0.83857638530160239</v>
      </c>
      <c r="G60" s="179"/>
      <c r="H60" s="201">
        <v>0</v>
      </c>
      <c r="I60" s="212"/>
      <c r="J60" s="202"/>
      <c r="K60" s="202"/>
      <c r="L60" s="213"/>
      <c r="M60" s="202"/>
      <c r="N60" s="202"/>
      <c r="O60" s="202"/>
      <c r="P60" s="205"/>
      <c r="Q60" s="188"/>
      <c r="R60" s="188"/>
    </row>
    <row r="61" spans="4:18" s="221" customFormat="1" ht="21" thickBot="1">
      <c r="D61" s="214" t="s">
        <v>50</v>
      </c>
      <c r="E61" s="215"/>
      <c r="F61" s="216">
        <f>F60</f>
        <v>0.83857638530160239</v>
      </c>
      <c r="G61" s="217"/>
      <c r="H61" s="217"/>
      <c r="I61" s="218"/>
      <c r="J61" s="218"/>
      <c r="K61" s="218"/>
      <c r="L61" s="219"/>
      <c r="M61" s="218"/>
      <c r="N61" s="218"/>
      <c r="O61" s="218"/>
      <c r="P61" s="220"/>
    </row>
    <row r="62" spans="4:18" ht="5" customHeight="1">
      <c r="D62" s="105"/>
      <c r="E62" s="106"/>
      <c r="F62" s="107"/>
      <c r="G62" s="108"/>
      <c r="H62" s="108"/>
      <c r="I62" s="109"/>
      <c r="J62" s="109"/>
      <c r="K62" s="109"/>
      <c r="L62" s="110"/>
      <c r="M62" s="109"/>
      <c r="N62" s="109"/>
      <c r="O62" s="109"/>
      <c r="P62" s="111"/>
      <c r="Q62" s="49"/>
      <c r="R62" s="49"/>
    </row>
    <row r="63" spans="4:18">
      <c r="D63" s="112" t="s">
        <v>51</v>
      </c>
      <c r="E63" s="113"/>
      <c r="F63" s="114">
        <f>SUM(H27:H55)</f>
        <v>0.14333836171051834</v>
      </c>
      <c r="G63" s="86"/>
      <c r="H63" s="102"/>
      <c r="I63" s="95"/>
      <c r="J63" s="95"/>
      <c r="K63" s="95"/>
      <c r="L63" s="97"/>
      <c r="M63" s="95"/>
      <c r="N63" s="102"/>
      <c r="O63" s="102"/>
      <c r="P63" s="115"/>
      <c r="Q63" s="49"/>
      <c r="R63" s="49"/>
    </row>
    <row r="64" spans="4:18">
      <c r="D64" s="116" t="s">
        <v>52</v>
      </c>
      <c r="E64" s="113"/>
      <c r="F64" s="114">
        <f>SUM(N28:N55)</f>
        <v>0.12367684184922975</v>
      </c>
      <c r="G64" s="86"/>
      <c r="H64" s="102"/>
      <c r="I64" s="95"/>
      <c r="J64" s="95"/>
      <c r="K64" s="95"/>
      <c r="L64" s="97"/>
      <c r="M64" s="95"/>
      <c r="N64" s="91"/>
      <c r="O64" s="91"/>
      <c r="P64" s="92"/>
      <c r="Q64" s="49"/>
      <c r="R64" s="49"/>
    </row>
    <row r="65" spans="4:18">
      <c r="D65" s="116" t="s">
        <v>53</v>
      </c>
      <c r="E65" s="113"/>
      <c r="F65" s="114">
        <f>SUM(O28:O55)</f>
        <v>1.0963285774836793E-3</v>
      </c>
      <c r="G65" s="86"/>
      <c r="H65" s="102"/>
      <c r="I65" s="95"/>
      <c r="J65" s="95"/>
      <c r="K65" s="95"/>
      <c r="L65" s="97"/>
      <c r="M65" s="95"/>
      <c r="N65" s="91"/>
      <c r="O65" s="91"/>
      <c r="P65" s="92"/>
      <c r="Q65" s="49"/>
      <c r="R65" s="49"/>
    </row>
    <row r="66" spans="4:18">
      <c r="D66" s="116" t="s">
        <v>54</v>
      </c>
      <c r="E66" s="113"/>
      <c r="F66" s="114">
        <f>SUM(P28:P55)</f>
        <v>1.8565191283804929E-2</v>
      </c>
      <c r="G66" s="86"/>
      <c r="H66" s="102"/>
      <c r="I66" s="95"/>
      <c r="J66" s="95"/>
      <c r="K66" s="95"/>
      <c r="L66" s="97"/>
      <c r="M66" s="95"/>
      <c r="N66" s="91"/>
      <c r="O66" s="91"/>
      <c r="P66" s="92"/>
      <c r="Q66" s="49"/>
      <c r="R66" s="49"/>
    </row>
    <row r="67" spans="4:18">
      <c r="D67" s="112" t="s">
        <v>55</v>
      </c>
      <c r="E67" s="113"/>
      <c r="F67" s="117">
        <f>SUM(G27:G55)</f>
        <v>0.62515172745883851</v>
      </c>
      <c r="G67" s="102"/>
      <c r="H67" s="89"/>
      <c r="I67" s="95"/>
      <c r="J67" s="95"/>
      <c r="K67" s="95"/>
      <c r="L67" s="97"/>
      <c r="M67" s="95"/>
      <c r="N67" s="95"/>
      <c r="O67" s="95"/>
      <c r="P67" s="98"/>
      <c r="Q67" s="49"/>
      <c r="R67" s="49"/>
    </row>
    <row r="68" spans="4:18" ht="5" customHeight="1"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20"/>
      <c r="Q68" s="49"/>
      <c r="R68" s="49"/>
    </row>
    <row r="69" spans="4:18" ht="20">
      <c r="D69" s="159" t="s">
        <v>56</v>
      </c>
      <c r="E69" s="160"/>
      <c r="F69" s="160"/>
      <c r="G69" s="160"/>
      <c r="H69" s="160"/>
      <c r="I69" s="160"/>
      <c r="J69" s="165">
        <f>SUM(J28:J55)</f>
        <v>62</v>
      </c>
      <c r="K69" s="160"/>
      <c r="L69" s="102"/>
      <c r="M69" s="102"/>
      <c r="N69" s="102"/>
      <c r="O69" s="102"/>
      <c r="P69" s="115"/>
    </row>
    <row r="70" spans="4:18" ht="21" thickBot="1">
      <c r="D70" s="161" t="s">
        <v>34</v>
      </c>
      <c r="E70" s="162"/>
      <c r="F70" s="162"/>
      <c r="G70" s="162"/>
      <c r="H70" s="162"/>
      <c r="I70" s="162"/>
      <c r="J70" s="162"/>
      <c r="K70" s="166">
        <f>PRODUCT(K28:K55)</f>
        <v>0.8498237639053553</v>
      </c>
      <c r="L70" s="121"/>
      <c r="M70" s="121"/>
      <c r="N70" s="121"/>
      <c r="O70" s="121"/>
      <c r="P70" s="122"/>
    </row>
    <row r="72" spans="4:18" ht="15" thickBot="1">
      <c r="D72" s="123" t="s">
        <v>57</v>
      </c>
    </row>
    <row r="73" spans="4:18">
      <c r="D73" s="237"/>
      <c r="E73" s="238"/>
      <c r="F73" s="238"/>
      <c r="G73" s="238"/>
      <c r="H73" s="239"/>
    </row>
    <row r="74" spans="4:18">
      <c r="D74" s="240"/>
      <c r="E74" s="241"/>
      <c r="F74" s="241"/>
      <c r="G74" s="241"/>
      <c r="H74" s="242"/>
    </row>
    <row r="75" spans="4:18" ht="15" thickBot="1">
      <c r="D75" s="243"/>
      <c r="E75" s="244"/>
      <c r="F75" s="244"/>
      <c r="G75" s="244"/>
      <c r="H75" s="245"/>
    </row>
  </sheetData>
  <mergeCells count="4">
    <mergeCell ref="D7:D9"/>
    <mergeCell ref="D12:D14"/>
    <mergeCell ref="D18:D24"/>
    <mergeCell ref="D73:H75"/>
  </mergeCells>
  <dataValidations count="9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</dataValidations>
  <pageMargins left="0.7" right="0.7" top="0.75" bottom="0.75" header="0.3" footer="0.3"/>
  <pageSetup scale="32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D1:Y75"/>
  <sheetViews>
    <sheetView showGridLines="0" view="pageBreakPreview" topLeftCell="C33" zoomScale="70" zoomScaleNormal="80" zoomScaleSheetLayoutView="70" zoomScalePageLayoutView="80" workbookViewId="0">
      <selection activeCell="E61" sqref="E61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58.33203125" style="4" bestFit="1" customWidth="1"/>
    <col min="6" max="8" width="20.1640625" style="4" customWidth="1"/>
    <col min="9" max="9" width="46.33203125" style="4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24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231" t="s">
        <v>2</v>
      </c>
      <c r="E7" s="24" t="s">
        <v>3</v>
      </c>
      <c r="F7" s="132" t="s">
        <v>61</v>
      </c>
      <c r="G7" s="25" t="s">
        <v>4</v>
      </c>
      <c r="H7" s="132"/>
      <c r="I7" s="26" t="s">
        <v>5</v>
      </c>
      <c r="J7" s="135"/>
      <c r="S7" s="28"/>
      <c r="T7" s="28"/>
      <c r="U7" s="28"/>
      <c r="V7" s="28"/>
      <c r="W7" s="28"/>
      <c r="X7" s="28"/>
    </row>
    <row r="8" spans="4:24" s="32" customFormat="1" ht="14.25" customHeight="1">
      <c r="D8" s="232"/>
      <c r="E8" s="29" t="s">
        <v>6</v>
      </c>
      <c r="F8" s="133"/>
      <c r="G8" s="30" t="s">
        <v>7</v>
      </c>
      <c r="H8" s="133"/>
      <c r="I8" s="31" t="s">
        <v>8</v>
      </c>
      <c r="J8" s="136"/>
      <c r="S8" s="33"/>
      <c r="T8" s="33"/>
      <c r="U8" s="33"/>
      <c r="V8" s="33"/>
      <c r="W8" s="33"/>
      <c r="X8" s="34"/>
    </row>
    <row r="9" spans="4:24" s="38" customFormat="1" ht="14.25" customHeight="1" thickBot="1">
      <c r="D9" s="233"/>
      <c r="E9" s="35" t="s">
        <v>9</v>
      </c>
      <c r="F9" s="134"/>
      <c r="G9" s="36" t="s">
        <v>10</v>
      </c>
      <c r="H9" s="167">
        <f ca="1">TODAY()</f>
        <v>42590</v>
      </c>
      <c r="I9" s="37" t="s">
        <v>11</v>
      </c>
      <c r="J9" s="137"/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234" t="s">
        <v>12</v>
      </c>
      <c r="E12" s="51" t="s">
        <v>13</v>
      </c>
      <c r="F12" s="138" t="s">
        <v>63</v>
      </c>
      <c r="G12" s="25" t="s">
        <v>14</v>
      </c>
      <c r="H12" s="169">
        <v>10</v>
      </c>
      <c r="K12" s="49"/>
      <c r="L12" s="49"/>
      <c r="M12" s="49"/>
      <c r="N12" s="49"/>
      <c r="O12" s="49"/>
      <c r="P12" s="49"/>
      <c r="Q12" s="49"/>
      <c r="R12" s="49"/>
    </row>
    <row r="13" spans="4:24">
      <c r="D13" s="235"/>
      <c r="E13" s="52" t="s">
        <v>15</v>
      </c>
      <c r="F13" s="138" t="s">
        <v>62</v>
      </c>
      <c r="G13" s="30" t="s">
        <v>16</v>
      </c>
      <c r="H13" s="170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236"/>
      <c r="E14" s="53" t="s">
        <v>17</v>
      </c>
      <c r="F14" s="168">
        <f>ROUNDUP(3600/J69*20*K70,-2)</f>
        <v>1200</v>
      </c>
      <c r="G14" s="36" t="s">
        <v>18</v>
      </c>
      <c r="H14" s="171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57" hidden="1" thickBot="1">
      <c r="D16" s="60"/>
      <c r="E16" s="61"/>
      <c r="F16" s="56" t="str">
        <f>F18&amp;"/"&amp;F19&amp;"/"&amp;TEXT(F20,"$#,###.000")&amp;"/"&amp;TEXT(F22,"$#,###.000")</f>
        <v xml:space="preserve"> ABS HI121H, Black /ABS/$1.957/$.009</v>
      </c>
      <c r="G16" s="62" t="str">
        <f t="shared" ref="G16:P16" si="0">G18&amp;"/"&amp;G19&amp;"/"&amp;TEXT(G20,"$#,###.000")&amp;"/"&amp;TEXT(G22,"$#,###.000")</f>
        <v xml:space="preserve"> TPU 70 shore A, with /TPU/$16.040/$.024</v>
      </c>
      <c r="H16" s="63" t="str">
        <f t="shared" si="0"/>
        <v>NORYL RESIN PKN4752 COOL GREY 11C/NORYL/$15.967/$.018</v>
      </c>
      <c r="I16" s="64" t="str">
        <f t="shared" si="0"/>
        <v>Pad print Ink, White color/ink/$80.533/$.031</v>
      </c>
      <c r="J16" s="64" t="str">
        <f t="shared" si="0"/>
        <v>Hardener /Hardener /$136.907/$.053</v>
      </c>
      <c r="K16" s="65" t="str">
        <f t="shared" si="0"/>
        <v>Thinner/Thinner/$22.549/$.009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>
        <f t="shared" si="1"/>
        <v>1</v>
      </c>
      <c r="J17" s="64">
        <f t="shared" si="1"/>
        <v>1</v>
      </c>
      <c r="K17" s="65">
        <f t="shared" si="1"/>
        <v>1</v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234" t="s">
        <v>19</v>
      </c>
      <c r="E18" s="51" t="s">
        <v>20</v>
      </c>
      <c r="F18" s="140" t="s">
        <v>64</v>
      </c>
      <c r="G18" s="141" t="s">
        <v>74</v>
      </c>
      <c r="H18" s="141" t="s">
        <v>73</v>
      </c>
      <c r="I18" s="141" t="s">
        <v>90</v>
      </c>
      <c r="J18" s="141" t="s">
        <v>92</v>
      </c>
      <c r="K18" s="141" t="s">
        <v>93</v>
      </c>
      <c r="L18" s="141"/>
      <c r="M18" s="141"/>
      <c r="N18" s="141"/>
      <c r="O18" s="141"/>
      <c r="P18" s="142"/>
      <c r="Q18" s="49"/>
      <c r="R18" s="49"/>
      <c r="S18" s="49"/>
      <c r="T18" s="49"/>
    </row>
    <row r="19" spans="4:25">
      <c r="D19" s="235"/>
      <c r="E19" s="52" t="s">
        <v>21</v>
      </c>
      <c r="F19" s="143" t="s">
        <v>65</v>
      </c>
      <c r="G19" s="144" t="s">
        <v>66</v>
      </c>
      <c r="H19" s="144" t="s">
        <v>75</v>
      </c>
      <c r="I19" s="144" t="s">
        <v>91</v>
      </c>
      <c r="J19" s="144" t="s">
        <v>92</v>
      </c>
      <c r="K19" s="144" t="s">
        <v>93</v>
      </c>
      <c r="L19" s="144"/>
      <c r="M19" s="144"/>
      <c r="N19" s="144"/>
      <c r="O19" s="144"/>
      <c r="P19" s="145"/>
      <c r="Q19" s="49"/>
      <c r="R19" s="49"/>
      <c r="S19" s="49"/>
      <c r="T19" s="49"/>
    </row>
    <row r="20" spans="4:25">
      <c r="D20" s="235"/>
      <c r="E20" s="52" t="s">
        <v>22</v>
      </c>
      <c r="F20" s="172">
        <v>1.9570000000000001</v>
      </c>
      <c r="G20" s="173">
        <v>16.040421052631579</v>
      </c>
      <c r="H20" s="173">
        <v>15.966600000000001</v>
      </c>
      <c r="I20" s="173">
        <v>80.533477842003848</v>
      </c>
      <c r="J20" s="146">
        <v>136.90691233140655</v>
      </c>
      <c r="K20" s="146">
        <v>22.549373795761081</v>
      </c>
      <c r="L20" s="146"/>
      <c r="M20" s="146"/>
      <c r="N20" s="146"/>
      <c r="O20" s="146"/>
      <c r="P20" s="147"/>
      <c r="Q20" s="49"/>
      <c r="R20" s="49"/>
      <c r="S20" s="49"/>
      <c r="T20" s="49"/>
    </row>
    <row r="21" spans="4:25">
      <c r="D21" s="235"/>
      <c r="E21" s="52" t="s">
        <v>23</v>
      </c>
      <c r="F21" s="143">
        <f>4.52/1000</f>
        <v>4.5199999999999997E-3</v>
      </c>
      <c r="G21" s="144">
        <f>1.5/1000</f>
        <v>1.5E-3</v>
      </c>
      <c r="H21" s="144">
        <f>1.1/1000</f>
        <v>1.1000000000000001E-3</v>
      </c>
      <c r="I21" s="144">
        <v>3.8999999999999999E-4</v>
      </c>
      <c r="J21" s="144">
        <v>3.8999999999999999E-4</v>
      </c>
      <c r="K21" s="144">
        <v>3.8999999999999999E-4</v>
      </c>
      <c r="L21" s="144"/>
      <c r="M21" s="144"/>
      <c r="N21" s="144"/>
      <c r="O21" s="144"/>
      <c r="P21" s="145"/>
      <c r="Q21" s="49"/>
      <c r="R21" s="49"/>
      <c r="S21" s="49"/>
      <c r="T21" s="49"/>
    </row>
    <row r="22" spans="4:25">
      <c r="D22" s="235"/>
      <c r="E22" s="52" t="s">
        <v>24</v>
      </c>
      <c r="F22" s="67">
        <f t="shared" ref="F22:K22" si="2">F20*F21</f>
        <v>8.8456400000000001E-3</v>
      </c>
      <c r="G22" s="68">
        <f t="shared" si="2"/>
        <v>2.4060631578947368E-2</v>
      </c>
      <c r="H22" s="68">
        <f t="shared" si="2"/>
        <v>1.7563260000000004E-2</v>
      </c>
      <c r="I22" s="68">
        <f t="shared" si="2"/>
        <v>3.1408056358381502E-2</v>
      </c>
      <c r="J22" s="68">
        <f t="shared" si="2"/>
        <v>5.3393695809248555E-2</v>
      </c>
      <c r="K22" s="68">
        <f t="shared" si="2"/>
        <v>8.794255780346821E-3</v>
      </c>
      <c r="L22" s="68">
        <f>L20*L21</f>
        <v>0</v>
      </c>
      <c r="M22" s="68">
        <f>M20*M21</f>
        <v>0</v>
      </c>
      <c r="N22" s="68">
        <f>N20*N21</f>
        <v>0</v>
      </c>
      <c r="O22" s="68">
        <f>O20*O21</f>
        <v>0</v>
      </c>
      <c r="P22" s="69">
        <f>P20*P21</f>
        <v>0</v>
      </c>
      <c r="Q22" s="49"/>
      <c r="R22" s="49"/>
      <c r="S22" s="49"/>
      <c r="T22" s="49"/>
    </row>
    <row r="23" spans="4:25">
      <c r="D23" s="235"/>
      <c r="E23" s="52" t="s">
        <v>25</v>
      </c>
      <c r="F23" s="143">
        <v>1</v>
      </c>
      <c r="G23" s="139">
        <v>1</v>
      </c>
      <c r="H23" s="139">
        <v>1</v>
      </c>
      <c r="I23" s="139">
        <v>1</v>
      </c>
      <c r="J23" s="139">
        <v>0.1</v>
      </c>
      <c r="K23" s="139">
        <v>0.15</v>
      </c>
      <c r="L23" s="139"/>
      <c r="M23" s="139"/>
      <c r="N23" s="139"/>
      <c r="O23" s="139"/>
      <c r="P23" s="148"/>
      <c r="Q23" s="49"/>
      <c r="R23" s="49"/>
      <c r="S23" s="49"/>
      <c r="T23" s="49"/>
    </row>
    <row r="24" spans="4:25" ht="15" thickBot="1">
      <c r="D24" s="236"/>
      <c r="E24" s="53" t="s">
        <v>26</v>
      </c>
      <c r="F24" s="1">
        <f t="shared" ref="F24:P24" si="3">(F22*F23)</f>
        <v>8.8456400000000001E-3</v>
      </c>
      <c r="G24" s="2">
        <f t="shared" si="3"/>
        <v>2.4060631578947368E-2</v>
      </c>
      <c r="H24" s="2">
        <f t="shared" si="3"/>
        <v>1.7563260000000004E-2</v>
      </c>
      <c r="I24" s="2">
        <f>(I22*I23)*80%</f>
        <v>2.5126445086705203E-2</v>
      </c>
      <c r="J24" s="2">
        <f t="shared" ref="J24:K24" si="4">(J22*J23)*80%</f>
        <v>4.2714956647398848E-3</v>
      </c>
      <c r="K24" s="2">
        <f t="shared" si="4"/>
        <v>1.0553106936416186E-3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70"/>
      <c r="E25" s="71"/>
      <c r="F25" s="72"/>
      <c r="G25" s="72"/>
      <c r="H25" s="72"/>
      <c r="I25" s="73"/>
      <c r="J25" s="7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 ht="28">
      <c r="D26" s="74" t="s">
        <v>27</v>
      </c>
      <c r="E26" s="75" t="s">
        <v>28</v>
      </c>
      <c r="F26" s="76" t="s">
        <v>29</v>
      </c>
      <c r="G26" s="76" t="s">
        <v>30</v>
      </c>
      <c r="H26" s="76" t="s">
        <v>31</v>
      </c>
      <c r="I26" s="77" t="s">
        <v>32</v>
      </c>
      <c r="J26" s="78" t="s">
        <v>33</v>
      </c>
      <c r="K26" s="79" t="s">
        <v>34</v>
      </c>
      <c r="L26" s="80" t="s">
        <v>35</v>
      </c>
      <c r="M26" s="77" t="s">
        <v>36</v>
      </c>
      <c r="N26" s="76" t="s">
        <v>37</v>
      </c>
      <c r="O26" s="76" t="s">
        <v>38</v>
      </c>
      <c r="P26" s="81" t="s">
        <v>39</v>
      </c>
      <c r="Q26" s="49"/>
      <c r="R26" s="49"/>
    </row>
    <row r="27" spans="4:25">
      <c r="D27" s="82">
        <v>0</v>
      </c>
      <c r="E27" s="83"/>
      <c r="F27" s="84">
        <f>G27+H27</f>
        <v>8.0922783024034078E-2</v>
      </c>
      <c r="G27" s="85">
        <f>SUM(F24:L24)</f>
        <v>8.0922783024034078E-2</v>
      </c>
      <c r="H27" s="86">
        <v>0</v>
      </c>
      <c r="I27" s="83"/>
      <c r="J27" s="83"/>
      <c r="K27" s="83"/>
      <c r="L27" s="87" t="s">
        <v>40</v>
      </c>
      <c r="M27" s="83"/>
      <c r="N27" s="83"/>
      <c r="O27" s="83"/>
      <c r="P27" s="88"/>
      <c r="Q27" s="49"/>
      <c r="R27" s="49"/>
    </row>
    <row r="28" spans="4:25">
      <c r="D28" s="82">
        <v>1</v>
      </c>
      <c r="E28" s="133" t="s">
        <v>76</v>
      </c>
      <c r="F28" s="84">
        <f t="shared" ref="F28:F55" si="5">F27+G28+H28</f>
        <v>9.2552255562299221E-2</v>
      </c>
      <c r="G28" s="149">
        <v>1.6000000000000001E-3</v>
      </c>
      <c r="H28" s="89">
        <f t="shared" ref="H28:H55" si="6">SUM(N28:P28)</f>
        <v>1.002947253826514E-2</v>
      </c>
      <c r="I28" s="150" t="s">
        <v>68</v>
      </c>
      <c r="J28" s="154">
        <f>20/8</f>
        <v>2.5</v>
      </c>
      <c r="K28" s="155">
        <v>0.98</v>
      </c>
      <c r="L28" s="90">
        <f t="shared" ref="L28:L54" si="7">(1-K28)*L29+L29</f>
        <v>1386.5669448032058</v>
      </c>
      <c r="M28" s="174">
        <v>11.874376768636882</v>
      </c>
      <c r="N28" s="91">
        <f t="shared" ref="N28:N55" si="8">(M28/3600)*J28</f>
        <v>8.246094978220056E-3</v>
      </c>
      <c r="O28" s="91">
        <f t="shared" ref="O28:O55" si="9">(1-K28)*N28</f>
        <v>1.6492189956440127E-4</v>
      </c>
      <c r="P28" s="92">
        <f t="shared" ref="P28:P55" si="10">(1-K28)*F27</f>
        <v>1.6184556604806829E-3</v>
      </c>
      <c r="Q28" s="49"/>
      <c r="R28" s="49"/>
    </row>
    <row r="29" spans="4:25">
      <c r="D29" s="82">
        <v>2</v>
      </c>
      <c r="E29" s="150" t="s">
        <v>88</v>
      </c>
      <c r="F29" s="84">
        <f t="shared" si="5"/>
        <v>0.10844987990528134</v>
      </c>
      <c r="G29" s="149">
        <v>5.3E-3</v>
      </c>
      <c r="H29" s="89">
        <f t="shared" si="6"/>
        <v>1.0597624342982118E-2</v>
      </c>
      <c r="I29" s="150" t="s">
        <v>89</v>
      </c>
      <c r="J29" s="182">
        <v>2</v>
      </c>
      <c r="K29" s="183">
        <v>0.995</v>
      </c>
      <c r="L29" s="90">
        <f t="shared" si="7"/>
        <v>1359.3793576502019</v>
      </c>
      <c r="M29" s="174">
        <v>18.151993549559322</v>
      </c>
      <c r="N29" s="91">
        <f t="shared" si="8"/>
        <v>1.008444086086629E-2</v>
      </c>
      <c r="O29" s="91">
        <f t="shared" si="9"/>
        <v>5.0422204304331495E-5</v>
      </c>
      <c r="P29" s="92">
        <f t="shared" si="10"/>
        <v>4.6276127781149653E-4</v>
      </c>
      <c r="Q29" s="49"/>
      <c r="R29" s="49"/>
    </row>
    <row r="30" spans="4:25">
      <c r="D30" s="82">
        <v>3</v>
      </c>
      <c r="E30" s="150" t="s">
        <v>77</v>
      </c>
      <c r="F30" s="84">
        <f t="shared" si="5"/>
        <v>0.11976293463233641</v>
      </c>
      <c r="G30" s="149">
        <v>1.9E-3</v>
      </c>
      <c r="H30" s="89">
        <f t="shared" si="6"/>
        <v>9.4130547270550712E-3</v>
      </c>
      <c r="I30" s="150" t="s">
        <v>68</v>
      </c>
      <c r="J30" s="154">
        <f>20/8</f>
        <v>2.5</v>
      </c>
      <c r="K30" s="155">
        <v>0.99</v>
      </c>
      <c r="L30" s="90">
        <f t="shared" si="7"/>
        <v>1352.6162762688575</v>
      </c>
      <c r="M30" s="174">
        <v>11.874376768636882</v>
      </c>
      <c r="N30" s="91">
        <f t="shared" si="8"/>
        <v>8.246094978220056E-3</v>
      </c>
      <c r="O30" s="91">
        <f t="shared" si="9"/>
        <v>8.2460949782200635E-5</v>
      </c>
      <c r="P30" s="92">
        <f t="shared" si="10"/>
        <v>1.0844987990528143E-3</v>
      </c>
      <c r="Q30" s="49"/>
      <c r="R30" s="49"/>
    </row>
    <row r="31" spans="4:25">
      <c r="D31" s="82">
        <v>4</v>
      </c>
      <c r="E31" s="133" t="s">
        <v>94</v>
      </c>
      <c r="F31" s="84">
        <f t="shared" si="5"/>
        <v>0.13994251903936966</v>
      </c>
      <c r="G31" s="149">
        <v>4.4000000000000003E-3</v>
      </c>
      <c r="H31" s="89">
        <f t="shared" si="6"/>
        <v>1.577958440703324E-2</v>
      </c>
      <c r="I31" s="150" t="s">
        <v>95</v>
      </c>
      <c r="J31" s="154">
        <f>24/8</f>
        <v>3</v>
      </c>
      <c r="K31" s="155">
        <v>0.98</v>
      </c>
      <c r="L31" s="90">
        <f t="shared" si="7"/>
        <v>1339.22403590976</v>
      </c>
      <c r="M31" s="174">
        <v>15.746265546337071</v>
      </c>
      <c r="N31" s="91">
        <f t="shared" si="8"/>
        <v>1.3121887955280891E-2</v>
      </c>
      <c r="O31" s="91">
        <f t="shared" si="9"/>
        <v>2.6243775910561807E-4</v>
      </c>
      <c r="P31" s="92">
        <f t="shared" si="10"/>
        <v>2.3952586926467303E-3</v>
      </c>
      <c r="Q31" s="49"/>
      <c r="R31" s="49"/>
    </row>
    <row r="32" spans="4:25">
      <c r="D32" s="82">
        <v>5</v>
      </c>
      <c r="E32" s="133" t="s">
        <v>69</v>
      </c>
      <c r="F32" s="84">
        <f t="shared" si="5"/>
        <v>0.15611760449440029</v>
      </c>
      <c r="G32" s="149">
        <v>4.3E-3</v>
      </c>
      <c r="H32" s="89">
        <f t="shared" si="6"/>
        <v>1.1875085455030642E-2</v>
      </c>
      <c r="I32" s="150" t="s">
        <v>80</v>
      </c>
      <c r="J32" s="154">
        <f>31/8</f>
        <v>3.875</v>
      </c>
      <c r="K32" s="155">
        <v>0.98</v>
      </c>
      <c r="L32" s="90">
        <f t="shared" si="7"/>
        <v>1312.964741088</v>
      </c>
      <c r="M32" s="174">
        <v>8.2667795742632961</v>
      </c>
      <c r="N32" s="91">
        <f t="shared" si="8"/>
        <v>8.898269680630632E-3</v>
      </c>
      <c r="O32" s="91">
        <f t="shared" si="9"/>
        <v>1.7796539361261281E-4</v>
      </c>
      <c r="P32" s="92">
        <f t="shared" si="10"/>
        <v>2.7988503807873958E-3</v>
      </c>
      <c r="Q32" s="49"/>
      <c r="R32" s="49"/>
    </row>
    <row r="33" spans="4:18">
      <c r="D33" s="82">
        <v>6</v>
      </c>
      <c r="E33" s="133" t="s">
        <v>70</v>
      </c>
      <c r="F33" s="84">
        <f t="shared" si="5"/>
        <v>0.17261619165853154</v>
      </c>
      <c r="G33" s="149">
        <v>4.3E-3</v>
      </c>
      <c r="H33" s="89">
        <f t="shared" si="6"/>
        <v>1.2198587164131254E-2</v>
      </c>
      <c r="I33" s="150" t="s">
        <v>80</v>
      </c>
      <c r="J33" s="154">
        <f>31/8</f>
        <v>3.875</v>
      </c>
      <c r="K33" s="155">
        <v>0.98</v>
      </c>
      <c r="L33" s="90">
        <f t="shared" si="7"/>
        <v>1287.2203344</v>
      </c>
      <c r="M33" s="174">
        <v>8.2667795742632961</v>
      </c>
      <c r="N33" s="91">
        <f t="shared" si="8"/>
        <v>8.898269680630632E-3</v>
      </c>
      <c r="O33" s="91">
        <f t="shared" si="9"/>
        <v>1.7796539361261281E-4</v>
      </c>
      <c r="P33" s="92">
        <f t="shared" si="10"/>
        <v>3.1223520898880086E-3</v>
      </c>
      <c r="Q33" s="49"/>
      <c r="R33" s="49"/>
    </row>
    <row r="34" spans="4:18">
      <c r="D34" s="82">
        <v>7</v>
      </c>
      <c r="E34" s="133" t="s">
        <v>67</v>
      </c>
      <c r="F34" s="84">
        <f t="shared" si="5"/>
        <v>0.18722063405726508</v>
      </c>
      <c r="G34" s="149">
        <v>1.9E-3</v>
      </c>
      <c r="H34" s="89">
        <f t="shared" si="6"/>
        <v>1.2704442398733537E-2</v>
      </c>
      <c r="I34" s="150" t="s">
        <v>68</v>
      </c>
      <c r="J34" s="154">
        <f>22/8</f>
        <v>2.75</v>
      </c>
      <c r="K34" s="155">
        <v>0.98</v>
      </c>
      <c r="L34" s="90">
        <f t="shared" si="7"/>
        <v>1261.98072</v>
      </c>
      <c r="M34" s="174">
        <v>11.874376768636882</v>
      </c>
      <c r="N34" s="91">
        <f t="shared" si="8"/>
        <v>9.0707044760420623E-3</v>
      </c>
      <c r="O34" s="91">
        <f t="shared" si="9"/>
        <v>1.8141408952084142E-4</v>
      </c>
      <c r="P34" s="92">
        <f t="shared" si="10"/>
        <v>3.4523238331706338E-3</v>
      </c>
      <c r="Q34" s="49"/>
      <c r="R34" s="49"/>
    </row>
    <row r="35" spans="4:18">
      <c r="D35" s="82">
        <v>8</v>
      </c>
      <c r="E35" s="151" t="s">
        <v>81</v>
      </c>
      <c r="F35" s="84">
        <f t="shared" si="5"/>
        <v>0.25494336532521283</v>
      </c>
      <c r="G35" s="149">
        <v>6.2106112246229792E-2</v>
      </c>
      <c r="H35" s="89">
        <f t="shared" si="6"/>
        <v>5.6166190217179571E-3</v>
      </c>
      <c r="I35" s="150"/>
      <c r="J35" s="154"/>
      <c r="K35" s="155">
        <v>0.97</v>
      </c>
      <c r="L35" s="90">
        <f t="shared" si="7"/>
        <v>1237.2360000000001</v>
      </c>
      <c r="M35" s="156"/>
      <c r="N35" s="91">
        <f t="shared" si="8"/>
        <v>0</v>
      </c>
      <c r="O35" s="91">
        <f t="shared" si="9"/>
        <v>0</v>
      </c>
      <c r="P35" s="92">
        <f t="shared" si="10"/>
        <v>5.6166190217179571E-3</v>
      </c>
      <c r="Q35" s="49"/>
      <c r="R35" s="49"/>
    </row>
    <row r="36" spans="4:18">
      <c r="D36" s="82">
        <v>9</v>
      </c>
      <c r="E36" s="151" t="s">
        <v>78</v>
      </c>
      <c r="F36" s="84">
        <f t="shared" si="5"/>
        <v>0.6589433653252128</v>
      </c>
      <c r="G36" s="149">
        <v>0.40400000000000003</v>
      </c>
      <c r="H36" s="89">
        <f t="shared" si="6"/>
        <v>0</v>
      </c>
      <c r="I36" s="151"/>
      <c r="J36" s="154"/>
      <c r="K36" s="155">
        <v>1</v>
      </c>
      <c r="L36" s="90">
        <f t="shared" si="7"/>
        <v>1201.2</v>
      </c>
      <c r="M36" s="156"/>
      <c r="N36" s="91">
        <f t="shared" si="8"/>
        <v>0</v>
      </c>
      <c r="O36" s="91">
        <f t="shared" si="9"/>
        <v>0</v>
      </c>
      <c r="P36" s="92">
        <f t="shared" si="10"/>
        <v>0</v>
      </c>
      <c r="Q36" s="49"/>
      <c r="R36" s="49"/>
    </row>
    <row r="37" spans="4:18" ht="28">
      <c r="D37" s="82">
        <v>10</v>
      </c>
      <c r="E37" s="150" t="s">
        <v>58</v>
      </c>
      <c r="F37" s="84">
        <f t="shared" si="5"/>
        <v>0.67202162097893725</v>
      </c>
      <c r="G37" s="149">
        <v>0</v>
      </c>
      <c r="H37" s="89">
        <f t="shared" si="6"/>
        <v>1.30782556537244E-2</v>
      </c>
      <c r="I37" s="150" t="s">
        <v>97</v>
      </c>
      <c r="J37" s="154">
        <f t="shared" ref="J37:J40" si="11">3600/450</f>
        <v>8</v>
      </c>
      <c r="K37" s="155">
        <v>1</v>
      </c>
      <c r="L37" s="90">
        <f t="shared" si="7"/>
        <v>1201.2</v>
      </c>
      <c r="M37" s="174">
        <v>5.8852150441759798</v>
      </c>
      <c r="N37" s="91">
        <f t="shared" si="8"/>
        <v>1.30782556537244E-2</v>
      </c>
      <c r="O37" s="91">
        <f t="shared" si="9"/>
        <v>0</v>
      </c>
      <c r="P37" s="92">
        <f t="shared" si="10"/>
        <v>0</v>
      </c>
      <c r="Q37" s="49"/>
      <c r="R37" s="49"/>
    </row>
    <row r="38" spans="4:18" ht="28">
      <c r="D38" s="82">
        <v>11</v>
      </c>
      <c r="E38" s="150" t="s">
        <v>58</v>
      </c>
      <c r="F38" s="84">
        <f t="shared" si="5"/>
        <v>0.6850998766326617</v>
      </c>
      <c r="G38" s="149">
        <v>0</v>
      </c>
      <c r="H38" s="89">
        <f t="shared" si="6"/>
        <v>1.30782556537244E-2</v>
      </c>
      <c r="I38" s="150" t="s">
        <v>98</v>
      </c>
      <c r="J38" s="154">
        <f t="shared" si="11"/>
        <v>8</v>
      </c>
      <c r="K38" s="155">
        <v>1</v>
      </c>
      <c r="L38" s="90">
        <f t="shared" si="7"/>
        <v>1201.2</v>
      </c>
      <c r="M38" s="174">
        <v>5.8852150441759798</v>
      </c>
      <c r="N38" s="91">
        <f t="shared" si="8"/>
        <v>1.30782556537244E-2</v>
      </c>
      <c r="O38" s="91">
        <f t="shared" si="9"/>
        <v>0</v>
      </c>
      <c r="P38" s="92">
        <f t="shared" si="10"/>
        <v>0</v>
      </c>
      <c r="Q38" s="49"/>
      <c r="R38" s="49"/>
    </row>
    <row r="39" spans="4:18" ht="28">
      <c r="D39" s="82">
        <v>12</v>
      </c>
      <c r="E39" s="150" t="s">
        <v>58</v>
      </c>
      <c r="F39" s="84">
        <f t="shared" si="5"/>
        <v>0.69817813228638614</v>
      </c>
      <c r="G39" s="149">
        <v>0</v>
      </c>
      <c r="H39" s="89">
        <f t="shared" si="6"/>
        <v>1.30782556537244E-2</v>
      </c>
      <c r="I39" s="150" t="s">
        <v>99</v>
      </c>
      <c r="J39" s="154">
        <f t="shared" si="11"/>
        <v>8</v>
      </c>
      <c r="K39" s="155">
        <v>1</v>
      </c>
      <c r="L39" s="90">
        <f t="shared" si="7"/>
        <v>1201.2</v>
      </c>
      <c r="M39" s="174">
        <v>5.8852150441759798</v>
      </c>
      <c r="N39" s="91">
        <f t="shared" si="8"/>
        <v>1.30782556537244E-2</v>
      </c>
      <c r="O39" s="91">
        <f t="shared" si="9"/>
        <v>0</v>
      </c>
      <c r="P39" s="92">
        <f t="shared" si="10"/>
        <v>0</v>
      </c>
      <c r="Q39" s="49"/>
      <c r="R39" s="49"/>
    </row>
    <row r="40" spans="4:18" ht="28">
      <c r="D40" s="82">
        <v>13</v>
      </c>
      <c r="E40" s="150" t="s">
        <v>58</v>
      </c>
      <c r="F40" s="84">
        <f t="shared" si="5"/>
        <v>0.73815033832950094</v>
      </c>
      <c r="G40" s="149">
        <v>2.6182694001450249E-2</v>
      </c>
      <c r="H40" s="89">
        <f t="shared" si="6"/>
        <v>1.3789512041664511E-2</v>
      </c>
      <c r="I40" s="150" t="s">
        <v>87</v>
      </c>
      <c r="J40" s="154">
        <f t="shared" si="11"/>
        <v>8</v>
      </c>
      <c r="K40" s="155">
        <v>0.999</v>
      </c>
      <c r="L40" s="90">
        <f t="shared" si="7"/>
        <v>1201.2</v>
      </c>
      <c r="M40" s="174">
        <v>5.8852150441759798</v>
      </c>
      <c r="N40" s="91">
        <f t="shared" si="8"/>
        <v>1.30782556537244E-2</v>
      </c>
      <c r="O40" s="91">
        <f t="shared" si="9"/>
        <v>1.3078255653724411E-5</v>
      </c>
      <c r="P40" s="92">
        <f t="shared" si="10"/>
        <v>6.9817813228638674E-4</v>
      </c>
      <c r="Q40" s="49"/>
      <c r="R40" s="49"/>
    </row>
    <row r="41" spans="4:18" hidden="1">
      <c r="D41" s="82">
        <v>14</v>
      </c>
      <c r="E41" s="150"/>
      <c r="F41" s="84">
        <f t="shared" si="5"/>
        <v>0.73815033832950094</v>
      </c>
      <c r="G41" s="149">
        <v>0</v>
      </c>
      <c r="H41" s="89">
        <f t="shared" si="6"/>
        <v>0</v>
      </c>
      <c r="I41" s="150"/>
      <c r="J41" s="154"/>
      <c r="K41" s="155">
        <v>1</v>
      </c>
      <c r="L41" s="90">
        <f t="shared" si="7"/>
        <v>1200</v>
      </c>
      <c r="M41" s="156">
        <v>0</v>
      </c>
      <c r="N41" s="91">
        <f t="shared" si="8"/>
        <v>0</v>
      </c>
      <c r="O41" s="91">
        <f t="shared" si="9"/>
        <v>0</v>
      </c>
      <c r="P41" s="92">
        <f t="shared" si="10"/>
        <v>0</v>
      </c>
      <c r="Q41" s="49"/>
      <c r="R41" s="49"/>
    </row>
    <row r="42" spans="4:18" hidden="1">
      <c r="D42" s="82">
        <v>15</v>
      </c>
      <c r="E42" s="150"/>
      <c r="F42" s="84">
        <f t="shared" si="5"/>
        <v>0.73815033832950094</v>
      </c>
      <c r="G42" s="149">
        <v>0</v>
      </c>
      <c r="H42" s="89">
        <f t="shared" si="6"/>
        <v>0</v>
      </c>
      <c r="I42" s="152"/>
      <c r="J42" s="154"/>
      <c r="K42" s="155">
        <v>1</v>
      </c>
      <c r="L42" s="90">
        <f t="shared" si="7"/>
        <v>1200</v>
      </c>
      <c r="M42" s="156">
        <v>0</v>
      </c>
      <c r="N42" s="91">
        <f t="shared" si="8"/>
        <v>0</v>
      </c>
      <c r="O42" s="91">
        <f t="shared" si="9"/>
        <v>0</v>
      </c>
      <c r="P42" s="92">
        <f t="shared" si="10"/>
        <v>0</v>
      </c>
      <c r="Q42" s="49"/>
      <c r="R42" s="49"/>
    </row>
    <row r="43" spans="4:18" hidden="1">
      <c r="D43" s="82">
        <v>16</v>
      </c>
      <c r="E43" s="150"/>
      <c r="F43" s="84">
        <f t="shared" si="5"/>
        <v>0.73815033832950094</v>
      </c>
      <c r="G43" s="149">
        <v>0</v>
      </c>
      <c r="H43" s="89">
        <f t="shared" si="6"/>
        <v>0</v>
      </c>
      <c r="I43" s="152"/>
      <c r="J43" s="154"/>
      <c r="K43" s="155">
        <v>1</v>
      </c>
      <c r="L43" s="90">
        <f>(1-K43)*L44+L44</f>
        <v>1200</v>
      </c>
      <c r="M43" s="156">
        <v>0</v>
      </c>
      <c r="N43" s="91">
        <f t="shared" si="8"/>
        <v>0</v>
      </c>
      <c r="O43" s="91">
        <f t="shared" si="9"/>
        <v>0</v>
      </c>
      <c r="P43" s="92">
        <f t="shared" si="10"/>
        <v>0</v>
      </c>
      <c r="Q43" s="49"/>
      <c r="R43" s="49"/>
    </row>
    <row r="44" spans="4:18" hidden="1">
      <c r="D44" s="82">
        <v>17</v>
      </c>
      <c r="E44" s="133"/>
      <c r="F44" s="84">
        <f t="shared" si="5"/>
        <v>0.73815033832950094</v>
      </c>
      <c r="G44" s="149">
        <v>0</v>
      </c>
      <c r="H44" s="89">
        <f t="shared" si="6"/>
        <v>0</v>
      </c>
      <c r="I44" s="152"/>
      <c r="J44" s="154"/>
      <c r="K44" s="155">
        <v>1</v>
      </c>
      <c r="L44" s="90">
        <f t="shared" si="7"/>
        <v>1200</v>
      </c>
      <c r="M44" s="156">
        <v>0</v>
      </c>
      <c r="N44" s="91">
        <f t="shared" si="8"/>
        <v>0</v>
      </c>
      <c r="O44" s="91">
        <f t="shared" si="9"/>
        <v>0</v>
      </c>
      <c r="P44" s="92">
        <f t="shared" si="10"/>
        <v>0</v>
      </c>
      <c r="Q44" s="49"/>
      <c r="R44" s="49"/>
    </row>
    <row r="45" spans="4:18" hidden="1">
      <c r="D45" s="82">
        <v>18</v>
      </c>
      <c r="E45" s="153"/>
      <c r="F45" s="84">
        <f t="shared" si="5"/>
        <v>0.73815033832950094</v>
      </c>
      <c r="G45" s="149">
        <v>0</v>
      </c>
      <c r="H45" s="89">
        <f t="shared" si="6"/>
        <v>0</v>
      </c>
      <c r="I45" s="152"/>
      <c r="J45" s="154"/>
      <c r="K45" s="155">
        <v>1</v>
      </c>
      <c r="L45" s="90">
        <f t="shared" si="7"/>
        <v>1200</v>
      </c>
      <c r="M45" s="156">
        <v>0</v>
      </c>
      <c r="N45" s="91">
        <f t="shared" si="8"/>
        <v>0</v>
      </c>
      <c r="O45" s="91">
        <f t="shared" si="9"/>
        <v>0</v>
      </c>
      <c r="P45" s="92">
        <f t="shared" si="10"/>
        <v>0</v>
      </c>
      <c r="Q45" s="49"/>
      <c r="R45" s="49"/>
    </row>
    <row r="46" spans="4:18" hidden="1">
      <c r="D46" s="82">
        <v>19</v>
      </c>
      <c r="E46" s="152"/>
      <c r="F46" s="84">
        <f t="shared" si="5"/>
        <v>0.73815033832950094</v>
      </c>
      <c r="G46" s="149">
        <v>0</v>
      </c>
      <c r="H46" s="89">
        <f t="shared" si="6"/>
        <v>0</v>
      </c>
      <c r="I46" s="152"/>
      <c r="J46" s="154"/>
      <c r="K46" s="155">
        <v>1</v>
      </c>
      <c r="L46" s="90">
        <f t="shared" si="7"/>
        <v>1200</v>
      </c>
      <c r="M46" s="156">
        <v>0</v>
      </c>
      <c r="N46" s="91">
        <f t="shared" si="8"/>
        <v>0</v>
      </c>
      <c r="O46" s="91">
        <f t="shared" si="9"/>
        <v>0</v>
      </c>
      <c r="P46" s="92">
        <f t="shared" si="10"/>
        <v>0</v>
      </c>
      <c r="Q46" s="49"/>
      <c r="R46" s="49"/>
    </row>
    <row r="47" spans="4:18" hidden="1">
      <c r="D47" s="82">
        <v>20</v>
      </c>
      <c r="E47" s="152"/>
      <c r="F47" s="84">
        <f t="shared" si="5"/>
        <v>0.73815033832950094</v>
      </c>
      <c r="G47" s="149">
        <v>0</v>
      </c>
      <c r="H47" s="89">
        <f t="shared" si="6"/>
        <v>0</v>
      </c>
      <c r="I47" s="152"/>
      <c r="J47" s="154"/>
      <c r="K47" s="155">
        <v>1</v>
      </c>
      <c r="L47" s="90">
        <f t="shared" si="7"/>
        <v>1200</v>
      </c>
      <c r="M47" s="156">
        <v>0</v>
      </c>
      <c r="N47" s="91">
        <f t="shared" si="8"/>
        <v>0</v>
      </c>
      <c r="O47" s="91">
        <f t="shared" si="9"/>
        <v>0</v>
      </c>
      <c r="P47" s="92">
        <f t="shared" si="10"/>
        <v>0</v>
      </c>
      <c r="Q47" s="49"/>
      <c r="R47" s="49"/>
    </row>
    <row r="48" spans="4:18" hidden="1">
      <c r="D48" s="82">
        <v>21</v>
      </c>
      <c r="E48" s="152"/>
      <c r="F48" s="84">
        <f t="shared" si="5"/>
        <v>0.73815033832950094</v>
      </c>
      <c r="G48" s="149">
        <v>0</v>
      </c>
      <c r="H48" s="89">
        <f t="shared" si="6"/>
        <v>0</v>
      </c>
      <c r="I48" s="152"/>
      <c r="J48" s="154"/>
      <c r="K48" s="155">
        <v>1</v>
      </c>
      <c r="L48" s="90">
        <f t="shared" si="7"/>
        <v>1200</v>
      </c>
      <c r="M48" s="156">
        <v>0</v>
      </c>
      <c r="N48" s="91">
        <f t="shared" si="8"/>
        <v>0</v>
      </c>
      <c r="O48" s="91">
        <f t="shared" si="9"/>
        <v>0</v>
      </c>
      <c r="P48" s="92">
        <f t="shared" si="10"/>
        <v>0</v>
      </c>
      <c r="Q48" s="49"/>
      <c r="R48" s="49"/>
    </row>
    <row r="49" spans="4:18" hidden="1">
      <c r="D49" s="82">
        <v>22</v>
      </c>
      <c r="E49" s="152"/>
      <c r="F49" s="84">
        <f t="shared" si="5"/>
        <v>0.73815033832950094</v>
      </c>
      <c r="G49" s="149">
        <v>0</v>
      </c>
      <c r="H49" s="89">
        <f t="shared" si="6"/>
        <v>0</v>
      </c>
      <c r="I49" s="152"/>
      <c r="J49" s="154"/>
      <c r="K49" s="155">
        <v>1</v>
      </c>
      <c r="L49" s="90">
        <f t="shared" si="7"/>
        <v>1200</v>
      </c>
      <c r="M49" s="156">
        <v>0</v>
      </c>
      <c r="N49" s="91">
        <f t="shared" si="8"/>
        <v>0</v>
      </c>
      <c r="O49" s="91">
        <f t="shared" si="9"/>
        <v>0</v>
      </c>
      <c r="P49" s="92">
        <f t="shared" si="10"/>
        <v>0</v>
      </c>
      <c r="Q49" s="49"/>
      <c r="R49" s="49"/>
    </row>
    <row r="50" spans="4:18" hidden="1">
      <c r="D50" s="82">
        <v>23</v>
      </c>
      <c r="E50" s="152"/>
      <c r="F50" s="84">
        <f t="shared" si="5"/>
        <v>0.73815033832950094</v>
      </c>
      <c r="G50" s="149">
        <v>0</v>
      </c>
      <c r="H50" s="89">
        <f t="shared" si="6"/>
        <v>0</v>
      </c>
      <c r="I50" s="152"/>
      <c r="J50" s="154"/>
      <c r="K50" s="155">
        <v>1</v>
      </c>
      <c r="L50" s="90">
        <f t="shared" si="7"/>
        <v>1200</v>
      </c>
      <c r="M50" s="156">
        <v>0</v>
      </c>
      <c r="N50" s="91">
        <f t="shared" si="8"/>
        <v>0</v>
      </c>
      <c r="O50" s="91">
        <f t="shared" si="9"/>
        <v>0</v>
      </c>
      <c r="P50" s="92">
        <f t="shared" si="10"/>
        <v>0</v>
      </c>
      <c r="Q50" s="49"/>
      <c r="R50" s="49"/>
    </row>
    <row r="51" spans="4:18" hidden="1">
      <c r="D51" s="82">
        <v>24</v>
      </c>
      <c r="E51" s="133"/>
      <c r="F51" s="84">
        <f t="shared" si="5"/>
        <v>0.73815033832950094</v>
      </c>
      <c r="G51" s="149">
        <v>0</v>
      </c>
      <c r="H51" s="89">
        <f t="shared" si="6"/>
        <v>0</v>
      </c>
      <c r="I51" s="152"/>
      <c r="J51" s="154"/>
      <c r="K51" s="155">
        <v>1</v>
      </c>
      <c r="L51" s="90">
        <f t="shared" si="7"/>
        <v>1200</v>
      </c>
      <c r="M51" s="156">
        <v>0</v>
      </c>
      <c r="N51" s="91">
        <f t="shared" si="8"/>
        <v>0</v>
      </c>
      <c r="O51" s="91">
        <f t="shared" si="9"/>
        <v>0</v>
      </c>
      <c r="P51" s="92">
        <f t="shared" si="10"/>
        <v>0</v>
      </c>
      <c r="Q51" s="49"/>
      <c r="R51" s="49"/>
    </row>
    <row r="52" spans="4:18" hidden="1">
      <c r="D52" s="82">
        <v>25</v>
      </c>
      <c r="E52" s="133"/>
      <c r="F52" s="84">
        <f t="shared" si="5"/>
        <v>0.73815033832950094</v>
      </c>
      <c r="G52" s="149">
        <v>0</v>
      </c>
      <c r="H52" s="89">
        <f t="shared" si="6"/>
        <v>0</v>
      </c>
      <c r="I52" s="152"/>
      <c r="J52" s="154"/>
      <c r="K52" s="155">
        <v>1</v>
      </c>
      <c r="L52" s="90">
        <f t="shared" si="7"/>
        <v>1200</v>
      </c>
      <c r="M52" s="156">
        <v>0</v>
      </c>
      <c r="N52" s="91">
        <f t="shared" si="8"/>
        <v>0</v>
      </c>
      <c r="O52" s="91">
        <f t="shared" si="9"/>
        <v>0</v>
      </c>
      <c r="P52" s="92">
        <f t="shared" si="10"/>
        <v>0</v>
      </c>
      <c r="Q52" s="49"/>
      <c r="R52" s="49"/>
    </row>
    <row r="53" spans="4:18" hidden="1">
      <c r="D53" s="82">
        <v>26</v>
      </c>
      <c r="E53" s="133"/>
      <c r="F53" s="84">
        <f t="shared" si="5"/>
        <v>0.73815033832950094</v>
      </c>
      <c r="G53" s="149">
        <v>0</v>
      </c>
      <c r="H53" s="89">
        <f t="shared" si="6"/>
        <v>0</v>
      </c>
      <c r="I53" s="152"/>
      <c r="J53" s="154"/>
      <c r="K53" s="155">
        <v>1</v>
      </c>
      <c r="L53" s="90">
        <f t="shared" si="7"/>
        <v>1200</v>
      </c>
      <c r="M53" s="156">
        <v>0</v>
      </c>
      <c r="N53" s="91">
        <f t="shared" si="8"/>
        <v>0</v>
      </c>
      <c r="O53" s="91">
        <f t="shared" si="9"/>
        <v>0</v>
      </c>
      <c r="P53" s="92">
        <f t="shared" si="10"/>
        <v>0</v>
      </c>
      <c r="Q53" s="49"/>
      <c r="R53" s="49"/>
    </row>
    <row r="54" spans="4:18">
      <c r="D54" s="93" t="s">
        <v>41</v>
      </c>
      <c r="E54" s="94"/>
      <c r="F54" s="84">
        <f>F53+G54+H54</f>
        <v>0.73815033832950094</v>
      </c>
      <c r="G54" s="149">
        <v>0</v>
      </c>
      <c r="H54" s="89">
        <f t="shared" si="6"/>
        <v>0</v>
      </c>
      <c r="I54" s="89">
        <f>SUM(G54:H54)</f>
        <v>0</v>
      </c>
      <c r="J54" s="154"/>
      <c r="K54" s="155">
        <v>1</v>
      </c>
      <c r="L54" s="90">
        <f t="shared" si="7"/>
        <v>1200</v>
      </c>
      <c r="M54" s="156">
        <v>0</v>
      </c>
      <c r="N54" s="91">
        <f t="shared" si="8"/>
        <v>0</v>
      </c>
      <c r="O54" s="91">
        <f t="shared" si="9"/>
        <v>0</v>
      </c>
      <c r="P54" s="92">
        <f>(1-K54)*F53</f>
        <v>0</v>
      </c>
      <c r="Q54" s="49"/>
      <c r="R54" s="49"/>
    </row>
    <row r="55" spans="4:18">
      <c r="D55" s="93" t="s">
        <v>42</v>
      </c>
      <c r="E55" s="94"/>
      <c r="F55" s="84">
        <f t="shared" si="5"/>
        <v>0.7632750892659842</v>
      </c>
      <c r="G55" s="149">
        <v>2.5124750936483236E-2</v>
      </c>
      <c r="H55" s="89">
        <f t="shared" si="6"/>
        <v>0</v>
      </c>
      <c r="I55" s="177">
        <f>SUM(G55:H55)</f>
        <v>2.5124750936483236E-2</v>
      </c>
      <c r="J55" s="154"/>
      <c r="K55" s="155">
        <v>1</v>
      </c>
      <c r="L55" s="90">
        <f>(1-K55)*L57+L57</f>
        <v>1200</v>
      </c>
      <c r="M55" s="156">
        <v>0</v>
      </c>
      <c r="N55" s="91">
        <f t="shared" si="8"/>
        <v>0</v>
      </c>
      <c r="O55" s="91">
        <f t="shared" si="9"/>
        <v>0</v>
      </c>
      <c r="P55" s="92">
        <f t="shared" si="10"/>
        <v>0</v>
      </c>
      <c r="Q55" s="49"/>
      <c r="R55" s="49"/>
    </row>
    <row r="56" spans="4:18">
      <c r="D56" s="93" t="s">
        <v>43</v>
      </c>
      <c r="E56" s="95"/>
      <c r="F56" s="84">
        <f>F55</f>
        <v>0.7632750892659842</v>
      </c>
      <c r="G56" s="84">
        <f>SUM(G27:G55)</f>
        <v>0.62203634020819731</v>
      </c>
      <c r="H56" s="96">
        <f>SUM(H27:H55)</f>
        <v>0.14123874905778669</v>
      </c>
      <c r="I56" s="95"/>
      <c r="J56" s="95"/>
      <c r="K56" s="95"/>
      <c r="L56" s="97"/>
      <c r="M56" s="95"/>
      <c r="N56" s="95"/>
      <c r="O56" s="95"/>
      <c r="P56" s="98"/>
      <c r="Q56" s="49"/>
      <c r="R56" s="49"/>
    </row>
    <row r="57" spans="4:18">
      <c r="D57" s="93" t="s">
        <v>44</v>
      </c>
      <c r="E57" s="99"/>
      <c r="F57" s="84">
        <f>F56+H57</f>
        <v>0.7632750892659842</v>
      </c>
      <c r="G57" s="84"/>
      <c r="H57" s="157">
        <v>0</v>
      </c>
      <c r="I57" s="83"/>
      <c r="J57" s="83"/>
      <c r="K57" s="163" t="s">
        <v>45</v>
      </c>
      <c r="L57" s="164">
        <f>F14</f>
        <v>1200</v>
      </c>
      <c r="M57" s="83"/>
      <c r="N57" s="83"/>
      <c r="O57" s="83"/>
      <c r="P57" s="88"/>
      <c r="Q57" s="49"/>
      <c r="R57" s="49"/>
    </row>
    <row r="58" spans="4:18">
      <c r="D58" s="93" t="s">
        <v>46</v>
      </c>
      <c r="E58" s="175">
        <v>4.1200000000000001E-2</v>
      </c>
      <c r="F58" s="84">
        <f>F57+H58</f>
        <v>0.79472202294374272</v>
      </c>
      <c r="G58" s="84"/>
      <c r="H58" s="100">
        <f>F55*E58</f>
        <v>3.1446933677758547E-2</v>
      </c>
      <c r="I58" s="83"/>
      <c r="J58" s="83"/>
      <c r="K58" s="83"/>
      <c r="L58" s="101"/>
      <c r="M58" s="83"/>
      <c r="N58" s="83"/>
      <c r="O58" s="83"/>
      <c r="P58" s="88"/>
      <c r="Q58" s="49"/>
      <c r="R58" s="49"/>
    </row>
    <row r="59" spans="4:18">
      <c r="D59" s="93" t="s">
        <v>47</v>
      </c>
      <c r="E59" s="222">
        <v>4.7800000000000002E-2</v>
      </c>
      <c r="F59" s="84">
        <f>F58+H59</f>
        <v>0.83120657221065675</v>
      </c>
      <c r="G59" s="84"/>
      <c r="H59" s="100">
        <f>F56*E59</f>
        <v>3.6484549266914044E-2</v>
      </c>
      <c r="I59" s="95"/>
      <c r="J59" s="102"/>
      <c r="K59" s="102"/>
      <c r="L59" s="97"/>
      <c r="M59" s="83"/>
      <c r="N59" s="83"/>
      <c r="O59" s="83"/>
      <c r="P59" s="88"/>
      <c r="Q59" s="49"/>
      <c r="R59" s="49"/>
    </row>
    <row r="60" spans="4:18">
      <c r="D60" s="93" t="s">
        <v>48</v>
      </c>
      <c r="E60" s="158" t="s">
        <v>49</v>
      </c>
      <c r="F60" s="84">
        <f>F59+H60</f>
        <v>0.83120657221065675</v>
      </c>
      <c r="G60" s="84"/>
      <c r="H60" s="157">
        <v>0</v>
      </c>
      <c r="I60" s="103"/>
      <c r="J60" s="83"/>
      <c r="K60" s="83"/>
      <c r="L60" s="104"/>
      <c r="M60" s="83"/>
      <c r="N60" s="83"/>
      <c r="O60" s="83"/>
      <c r="P60" s="88"/>
      <c r="Q60" s="49"/>
      <c r="R60" s="49"/>
    </row>
    <row r="61" spans="4:18" s="131" customFormat="1" ht="21" thickBot="1">
      <c r="D61" s="125" t="s">
        <v>50</v>
      </c>
      <c r="E61" s="126"/>
      <c r="F61" s="176">
        <f>F60</f>
        <v>0.83120657221065675</v>
      </c>
      <c r="G61" s="127"/>
      <c r="H61" s="127"/>
      <c r="I61" s="128"/>
      <c r="J61" s="128"/>
      <c r="K61" s="128"/>
      <c r="L61" s="129"/>
      <c r="M61" s="128"/>
      <c r="N61" s="128"/>
      <c r="O61" s="128"/>
      <c r="P61" s="130"/>
    </row>
    <row r="62" spans="4:18" ht="5" customHeight="1">
      <c r="D62" s="105"/>
      <c r="E62" s="106"/>
      <c r="F62" s="107"/>
      <c r="G62" s="108"/>
      <c r="H62" s="108"/>
      <c r="I62" s="109"/>
      <c r="J62" s="109"/>
      <c r="K62" s="109"/>
      <c r="L62" s="110"/>
      <c r="M62" s="109"/>
      <c r="N62" s="109"/>
      <c r="O62" s="109"/>
      <c r="P62" s="111"/>
      <c r="Q62" s="49"/>
      <c r="R62" s="49"/>
    </row>
    <row r="63" spans="4:18">
      <c r="D63" s="112" t="s">
        <v>51</v>
      </c>
      <c r="E63" s="113"/>
      <c r="F63" s="114">
        <f>SUM(H27:H55)</f>
        <v>0.14123874905778669</v>
      </c>
      <c r="G63" s="86"/>
      <c r="H63" s="102"/>
      <c r="I63" s="95"/>
      <c r="J63" s="95"/>
      <c r="K63" s="95"/>
      <c r="L63" s="97"/>
      <c r="M63" s="95"/>
      <c r="N63" s="102"/>
      <c r="O63" s="102"/>
      <c r="P63" s="115"/>
      <c r="Q63" s="49"/>
      <c r="R63" s="49"/>
    </row>
    <row r="64" spans="4:18">
      <c r="D64" s="116" t="s">
        <v>52</v>
      </c>
      <c r="E64" s="113"/>
      <c r="F64" s="114">
        <f>SUM(N28:N55)</f>
        <v>0.11887878522478824</v>
      </c>
      <c r="G64" s="86"/>
      <c r="H64" s="102"/>
      <c r="I64" s="95"/>
      <c r="J64" s="95"/>
      <c r="K64" s="95"/>
      <c r="L64" s="97"/>
      <c r="M64" s="95"/>
      <c r="N64" s="91"/>
      <c r="O64" s="91"/>
      <c r="P64" s="92"/>
      <c r="Q64" s="49"/>
      <c r="R64" s="49"/>
    </row>
    <row r="65" spans="4:18">
      <c r="D65" s="116" t="s">
        <v>53</v>
      </c>
      <c r="E65" s="113"/>
      <c r="F65" s="114">
        <f>SUM(O28:O55)</f>
        <v>1.1106659451563428E-3</v>
      </c>
      <c r="G65" s="86"/>
      <c r="H65" s="102"/>
      <c r="I65" s="95"/>
      <c r="J65" s="95"/>
      <c r="K65" s="95"/>
      <c r="L65" s="97"/>
      <c r="M65" s="95"/>
      <c r="N65" s="91"/>
      <c r="O65" s="91"/>
      <c r="P65" s="92"/>
      <c r="Q65" s="49"/>
      <c r="R65" s="49"/>
    </row>
    <row r="66" spans="4:18">
      <c r="D66" s="116" t="s">
        <v>54</v>
      </c>
      <c r="E66" s="113"/>
      <c r="F66" s="114">
        <f>SUM(P28:P55)</f>
        <v>2.1249297887842106E-2</v>
      </c>
      <c r="G66" s="86"/>
      <c r="H66" s="102"/>
      <c r="I66" s="95"/>
      <c r="J66" s="95"/>
      <c r="K66" s="95"/>
      <c r="L66" s="97"/>
      <c r="M66" s="95"/>
      <c r="N66" s="91"/>
      <c r="O66" s="91"/>
      <c r="P66" s="92"/>
      <c r="Q66" s="49"/>
      <c r="R66" s="49"/>
    </row>
    <row r="67" spans="4:18">
      <c r="D67" s="112" t="s">
        <v>55</v>
      </c>
      <c r="E67" s="113"/>
      <c r="F67" s="117">
        <f>SUM(G27:G55)</f>
        <v>0.62203634020819731</v>
      </c>
      <c r="G67" s="102"/>
      <c r="H67" s="89"/>
      <c r="I67" s="95"/>
      <c r="J67" s="95"/>
      <c r="K67" s="95"/>
      <c r="L67" s="97"/>
      <c r="M67" s="95"/>
      <c r="N67" s="95"/>
      <c r="O67" s="95"/>
      <c r="P67" s="98"/>
      <c r="Q67" s="49"/>
      <c r="R67" s="49"/>
    </row>
    <row r="68" spans="4:18" ht="5" customHeight="1"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20"/>
      <c r="Q68" s="49"/>
      <c r="R68" s="49"/>
    </row>
    <row r="69" spans="4:18" ht="20">
      <c r="D69" s="159" t="s">
        <v>56</v>
      </c>
      <c r="E69" s="160"/>
      <c r="F69" s="160"/>
      <c r="G69" s="160"/>
      <c r="H69" s="160"/>
      <c r="I69" s="160"/>
      <c r="J69" s="165">
        <f>SUM(J28:J55)</f>
        <v>52.5</v>
      </c>
      <c r="K69" s="160"/>
      <c r="L69" s="102"/>
      <c r="M69" s="102"/>
      <c r="N69" s="102"/>
      <c r="O69" s="102"/>
      <c r="P69" s="115"/>
    </row>
    <row r="70" spans="4:18" ht="21" thickBot="1">
      <c r="D70" s="161" t="s">
        <v>34</v>
      </c>
      <c r="E70" s="162"/>
      <c r="F70" s="162"/>
      <c r="G70" s="162"/>
      <c r="H70" s="162"/>
      <c r="I70" s="162"/>
      <c r="J70" s="162"/>
      <c r="K70" s="166">
        <f>PRODUCT(K28:K55)</f>
        <v>0.8628312704957436</v>
      </c>
      <c r="L70" s="121"/>
      <c r="M70" s="121"/>
      <c r="N70" s="121"/>
      <c r="O70" s="121"/>
      <c r="P70" s="122"/>
    </row>
    <row r="72" spans="4:18" ht="15" thickBot="1">
      <c r="D72" s="123" t="s">
        <v>57</v>
      </c>
    </row>
    <row r="73" spans="4:18">
      <c r="D73" s="237"/>
      <c r="E73" s="238"/>
      <c r="F73" s="238"/>
      <c r="G73" s="238"/>
      <c r="H73" s="239"/>
    </row>
    <row r="74" spans="4:18">
      <c r="D74" s="240"/>
      <c r="E74" s="241"/>
      <c r="F74" s="241"/>
      <c r="G74" s="241"/>
      <c r="H74" s="242"/>
    </row>
    <row r="75" spans="4:18" ht="15" thickBot="1">
      <c r="D75" s="243"/>
      <c r="E75" s="244"/>
      <c r="F75" s="244"/>
      <c r="G75" s="244"/>
      <c r="H75" s="245"/>
    </row>
  </sheetData>
  <mergeCells count="4">
    <mergeCell ref="D7:D9"/>
    <mergeCell ref="D12:D14"/>
    <mergeCell ref="D18:D24"/>
    <mergeCell ref="D73:H75"/>
  </mergeCells>
  <dataValidations count="9">
    <dataValidation type="decimal" operator="greaterThanOrEqual" allowBlank="1" showInputMessage="1" showErrorMessage="1" errorTitle="Invalid entry" error="Material cost / Kg must be greater than $0" sqref="F20:P20">
      <formula1>0</formula1>
    </dataValidation>
    <dataValidation type="decimal" operator="greaterThanOrEqual" allowBlank="1" showInputMessage="1" showErrorMessage="1" errorTitle="Invalid entry" error="Kg Material / Component must be greater than 0" sqref="F21:P21">
      <formula1>0</formula1>
    </dataValidation>
    <dataValidation type="decimal" operator="greaterThan" allowBlank="1" showInputMessage="1" showErrorMessage="1" errorTitle="Invalid format" error="Must enter number only" sqref="H12:H14 F14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allowBlank="1" showInputMessage="1" showErrorMessage="1" errorTitle="Invalid entry" error="Must be between 0-100%" sqref="E58:E59">
      <formula1>0</formula1>
      <formula2>1</formula2>
    </dataValidation>
  </dataValidations>
  <pageMargins left="0.7" right="0.7" top="0.75" bottom="0.75" header="0.3" footer="0.3"/>
  <pageSetup scale="32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D1:Y75"/>
  <sheetViews>
    <sheetView showGridLines="0" view="pageBreakPreview" topLeftCell="E33" zoomScale="70" zoomScaleNormal="80" zoomScaleSheetLayoutView="70" zoomScalePageLayoutView="80" workbookViewId="0">
      <selection activeCell="I34" sqref="I34:L35"/>
    </sheetView>
  </sheetViews>
  <sheetFormatPr baseColWidth="10" defaultColWidth="10.5" defaultRowHeight="14" x14ac:dyDescent="0"/>
  <cols>
    <col min="1" max="2" width="10.5" style="4"/>
    <col min="3" max="3" width="1.83203125" style="4" customWidth="1"/>
    <col min="4" max="4" width="21.83203125" style="4" customWidth="1"/>
    <col min="5" max="5" width="58.33203125" style="4" bestFit="1" customWidth="1"/>
    <col min="6" max="8" width="20.1640625" style="4" customWidth="1"/>
    <col min="9" max="9" width="46.33203125" style="4" customWidth="1"/>
    <col min="10" max="16" width="20.1640625" style="4" customWidth="1"/>
    <col min="17" max="17" width="1.83203125" style="4" customWidth="1"/>
    <col min="18" max="23" width="10.5" style="4" customWidth="1"/>
    <col min="24" max="16384" width="10.5" style="4"/>
  </cols>
  <sheetData>
    <row r="1" spans="4:24" ht="10.5" customHeight="1" thickBot="1"/>
    <row r="2" spans="4:24" s="7" customFormat="1" ht="22.5" customHeight="1">
      <c r="D2" s="124" t="s">
        <v>59</v>
      </c>
      <c r="E2" s="5"/>
      <c r="F2" s="5"/>
      <c r="G2" s="5"/>
      <c r="H2" s="5"/>
      <c r="I2" s="5"/>
      <c r="J2" s="6"/>
      <c r="O2" s="8"/>
      <c r="P2" s="9"/>
      <c r="Q2" s="8"/>
      <c r="R2" s="8"/>
      <c r="S2" s="8"/>
      <c r="T2" s="8"/>
    </row>
    <row r="3" spans="4:24" s="13" customFormat="1" ht="14.25" customHeight="1">
      <c r="D3" s="10" t="s">
        <v>60</v>
      </c>
      <c r="E3" s="11"/>
      <c r="F3" s="11"/>
      <c r="G3" s="11"/>
      <c r="H3" s="11"/>
      <c r="I3" s="11"/>
      <c r="J3" s="12"/>
      <c r="O3" s="14"/>
      <c r="P3" s="15"/>
      <c r="Q3" s="14"/>
      <c r="R3" s="14"/>
      <c r="S3" s="14"/>
      <c r="T3" s="14"/>
    </row>
    <row r="4" spans="4:24" s="13" customFormat="1" ht="14.25" customHeight="1">
      <c r="D4" s="10" t="s">
        <v>0</v>
      </c>
      <c r="E4" s="11"/>
      <c r="F4" s="11"/>
      <c r="G4" s="11"/>
      <c r="H4" s="11"/>
      <c r="I4" s="11"/>
      <c r="J4" s="12"/>
      <c r="O4" s="14"/>
      <c r="P4" s="15"/>
      <c r="Q4" s="14"/>
      <c r="R4" s="14"/>
      <c r="S4" s="14"/>
      <c r="T4" s="14"/>
    </row>
    <row r="5" spans="4:24" s="13" customFormat="1" ht="14.25" customHeight="1" thickBot="1">
      <c r="D5" s="16" t="s">
        <v>1</v>
      </c>
      <c r="E5" s="17"/>
      <c r="F5" s="17"/>
      <c r="G5" s="17"/>
      <c r="H5" s="17"/>
      <c r="I5" s="17"/>
      <c r="J5" s="18"/>
      <c r="O5" s="14"/>
      <c r="P5" s="19"/>
      <c r="Q5" s="14"/>
      <c r="R5" s="14"/>
      <c r="S5" s="14"/>
      <c r="T5" s="14"/>
    </row>
    <row r="6" spans="4:24" s="22" customFormat="1" ht="14.25" customHeight="1" thickBot="1">
      <c r="D6" s="20"/>
      <c r="E6" s="21"/>
      <c r="F6" s="21"/>
      <c r="G6" s="21"/>
      <c r="H6" s="21"/>
      <c r="I6" s="21"/>
      <c r="J6" s="21"/>
      <c r="P6" s="23"/>
    </row>
    <row r="7" spans="4:24" s="27" customFormat="1" ht="14.25" customHeight="1">
      <c r="D7" s="231" t="s">
        <v>2</v>
      </c>
      <c r="E7" s="24" t="s">
        <v>3</v>
      </c>
      <c r="F7" s="132" t="s">
        <v>61</v>
      </c>
      <c r="G7" s="25" t="s">
        <v>4</v>
      </c>
      <c r="H7" s="132"/>
      <c r="I7" s="26" t="s">
        <v>5</v>
      </c>
      <c r="J7" s="135"/>
      <c r="S7" s="28"/>
      <c r="T7" s="28"/>
      <c r="U7" s="28"/>
      <c r="V7" s="28"/>
      <c r="W7" s="28"/>
      <c r="X7" s="28"/>
    </row>
    <row r="8" spans="4:24" s="32" customFormat="1" ht="14.25" customHeight="1">
      <c r="D8" s="232"/>
      <c r="E8" s="29" t="s">
        <v>6</v>
      </c>
      <c r="F8" s="133"/>
      <c r="G8" s="30" t="s">
        <v>7</v>
      </c>
      <c r="H8" s="133"/>
      <c r="I8" s="31" t="s">
        <v>8</v>
      </c>
      <c r="J8" s="136"/>
      <c r="S8" s="33"/>
      <c r="T8" s="33"/>
      <c r="U8" s="33"/>
      <c r="V8" s="33"/>
      <c r="W8" s="33"/>
      <c r="X8" s="34"/>
    </row>
    <row r="9" spans="4:24" s="38" customFormat="1" ht="14.25" customHeight="1" thickBot="1">
      <c r="D9" s="233"/>
      <c r="E9" s="35" t="s">
        <v>9</v>
      </c>
      <c r="F9" s="134"/>
      <c r="G9" s="36" t="s">
        <v>10</v>
      </c>
      <c r="H9" s="167">
        <f ca="1">TODAY()</f>
        <v>42590</v>
      </c>
      <c r="I9" s="37" t="s">
        <v>11</v>
      </c>
      <c r="J9" s="137"/>
      <c r="S9" s="33"/>
      <c r="T9" s="33"/>
      <c r="U9" s="33"/>
      <c r="V9" s="33"/>
      <c r="W9" s="33"/>
      <c r="X9" s="39"/>
    </row>
    <row r="10" spans="4:24" s="45" customFormat="1" ht="14.25" customHeight="1">
      <c r="D10" s="40"/>
      <c r="E10" s="41"/>
      <c r="F10" s="42"/>
      <c r="G10" s="41"/>
      <c r="H10" s="42"/>
      <c r="I10" s="43"/>
      <c r="J10" s="44"/>
      <c r="S10" s="46"/>
      <c r="T10" s="46"/>
      <c r="U10" s="46"/>
      <c r="V10" s="46"/>
      <c r="W10" s="46"/>
      <c r="X10" s="41"/>
    </row>
    <row r="11" spans="4:24" s="50" customFormat="1" ht="9" customHeight="1" thickBot="1">
      <c r="D11" s="4"/>
      <c r="E11" s="47"/>
      <c r="F11" s="48"/>
      <c r="G11" s="48"/>
      <c r="H11" s="48"/>
      <c r="I11" s="48"/>
      <c r="J11" s="49"/>
      <c r="K11" s="49"/>
      <c r="L11" s="49"/>
      <c r="M11" s="49"/>
      <c r="N11" s="49"/>
      <c r="O11" s="49"/>
      <c r="P11" s="49"/>
      <c r="Q11" s="49"/>
      <c r="R11" s="49"/>
    </row>
    <row r="12" spans="4:24" ht="15" customHeight="1" thickBot="1">
      <c r="D12" s="234" t="s">
        <v>12</v>
      </c>
      <c r="E12" s="51" t="s">
        <v>13</v>
      </c>
      <c r="F12" s="138" t="s">
        <v>63</v>
      </c>
      <c r="G12" s="25" t="s">
        <v>14</v>
      </c>
      <c r="H12" s="169">
        <v>10</v>
      </c>
      <c r="K12" s="49"/>
      <c r="L12" s="49"/>
      <c r="M12" s="49"/>
      <c r="N12" s="49"/>
      <c r="O12" s="49"/>
      <c r="P12" s="49"/>
      <c r="Q12" s="49"/>
      <c r="R12" s="49"/>
    </row>
    <row r="13" spans="4:24">
      <c r="D13" s="235"/>
      <c r="E13" s="52" t="s">
        <v>15</v>
      </c>
      <c r="F13" s="138" t="s">
        <v>62</v>
      </c>
      <c r="G13" s="30" t="s">
        <v>16</v>
      </c>
      <c r="H13" s="170">
        <v>2</v>
      </c>
      <c r="K13" s="49"/>
      <c r="L13" s="49"/>
      <c r="M13" s="49"/>
      <c r="N13" s="49"/>
      <c r="O13" s="49"/>
      <c r="P13" s="49"/>
      <c r="Q13" s="49"/>
      <c r="R13" s="49"/>
    </row>
    <row r="14" spans="4:24" ht="15" thickBot="1">
      <c r="D14" s="236"/>
      <c r="E14" s="53" t="s">
        <v>17</v>
      </c>
      <c r="F14" s="168">
        <f>ROUNDUP(3600/J69*20*K70,-2)</f>
        <v>1100</v>
      </c>
      <c r="G14" s="36" t="s">
        <v>18</v>
      </c>
      <c r="H14" s="171">
        <f>26*12</f>
        <v>312</v>
      </c>
      <c r="K14" s="49"/>
      <c r="L14" s="49"/>
      <c r="M14" s="49"/>
      <c r="N14" s="49"/>
      <c r="O14" s="49"/>
      <c r="P14" s="49"/>
      <c r="Q14" s="49"/>
      <c r="R14" s="49"/>
    </row>
    <row r="15" spans="4:24" s="59" customFormat="1" ht="15" thickBot="1">
      <c r="D15" s="54"/>
      <c r="E15" s="55"/>
      <c r="F15" s="56"/>
      <c r="G15" s="57"/>
      <c r="H15" s="40"/>
      <c r="I15" s="41"/>
      <c r="J15" s="42"/>
      <c r="K15" s="58"/>
      <c r="L15" s="58"/>
      <c r="M15" s="58"/>
      <c r="N15" s="58"/>
      <c r="O15" s="58"/>
      <c r="P15" s="58"/>
      <c r="Q15" s="58"/>
      <c r="R15" s="58"/>
    </row>
    <row r="16" spans="4:24" s="66" customFormat="1" ht="57" hidden="1" thickBot="1">
      <c r="D16" s="60"/>
      <c r="E16" s="61"/>
      <c r="F16" s="56" t="str">
        <f>F18&amp;"/"&amp;F19&amp;"/"&amp;TEXT(F20,"$#,###.000")&amp;"/"&amp;TEXT(F22,"$#,###.000")</f>
        <v xml:space="preserve"> ABS HI121H, Black /ABS/$1.957/$.009</v>
      </c>
      <c r="G16" s="62" t="str">
        <f t="shared" ref="G16:P16" si="0">G18&amp;"/"&amp;G19&amp;"/"&amp;TEXT(G20,"$#,###.000")&amp;"/"&amp;TEXT(G22,"$#,###.000")</f>
        <v xml:space="preserve"> TPU 70 shore A, with /TPU/$16.040/$.024</v>
      </c>
      <c r="H16" s="63" t="str">
        <f t="shared" si="0"/>
        <v>NORYL RESIN PKN4752 COOL GREY 11C/NORYL/$15.967/$.018</v>
      </c>
      <c r="I16" s="64" t="str">
        <f t="shared" si="0"/>
        <v>//$.000/$.000</v>
      </c>
      <c r="J16" s="64" t="str">
        <f t="shared" si="0"/>
        <v>//$.000/$.000</v>
      </c>
      <c r="K16" s="65" t="str">
        <f t="shared" si="0"/>
        <v>//$.000/$.000</v>
      </c>
      <c r="L16" s="65" t="str">
        <f t="shared" si="0"/>
        <v>//$.000/$.000</v>
      </c>
      <c r="M16" s="65" t="str">
        <f t="shared" si="0"/>
        <v>//$.000/$.000</v>
      </c>
      <c r="N16" s="65" t="str">
        <f t="shared" si="0"/>
        <v>//$.000/$.000</v>
      </c>
      <c r="O16" s="65" t="str">
        <f t="shared" si="0"/>
        <v>//$.000/$.000</v>
      </c>
      <c r="P16" s="65" t="str">
        <f t="shared" si="0"/>
        <v>//$.000/$.000</v>
      </c>
    </row>
    <row r="17" spans="4:25" s="66" customFormat="1" ht="15" hidden="1" thickBot="1">
      <c r="D17" s="60"/>
      <c r="E17" s="61"/>
      <c r="F17" s="56">
        <f>IF(F18="","",1)</f>
        <v>1</v>
      </c>
      <c r="G17" s="62">
        <f t="shared" ref="G17:P17" si="1">IF(G18="","",1)</f>
        <v>1</v>
      </c>
      <c r="H17" s="63">
        <f t="shared" si="1"/>
        <v>1</v>
      </c>
      <c r="I17" s="64" t="str">
        <f t="shared" si="1"/>
        <v/>
      </c>
      <c r="J17" s="64" t="str">
        <f t="shared" si="1"/>
        <v/>
      </c>
      <c r="K17" s="65" t="str">
        <f t="shared" si="1"/>
        <v/>
      </c>
      <c r="L17" s="65" t="str">
        <f t="shared" si="1"/>
        <v/>
      </c>
      <c r="M17" s="65" t="str">
        <f t="shared" si="1"/>
        <v/>
      </c>
      <c r="N17" s="65" t="str">
        <f t="shared" si="1"/>
        <v/>
      </c>
      <c r="O17" s="65" t="str">
        <f t="shared" si="1"/>
        <v/>
      </c>
      <c r="P17" s="65" t="str">
        <f t="shared" si="1"/>
        <v/>
      </c>
    </row>
    <row r="18" spans="4:25" ht="28">
      <c r="D18" s="234" t="s">
        <v>19</v>
      </c>
      <c r="E18" s="51" t="s">
        <v>20</v>
      </c>
      <c r="F18" s="140" t="s">
        <v>64</v>
      </c>
      <c r="G18" s="141" t="s">
        <v>74</v>
      </c>
      <c r="H18" s="141" t="s">
        <v>73</v>
      </c>
      <c r="I18" s="141"/>
      <c r="J18" s="141"/>
      <c r="K18" s="141"/>
      <c r="L18" s="141"/>
      <c r="M18" s="141"/>
      <c r="N18" s="141"/>
      <c r="O18" s="141"/>
      <c r="P18" s="142"/>
      <c r="Q18" s="49"/>
      <c r="R18" s="49"/>
      <c r="S18" s="49"/>
      <c r="T18" s="49"/>
    </row>
    <row r="19" spans="4:25">
      <c r="D19" s="235"/>
      <c r="E19" s="52" t="s">
        <v>21</v>
      </c>
      <c r="F19" s="143" t="s">
        <v>65</v>
      </c>
      <c r="G19" s="144" t="s">
        <v>66</v>
      </c>
      <c r="H19" s="144" t="s">
        <v>75</v>
      </c>
      <c r="I19" s="144"/>
      <c r="J19" s="144"/>
      <c r="K19" s="144"/>
      <c r="L19" s="144"/>
      <c r="M19" s="144"/>
      <c r="N19" s="144"/>
      <c r="O19" s="144"/>
      <c r="P19" s="145"/>
      <c r="Q19" s="49"/>
      <c r="R19" s="49"/>
      <c r="S19" s="49"/>
      <c r="T19" s="49"/>
    </row>
    <row r="20" spans="4:25">
      <c r="D20" s="235"/>
      <c r="E20" s="52" t="s">
        <v>22</v>
      </c>
      <c r="F20" s="172">
        <v>1.9570000000000001</v>
      </c>
      <c r="G20" s="173">
        <v>16.040421052631579</v>
      </c>
      <c r="H20" s="173">
        <v>15.966600000000001</v>
      </c>
      <c r="I20" s="173"/>
      <c r="J20" s="146"/>
      <c r="K20" s="146"/>
      <c r="L20" s="146"/>
      <c r="M20" s="146"/>
      <c r="N20" s="146"/>
      <c r="O20" s="146"/>
      <c r="P20" s="147"/>
      <c r="Q20" s="49"/>
      <c r="R20" s="49"/>
      <c r="S20" s="49"/>
      <c r="T20" s="49"/>
    </row>
    <row r="21" spans="4:25">
      <c r="D21" s="235"/>
      <c r="E21" s="52" t="s">
        <v>23</v>
      </c>
      <c r="F21" s="143">
        <f>4.52/1000</f>
        <v>4.5199999999999997E-3</v>
      </c>
      <c r="G21" s="144">
        <f>1.5/1000</f>
        <v>1.5E-3</v>
      </c>
      <c r="H21" s="144">
        <f>1.1/1000</f>
        <v>1.1000000000000001E-3</v>
      </c>
      <c r="I21" s="144"/>
      <c r="J21" s="144"/>
      <c r="K21" s="144"/>
      <c r="L21" s="144"/>
      <c r="M21" s="144"/>
      <c r="N21" s="144"/>
      <c r="O21" s="144"/>
      <c r="P21" s="145"/>
      <c r="Q21" s="49"/>
      <c r="R21" s="49"/>
      <c r="S21" s="49"/>
      <c r="T21" s="49"/>
    </row>
    <row r="22" spans="4:25">
      <c r="D22" s="235"/>
      <c r="E22" s="52" t="s">
        <v>24</v>
      </c>
      <c r="F22" s="67">
        <f t="shared" ref="F22:K22" si="2">F20*F21</f>
        <v>8.8456400000000001E-3</v>
      </c>
      <c r="G22" s="68">
        <f t="shared" si="2"/>
        <v>2.4060631578947368E-2</v>
      </c>
      <c r="H22" s="68">
        <f t="shared" si="2"/>
        <v>1.7563260000000004E-2</v>
      </c>
      <c r="I22" s="68">
        <f t="shared" si="2"/>
        <v>0</v>
      </c>
      <c r="J22" s="68">
        <f t="shared" si="2"/>
        <v>0</v>
      </c>
      <c r="K22" s="68">
        <f t="shared" si="2"/>
        <v>0</v>
      </c>
      <c r="L22" s="68">
        <f>L20*L21</f>
        <v>0</v>
      </c>
      <c r="M22" s="68">
        <f>M20*M21</f>
        <v>0</v>
      </c>
      <c r="N22" s="68">
        <f>N20*N21</f>
        <v>0</v>
      </c>
      <c r="O22" s="68">
        <f>O20*O21</f>
        <v>0</v>
      </c>
      <c r="P22" s="69">
        <f>P20*P21</f>
        <v>0</v>
      </c>
      <c r="Q22" s="49"/>
      <c r="R22" s="49"/>
      <c r="S22" s="49"/>
      <c r="T22" s="49"/>
    </row>
    <row r="23" spans="4:25">
      <c r="D23" s="235"/>
      <c r="E23" s="52" t="s">
        <v>25</v>
      </c>
      <c r="F23" s="143">
        <v>1</v>
      </c>
      <c r="G23" s="139">
        <v>1</v>
      </c>
      <c r="H23" s="139">
        <v>1</v>
      </c>
      <c r="I23" s="139"/>
      <c r="J23" s="139"/>
      <c r="K23" s="139"/>
      <c r="L23" s="139"/>
      <c r="M23" s="139"/>
      <c r="N23" s="139"/>
      <c r="O23" s="139"/>
      <c r="P23" s="148"/>
      <c r="Q23" s="49"/>
      <c r="R23" s="49"/>
      <c r="S23" s="49"/>
      <c r="T23" s="49"/>
    </row>
    <row r="24" spans="4:25" ht="15" thickBot="1">
      <c r="D24" s="236"/>
      <c r="E24" s="53" t="s">
        <v>26</v>
      </c>
      <c r="F24" s="1">
        <f t="shared" ref="F24:P24" si="3">(F22*F23)</f>
        <v>8.8456400000000001E-3</v>
      </c>
      <c r="G24" s="2">
        <f t="shared" si="3"/>
        <v>2.4060631578947368E-2</v>
      </c>
      <c r="H24" s="2">
        <f t="shared" si="3"/>
        <v>1.7563260000000004E-2</v>
      </c>
      <c r="I24" s="2">
        <f t="shared" si="3"/>
        <v>0</v>
      </c>
      <c r="J24" s="2">
        <f t="shared" si="3"/>
        <v>0</v>
      </c>
      <c r="K24" s="2">
        <f t="shared" si="3"/>
        <v>0</v>
      </c>
      <c r="L24" s="2">
        <f t="shared" si="3"/>
        <v>0</v>
      </c>
      <c r="M24" s="2">
        <f t="shared" si="3"/>
        <v>0</v>
      </c>
      <c r="N24" s="2">
        <f t="shared" si="3"/>
        <v>0</v>
      </c>
      <c r="O24" s="2">
        <f t="shared" si="3"/>
        <v>0</v>
      </c>
      <c r="P24" s="3">
        <f t="shared" si="3"/>
        <v>0</v>
      </c>
      <c r="Q24" s="49"/>
      <c r="R24" s="49"/>
      <c r="S24" s="49"/>
      <c r="T24" s="49"/>
      <c r="U24" s="49"/>
      <c r="V24" s="49"/>
      <c r="W24" s="49"/>
      <c r="X24" s="49"/>
      <c r="Y24" s="49"/>
    </row>
    <row r="25" spans="4:25" s="50" customFormat="1" ht="14.25" customHeight="1" thickBot="1">
      <c r="D25" s="70"/>
      <c r="E25" s="71"/>
      <c r="F25" s="72"/>
      <c r="G25" s="72"/>
      <c r="H25" s="72"/>
      <c r="I25" s="73"/>
      <c r="J25" s="73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4:25" ht="28">
      <c r="D26" s="74" t="s">
        <v>27</v>
      </c>
      <c r="E26" s="75" t="s">
        <v>28</v>
      </c>
      <c r="F26" s="76" t="s">
        <v>29</v>
      </c>
      <c r="G26" s="76" t="s">
        <v>30</v>
      </c>
      <c r="H26" s="76" t="s">
        <v>31</v>
      </c>
      <c r="I26" s="77" t="s">
        <v>32</v>
      </c>
      <c r="J26" s="78" t="s">
        <v>33</v>
      </c>
      <c r="K26" s="79" t="s">
        <v>34</v>
      </c>
      <c r="L26" s="80" t="s">
        <v>35</v>
      </c>
      <c r="M26" s="77" t="s">
        <v>36</v>
      </c>
      <c r="N26" s="76" t="s">
        <v>37</v>
      </c>
      <c r="O26" s="76" t="s">
        <v>38</v>
      </c>
      <c r="P26" s="81" t="s">
        <v>39</v>
      </c>
      <c r="Q26" s="49"/>
      <c r="R26" s="49"/>
    </row>
    <row r="27" spans="4:25">
      <c r="D27" s="82">
        <v>0</v>
      </c>
      <c r="E27" s="83"/>
      <c r="F27" s="84">
        <f>G27+H27</f>
        <v>5.0469531578947374E-2</v>
      </c>
      <c r="G27" s="85">
        <f>SUM(F24:L24)</f>
        <v>5.0469531578947374E-2</v>
      </c>
      <c r="H27" s="86">
        <v>0</v>
      </c>
      <c r="I27" s="83"/>
      <c r="J27" s="83"/>
      <c r="K27" s="83"/>
      <c r="L27" s="87" t="s">
        <v>40</v>
      </c>
      <c r="M27" s="83"/>
      <c r="N27" s="83"/>
      <c r="O27" s="83"/>
      <c r="P27" s="88"/>
      <c r="Q27" s="49"/>
      <c r="R27" s="49"/>
    </row>
    <row r="28" spans="4:25">
      <c r="D28" s="82">
        <v>1</v>
      </c>
      <c r="E28" s="133" t="s">
        <v>76</v>
      </c>
      <c r="F28" s="84">
        <f t="shared" ref="F28:F55" si="4">F27+G28+H28</f>
        <v>6.1489939088310776E-2</v>
      </c>
      <c r="G28" s="149">
        <v>1.6000000000000001E-3</v>
      </c>
      <c r="H28" s="89">
        <f t="shared" ref="H28:H55" si="5">SUM(N28:P28)</f>
        <v>9.4204075093634043E-3</v>
      </c>
      <c r="I28" s="150" t="s">
        <v>68</v>
      </c>
      <c r="J28" s="154">
        <f>20/8</f>
        <v>2.5</v>
      </c>
      <c r="K28" s="155">
        <v>0.98</v>
      </c>
      <c r="L28" s="90">
        <f t="shared" ref="L28:L54" si="6">(1-K28)*L29+L29</f>
        <v>1264.6962183113819</v>
      </c>
      <c r="M28" s="174">
        <v>11.874376768636882</v>
      </c>
      <c r="N28" s="91">
        <f t="shared" ref="N28:N55" si="7">(M28/3600)*J28</f>
        <v>8.246094978220056E-3</v>
      </c>
      <c r="O28" s="91">
        <f t="shared" ref="O28:O55" si="8">(1-K28)*N28</f>
        <v>1.6492189956440127E-4</v>
      </c>
      <c r="P28" s="92">
        <f t="shared" ref="P28:P55" si="9">(1-K28)*F27</f>
        <v>1.0093906315789484E-3</v>
      </c>
      <c r="Q28" s="49"/>
      <c r="R28" s="49"/>
    </row>
    <row r="29" spans="4:25">
      <c r="D29" s="82">
        <v>2</v>
      </c>
      <c r="E29" s="150" t="s">
        <v>77</v>
      </c>
      <c r="F29" s="84">
        <f t="shared" si="4"/>
        <v>7.2333394407196147E-2</v>
      </c>
      <c r="G29" s="149">
        <v>1.9E-3</v>
      </c>
      <c r="H29" s="89">
        <f t="shared" si="5"/>
        <v>8.9434553188853655E-3</v>
      </c>
      <c r="I29" s="150" t="s">
        <v>68</v>
      </c>
      <c r="J29" s="154">
        <f>20/8</f>
        <v>2.5</v>
      </c>
      <c r="K29" s="155">
        <v>0.99</v>
      </c>
      <c r="L29" s="90">
        <f t="shared" si="6"/>
        <v>1239.8982532464529</v>
      </c>
      <c r="M29" s="174">
        <v>11.874376768636882</v>
      </c>
      <c r="N29" s="91">
        <f t="shared" si="7"/>
        <v>8.246094978220056E-3</v>
      </c>
      <c r="O29" s="91">
        <f t="shared" si="8"/>
        <v>8.2460949782200635E-5</v>
      </c>
      <c r="P29" s="92">
        <f t="shared" si="9"/>
        <v>6.1489939088310835E-4</v>
      </c>
      <c r="Q29" s="49"/>
      <c r="R29" s="49"/>
    </row>
    <row r="30" spans="4:25">
      <c r="D30" s="82">
        <v>3</v>
      </c>
      <c r="E30" s="150" t="s">
        <v>94</v>
      </c>
      <c r="F30" s="84">
        <f t="shared" si="4"/>
        <v>9.166438800972658E-2</v>
      </c>
      <c r="G30" s="149">
        <v>4.4999999999999997E-3</v>
      </c>
      <c r="H30" s="89">
        <f t="shared" si="5"/>
        <v>1.4830993602530432E-2</v>
      </c>
      <c r="I30" s="150" t="s">
        <v>95</v>
      </c>
      <c r="J30" s="154">
        <f>24/8</f>
        <v>3</v>
      </c>
      <c r="K30" s="155">
        <v>0.98</v>
      </c>
      <c r="L30" s="90">
        <f t="shared" si="6"/>
        <v>1227.6220329172802</v>
      </c>
      <c r="M30" s="174">
        <v>15.746265546337071</v>
      </c>
      <c r="N30" s="91">
        <f t="shared" si="7"/>
        <v>1.3121887955280891E-2</v>
      </c>
      <c r="O30" s="91">
        <f t="shared" si="8"/>
        <v>2.6243775910561807E-4</v>
      </c>
      <c r="P30" s="92">
        <f t="shared" si="9"/>
        <v>1.4466678881439243E-3</v>
      </c>
      <c r="Q30" s="49"/>
      <c r="R30" s="49"/>
    </row>
    <row r="31" spans="4:25">
      <c r="D31" s="82">
        <v>4</v>
      </c>
      <c r="E31" s="133" t="s">
        <v>69</v>
      </c>
      <c r="F31" s="84">
        <f t="shared" si="4"/>
        <v>0.10687391084416435</v>
      </c>
      <c r="G31" s="149">
        <v>4.3E-3</v>
      </c>
      <c r="H31" s="89">
        <f t="shared" si="5"/>
        <v>1.0909522834437779E-2</v>
      </c>
      <c r="I31" s="150" t="s">
        <v>80</v>
      </c>
      <c r="J31" s="154">
        <f>31/8</f>
        <v>3.875</v>
      </c>
      <c r="K31" s="155">
        <v>0.98</v>
      </c>
      <c r="L31" s="90">
        <f t="shared" si="6"/>
        <v>1203.5510126640002</v>
      </c>
      <c r="M31" s="174">
        <v>8.2667795742632961</v>
      </c>
      <c r="N31" s="91">
        <f t="shared" si="7"/>
        <v>8.898269680630632E-3</v>
      </c>
      <c r="O31" s="91">
        <f t="shared" si="8"/>
        <v>1.7796539361261281E-4</v>
      </c>
      <c r="P31" s="92">
        <f t="shared" si="9"/>
        <v>1.8332877601945333E-3</v>
      </c>
      <c r="Q31" s="49"/>
      <c r="R31" s="49"/>
    </row>
    <row r="32" spans="4:25">
      <c r="D32" s="82">
        <v>5</v>
      </c>
      <c r="E32" s="133" t="s">
        <v>70</v>
      </c>
      <c r="F32" s="84">
        <f t="shared" si="4"/>
        <v>0.12238762413529089</v>
      </c>
      <c r="G32" s="149">
        <v>4.3E-3</v>
      </c>
      <c r="H32" s="89">
        <f t="shared" si="5"/>
        <v>1.1213713291126534E-2</v>
      </c>
      <c r="I32" s="150" t="s">
        <v>80</v>
      </c>
      <c r="J32" s="154">
        <f>31/8</f>
        <v>3.875</v>
      </c>
      <c r="K32" s="155">
        <v>0.98</v>
      </c>
      <c r="L32" s="90">
        <f t="shared" si="6"/>
        <v>1179.9519732000001</v>
      </c>
      <c r="M32" s="174">
        <v>8.2667795742632961</v>
      </c>
      <c r="N32" s="91">
        <f t="shared" si="7"/>
        <v>8.898269680630632E-3</v>
      </c>
      <c r="O32" s="91">
        <f t="shared" si="8"/>
        <v>1.7796539361261281E-4</v>
      </c>
      <c r="P32" s="92">
        <f t="shared" si="9"/>
        <v>2.1374782168832891E-3</v>
      </c>
      <c r="Q32" s="49"/>
      <c r="R32" s="49"/>
    </row>
    <row r="33" spans="4:18">
      <c r="D33" s="82">
        <v>6</v>
      </c>
      <c r="E33" s="133" t="s">
        <v>67</v>
      </c>
      <c r="F33" s="84">
        <f t="shared" si="4"/>
        <v>0.13598749518355963</v>
      </c>
      <c r="G33" s="149">
        <v>1.9E-3</v>
      </c>
      <c r="H33" s="89">
        <f t="shared" si="5"/>
        <v>1.1699871048268723E-2</v>
      </c>
      <c r="I33" s="150" t="s">
        <v>68</v>
      </c>
      <c r="J33" s="154">
        <f>22/8</f>
        <v>2.75</v>
      </c>
      <c r="K33" s="155">
        <v>0.98</v>
      </c>
      <c r="L33" s="90">
        <f t="shared" si="6"/>
        <v>1156.81566</v>
      </c>
      <c r="M33" s="174">
        <v>11.874376768636882</v>
      </c>
      <c r="N33" s="91">
        <f t="shared" si="7"/>
        <v>9.0707044760420623E-3</v>
      </c>
      <c r="O33" s="91">
        <f t="shared" si="8"/>
        <v>1.8141408952084142E-4</v>
      </c>
      <c r="P33" s="92">
        <f t="shared" si="9"/>
        <v>2.4477524827058198E-3</v>
      </c>
      <c r="Q33" s="49"/>
      <c r="R33" s="49"/>
    </row>
    <row r="34" spans="4:18">
      <c r="D34" s="82">
        <v>7</v>
      </c>
      <c r="E34" s="133" t="s">
        <v>81</v>
      </c>
      <c r="F34" s="84">
        <f t="shared" si="4"/>
        <v>0.20217323228529621</v>
      </c>
      <c r="G34" s="149">
        <v>6.2106112246229792E-2</v>
      </c>
      <c r="H34" s="89">
        <f t="shared" si="5"/>
        <v>4.0796248555067926E-3</v>
      </c>
      <c r="I34" s="150"/>
      <c r="J34" s="154"/>
      <c r="K34" s="155">
        <v>0.97</v>
      </c>
      <c r="L34" s="90">
        <f t="shared" si="6"/>
        <v>1134.133</v>
      </c>
      <c r="M34" s="156"/>
      <c r="N34" s="91">
        <f t="shared" si="7"/>
        <v>0</v>
      </c>
      <c r="O34" s="91">
        <f t="shared" si="8"/>
        <v>0</v>
      </c>
      <c r="P34" s="92">
        <f t="shared" si="9"/>
        <v>4.0796248555067926E-3</v>
      </c>
      <c r="Q34" s="49"/>
      <c r="R34" s="49"/>
    </row>
    <row r="35" spans="4:18">
      <c r="D35" s="82">
        <v>8</v>
      </c>
      <c r="E35" s="151" t="s">
        <v>78</v>
      </c>
      <c r="F35" s="84">
        <f t="shared" si="4"/>
        <v>0.60617323228529618</v>
      </c>
      <c r="G35" s="149">
        <v>0.40400000000000003</v>
      </c>
      <c r="H35" s="89">
        <f t="shared" si="5"/>
        <v>0</v>
      </c>
      <c r="I35" s="151"/>
      <c r="J35" s="154"/>
      <c r="K35" s="155">
        <v>1</v>
      </c>
      <c r="L35" s="90">
        <f t="shared" si="6"/>
        <v>1101.0999999999999</v>
      </c>
      <c r="M35" s="156"/>
      <c r="N35" s="91">
        <f t="shared" si="7"/>
        <v>0</v>
      </c>
      <c r="O35" s="91">
        <f t="shared" si="8"/>
        <v>0</v>
      </c>
      <c r="P35" s="92">
        <f t="shared" si="9"/>
        <v>0</v>
      </c>
      <c r="Q35" s="49"/>
      <c r="R35" s="49"/>
    </row>
    <row r="36" spans="4:18">
      <c r="D36" s="82">
        <v>9</v>
      </c>
      <c r="E36" s="151" t="s">
        <v>79</v>
      </c>
      <c r="F36" s="84">
        <f t="shared" si="4"/>
        <v>0.63129967737200143</v>
      </c>
      <c r="G36" s="149">
        <v>2.5126445086705203E-2</v>
      </c>
      <c r="H36" s="89">
        <f t="shared" si="5"/>
        <v>0</v>
      </c>
      <c r="I36" s="151"/>
      <c r="J36" s="154"/>
      <c r="K36" s="155">
        <v>1</v>
      </c>
      <c r="L36" s="90">
        <f t="shared" si="6"/>
        <v>1101.0999999999999</v>
      </c>
      <c r="M36" s="156"/>
      <c r="N36" s="91">
        <f t="shared" si="7"/>
        <v>0</v>
      </c>
      <c r="O36" s="91">
        <f t="shared" si="8"/>
        <v>0</v>
      </c>
      <c r="P36" s="92">
        <f t="shared" si="9"/>
        <v>0</v>
      </c>
      <c r="Q36" s="49"/>
      <c r="R36" s="49"/>
    </row>
    <row r="37" spans="4:18">
      <c r="D37" s="82">
        <v>10</v>
      </c>
      <c r="E37" s="150" t="s">
        <v>58</v>
      </c>
      <c r="F37" s="84">
        <f t="shared" si="4"/>
        <v>0.64437793302572588</v>
      </c>
      <c r="G37" s="149">
        <v>0</v>
      </c>
      <c r="H37" s="89">
        <f t="shared" si="5"/>
        <v>1.30782556537244E-2</v>
      </c>
      <c r="I37" s="150" t="s">
        <v>96</v>
      </c>
      <c r="J37" s="154">
        <f>3600/450</f>
        <v>8</v>
      </c>
      <c r="K37" s="155">
        <v>1</v>
      </c>
      <c r="L37" s="90">
        <f t="shared" si="6"/>
        <v>1101.0999999999999</v>
      </c>
      <c r="M37" s="174">
        <v>5.8852150441759798</v>
      </c>
      <c r="N37" s="91">
        <f t="shared" si="7"/>
        <v>1.30782556537244E-2</v>
      </c>
      <c r="O37" s="91">
        <f t="shared" si="8"/>
        <v>0</v>
      </c>
      <c r="P37" s="92">
        <f t="shared" si="9"/>
        <v>0</v>
      </c>
      <c r="Q37" s="49"/>
      <c r="R37" s="49"/>
    </row>
    <row r="38" spans="4:18" ht="28">
      <c r="D38" s="82">
        <v>11</v>
      </c>
      <c r="E38" s="150" t="s">
        <v>58</v>
      </c>
      <c r="F38" s="84">
        <f t="shared" si="4"/>
        <v>0.65745618867945033</v>
      </c>
      <c r="G38" s="149">
        <v>0</v>
      </c>
      <c r="H38" s="89">
        <f t="shared" si="5"/>
        <v>1.30782556537244E-2</v>
      </c>
      <c r="I38" s="150" t="s">
        <v>97</v>
      </c>
      <c r="J38" s="154">
        <f t="shared" ref="J38:J41" si="10">3600/450</f>
        <v>8</v>
      </c>
      <c r="K38" s="155">
        <v>1</v>
      </c>
      <c r="L38" s="90">
        <f t="shared" si="6"/>
        <v>1101.0999999999999</v>
      </c>
      <c r="M38" s="174">
        <v>5.8852150441759798</v>
      </c>
      <c r="N38" s="91">
        <f t="shared" si="7"/>
        <v>1.30782556537244E-2</v>
      </c>
      <c r="O38" s="91">
        <f t="shared" si="8"/>
        <v>0</v>
      </c>
      <c r="P38" s="92">
        <f t="shared" si="9"/>
        <v>0</v>
      </c>
      <c r="Q38" s="49"/>
      <c r="R38" s="49"/>
    </row>
    <row r="39" spans="4:18" ht="28">
      <c r="D39" s="82">
        <v>12</v>
      </c>
      <c r="E39" s="150" t="s">
        <v>58</v>
      </c>
      <c r="F39" s="84">
        <f t="shared" si="4"/>
        <v>0.67053444433317477</v>
      </c>
      <c r="G39" s="149">
        <v>0</v>
      </c>
      <c r="H39" s="89">
        <f t="shared" si="5"/>
        <v>1.30782556537244E-2</v>
      </c>
      <c r="I39" s="150" t="s">
        <v>98</v>
      </c>
      <c r="J39" s="154">
        <f t="shared" si="10"/>
        <v>8</v>
      </c>
      <c r="K39" s="155">
        <v>1</v>
      </c>
      <c r="L39" s="90">
        <f t="shared" si="6"/>
        <v>1101.0999999999999</v>
      </c>
      <c r="M39" s="174">
        <v>5.8852150441759798</v>
      </c>
      <c r="N39" s="91">
        <f t="shared" si="7"/>
        <v>1.30782556537244E-2</v>
      </c>
      <c r="O39" s="91">
        <f t="shared" si="8"/>
        <v>0</v>
      </c>
      <c r="P39" s="92">
        <f t="shared" si="9"/>
        <v>0</v>
      </c>
      <c r="Q39" s="49"/>
      <c r="R39" s="49"/>
    </row>
    <row r="40" spans="4:18" ht="28">
      <c r="D40" s="82">
        <v>13</v>
      </c>
      <c r="E40" s="150" t="s">
        <v>58</v>
      </c>
      <c r="F40" s="84">
        <f t="shared" si="4"/>
        <v>0.68361269998689922</v>
      </c>
      <c r="G40" s="149">
        <v>0</v>
      </c>
      <c r="H40" s="89">
        <f t="shared" si="5"/>
        <v>1.30782556537244E-2</v>
      </c>
      <c r="I40" s="150" t="s">
        <v>99</v>
      </c>
      <c r="J40" s="154">
        <f t="shared" si="10"/>
        <v>8</v>
      </c>
      <c r="K40" s="155">
        <v>1</v>
      </c>
      <c r="L40" s="90">
        <f t="shared" si="6"/>
        <v>1101.0999999999999</v>
      </c>
      <c r="M40" s="174">
        <v>5.8852150441759798</v>
      </c>
      <c r="N40" s="91">
        <f t="shared" si="7"/>
        <v>1.30782556537244E-2</v>
      </c>
      <c r="O40" s="91">
        <f t="shared" si="8"/>
        <v>0</v>
      </c>
      <c r="P40" s="92">
        <f t="shared" si="9"/>
        <v>0</v>
      </c>
      <c r="Q40" s="49"/>
      <c r="R40" s="49"/>
    </row>
    <row r="41" spans="4:18" ht="28">
      <c r="D41" s="82">
        <v>14</v>
      </c>
      <c r="E41" s="150" t="s">
        <v>58</v>
      </c>
      <c r="F41" s="84">
        <f t="shared" si="4"/>
        <v>0.72357034059771452</v>
      </c>
      <c r="G41" s="149">
        <v>2.6182694001450249E-2</v>
      </c>
      <c r="H41" s="89">
        <f t="shared" si="5"/>
        <v>1.3774946609365023E-2</v>
      </c>
      <c r="I41" s="150" t="s">
        <v>87</v>
      </c>
      <c r="J41" s="154">
        <f t="shared" si="10"/>
        <v>8</v>
      </c>
      <c r="K41" s="155">
        <v>0.999</v>
      </c>
      <c r="L41" s="90">
        <f t="shared" si="6"/>
        <v>1101.0999999999999</v>
      </c>
      <c r="M41" s="174">
        <v>5.8852150441759798</v>
      </c>
      <c r="N41" s="91">
        <f t="shared" si="7"/>
        <v>1.30782556537244E-2</v>
      </c>
      <c r="O41" s="91">
        <f t="shared" si="8"/>
        <v>1.3078255653724411E-5</v>
      </c>
      <c r="P41" s="92">
        <f t="shared" si="9"/>
        <v>6.8361269998689982E-4</v>
      </c>
      <c r="Q41" s="49"/>
      <c r="R41" s="49"/>
    </row>
    <row r="42" spans="4:18" hidden="1">
      <c r="D42" s="82">
        <v>15</v>
      </c>
      <c r="E42" s="150"/>
      <c r="F42" s="84">
        <f t="shared" si="4"/>
        <v>0.72357034059771452</v>
      </c>
      <c r="G42" s="149">
        <v>0</v>
      </c>
      <c r="H42" s="89">
        <f t="shared" si="5"/>
        <v>0</v>
      </c>
      <c r="I42" s="152"/>
      <c r="J42" s="154"/>
      <c r="K42" s="155">
        <v>1</v>
      </c>
      <c r="L42" s="90">
        <f t="shared" si="6"/>
        <v>1100</v>
      </c>
      <c r="M42" s="156">
        <v>0</v>
      </c>
      <c r="N42" s="91">
        <f t="shared" si="7"/>
        <v>0</v>
      </c>
      <c r="O42" s="91">
        <f t="shared" si="8"/>
        <v>0</v>
      </c>
      <c r="P42" s="92">
        <f t="shared" si="9"/>
        <v>0</v>
      </c>
      <c r="Q42" s="49"/>
      <c r="R42" s="49"/>
    </row>
    <row r="43" spans="4:18" hidden="1">
      <c r="D43" s="82">
        <v>16</v>
      </c>
      <c r="E43" s="150"/>
      <c r="F43" s="84">
        <f t="shared" si="4"/>
        <v>0.72357034059771452</v>
      </c>
      <c r="G43" s="149">
        <v>0</v>
      </c>
      <c r="H43" s="89">
        <f t="shared" si="5"/>
        <v>0</v>
      </c>
      <c r="I43" s="152"/>
      <c r="J43" s="154"/>
      <c r="K43" s="155">
        <v>1</v>
      </c>
      <c r="L43" s="90">
        <f>(1-K43)*L44+L44</f>
        <v>1100</v>
      </c>
      <c r="M43" s="156">
        <v>0</v>
      </c>
      <c r="N43" s="91">
        <f t="shared" si="7"/>
        <v>0</v>
      </c>
      <c r="O43" s="91">
        <f t="shared" si="8"/>
        <v>0</v>
      </c>
      <c r="P43" s="92">
        <f t="shared" si="9"/>
        <v>0</v>
      </c>
      <c r="Q43" s="49"/>
      <c r="R43" s="49"/>
    </row>
    <row r="44" spans="4:18" hidden="1">
      <c r="D44" s="82">
        <v>17</v>
      </c>
      <c r="E44" s="133"/>
      <c r="F44" s="84">
        <f t="shared" si="4"/>
        <v>0.72357034059771452</v>
      </c>
      <c r="G44" s="149">
        <v>0</v>
      </c>
      <c r="H44" s="89">
        <f t="shared" si="5"/>
        <v>0</v>
      </c>
      <c r="I44" s="152"/>
      <c r="J44" s="154"/>
      <c r="K44" s="155">
        <v>1</v>
      </c>
      <c r="L44" s="90">
        <f t="shared" si="6"/>
        <v>1100</v>
      </c>
      <c r="M44" s="156">
        <v>0</v>
      </c>
      <c r="N44" s="91">
        <f t="shared" si="7"/>
        <v>0</v>
      </c>
      <c r="O44" s="91">
        <f t="shared" si="8"/>
        <v>0</v>
      </c>
      <c r="P44" s="92">
        <f t="shared" si="9"/>
        <v>0</v>
      </c>
      <c r="Q44" s="49"/>
      <c r="R44" s="49"/>
    </row>
    <row r="45" spans="4:18" hidden="1">
      <c r="D45" s="82">
        <v>18</v>
      </c>
      <c r="E45" s="153"/>
      <c r="F45" s="84">
        <f t="shared" si="4"/>
        <v>0.72357034059771452</v>
      </c>
      <c r="G45" s="149">
        <v>0</v>
      </c>
      <c r="H45" s="89">
        <f t="shared" si="5"/>
        <v>0</v>
      </c>
      <c r="I45" s="152"/>
      <c r="J45" s="154"/>
      <c r="K45" s="155">
        <v>1</v>
      </c>
      <c r="L45" s="90">
        <f t="shared" si="6"/>
        <v>1100</v>
      </c>
      <c r="M45" s="156">
        <v>0</v>
      </c>
      <c r="N45" s="91">
        <f t="shared" si="7"/>
        <v>0</v>
      </c>
      <c r="O45" s="91">
        <f t="shared" si="8"/>
        <v>0</v>
      </c>
      <c r="P45" s="92">
        <f t="shared" si="9"/>
        <v>0</v>
      </c>
      <c r="Q45" s="49"/>
      <c r="R45" s="49"/>
    </row>
    <row r="46" spans="4:18" hidden="1">
      <c r="D46" s="82">
        <v>19</v>
      </c>
      <c r="E46" s="152"/>
      <c r="F46" s="84">
        <f t="shared" si="4"/>
        <v>0.72357034059771452</v>
      </c>
      <c r="G46" s="149">
        <v>0</v>
      </c>
      <c r="H46" s="89">
        <f t="shared" si="5"/>
        <v>0</v>
      </c>
      <c r="I46" s="152"/>
      <c r="J46" s="154"/>
      <c r="K46" s="155">
        <v>1</v>
      </c>
      <c r="L46" s="90">
        <f t="shared" si="6"/>
        <v>1100</v>
      </c>
      <c r="M46" s="156">
        <v>0</v>
      </c>
      <c r="N46" s="91">
        <f t="shared" si="7"/>
        <v>0</v>
      </c>
      <c r="O46" s="91">
        <f t="shared" si="8"/>
        <v>0</v>
      </c>
      <c r="P46" s="92">
        <f t="shared" si="9"/>
        <v>0</v>
      </c>
      <c r="Q46" s="49"/>
      <c r="R46" s="49"/>
    </row>
    <row r="47" spans="4:18" hidden="1">
      <c r="D47" s="82">
        <v>20</v>
      </c>
      <c r="E47" s="152"/>
      <c r="F47" s="84">
        <f t="shared" si="4"/>
        <v>0.72357034059771452</v>
      </c>
      <c r="G47" s="149">
        <v>0</v>
      </c>
      <c r="H47" s="89">
        <f t="shared" si="5"/>
        <v>0</v>
      </c>
      <c r="I47" s="152"/>
      <c r="J47" s="154"/>
      <c r="K47" s="155">
        <v>1</v>
      </c>
      <c r="L47" s="90">
        <f t="shared" si="6"/>
        <v>1100</v>
      </c>
      <c r="M47" s="156">
        <v>0</v>
      </c>
      <c r="N47" s="91">
        <f t="shared" si="7"/>
        <v>0</v>
      </c>
      <c r="O47" s="91">
        <f t="shared" si="8"/>
        <v>0</v>
      </c>
      <c r="P47" s="92">
        <f t="shared" si="9"/>
        <v>0</v>
      </c>
      <c r="Q47" s="49"/>
      <c r="R47" s="49"/>
    </row>
    <row r="48" spans="4:18" hidden="1">
      <c r="D48" s="82">
        <v>21</v>
      </c>
      <c r="E48" s="152"/>
      <c r="F48" s="84">
        <f t="shared" si="4"/>
        <v>0.72357034059771452</v>
      </c>
      <c r="G48" s="149">
        <v>0</v>
      </c>
      <c r="H48" s="89">
        <f t="shared" si="5"/>
        <v>0</v>
      </c>
      <c r="I48" s="152"/>
      <c r="J48" s="154"/>
      <c r="K48" s="155">
        <v>1</v>
      </c>
      <c r="L48" s="90">
        <f t="shared" si="6"/>
        <v>1100</v>
      </c>
      <c r="M48" s="156">
        <v>0</v>
      </c>
      <c r="N48" s="91">
        <f t="shared" si="7"/>
        <v>0</v>
      </c>
      <c r="O48" s="91">
        <f t="shared" si="8"/>
        <v>0</v>
      </c>
      <c r="P48" s="92">
        <f t="shared" si="9"/>
        <v>0</v>
      </c>
      <c r="Q48" s="49"/>
      <c r="R48" s="49"/>
    </row>
    <row r="49" spans="4:18" hidden="1">
      <c r="D49" s="82">
        <v>22</v>
      </c>
      <c r="E49" s="152"/>
      <c r="F49" s="84">
        <f t="shared" si="4"/>
        <v>0.72357034059771452</v>
      </c>
      <c r="G49" s="149">
        <v>0</v>
      </c>
      <c r="H49" s="89">
        <f t="shared" si="5"/>
        <v>0</v>
      </c>
      <c r="I49" s="152"/>
      <c r="J49" s="154"/>
      <c r="K49" s="155">
        <v>1</v>
      </c>
      <c r="L49" s="90">
        <f t="shared" si="6"/>
        <v>1100</v>
      </c>
      <c r="M49" s="156">
        <v>0</v>
      </c>
      <c r="N49" s="91">
        <f t="shared" si="7"/>
        <v>0</v>
      </c>
      <c r="O49" s="91">
        <f t="shared" si="8"/>
        <v>0</v>
      </c>
      <c r="P49" s="92">
        <f t="shared" si="9"/>
        <v>0</v>
      </c>
      <c r="Q49" s="49"/>
      <c r="R49" s="49"/>
    </row>
    <row r="50" spans="4:18" hidden="1">
      <c r="D50" s="82">
        <v>23</v>
      </c>
      <c r="E50" s="152"/>
      <c r="F50" s="84">
        <f t="shared" si="4"/>
        <v>0.72357034059771452</v>
      </c>
      <c r="G50" s="149">
        <v>0</v>
      </c>
      <c r="H50" s="89">
        <f t="shared" si="5"/>
        <v>0</v>
      </c>
      <c r="I50" s="152"/>
      <c r="J50" s="154"/>
      <c r="K50" s="155">
        <v>1</v>
      </c>
      <c r="L50" s="90">
        <f t="shared" si="6"/>
        <v>1100</v>
      </c>
      <c r="M50" s="156">
        <v>0</v>
      </c>
      <c r="N50" s="91">
        <f t="shared" si="7"/>
        <v>0</v>
      </c>
      <c r="O50" s="91">
        <f t="shared" si="8"/>
        <v>0</v>
      </c>
      <c r="P50" s="92">
        <f t="shared" si="9"/>
        <v>0</v>
      </c>
      <c r="Q50" s="49"/>
      <c r="R50" s="49"/>
    </row>
    <row r="51" spans="4:18" hidden="1">
      <c r="D51" s="82">
        <v>24</v>
      </c>
      <c r="E51" s="133"/>
      <c r="F51" s="84">
        <f t="shared" si="4"/>
        <v>0.72357034059771452</v>
      </c>
      <c r="G51" s="149">
        <v>0</v>
      </c>
      <c r="H51" s="89">
        <f t="shared" si="5"/>
        <v>0</v>
      </c>
      <c r="I51" s="152"/>
      <c r="J51" s="154"/>
      <c r="K51" s="155">
        <v>1</v>
      </c>
      <c r="L51" s="90">
        <f t="shared" si="6"/>
        <v>1100</v>
      </c>
      <c r="M51" s="156">
        <v>0</v>
      </c>
      <c r="N51" s="91">
        <f t="shared" si="7"/>
        <v>0</v>
      </c>
      <c r="O51" s="91">
        <f t="shared" si="8"/>
        <v>0</v>
      </c>
      <c r="P51" s="92">
        <f t="shared" si="9"/>
        <v>0</v>
      </c>
      <c r="Q51" s="49"/>
      <c r="R51" s="49"/>
    </row>
    <row r="52" spans="4:18" hidden="1">
      <c r="D52" s="82">
        <v>25</v>
      </c>
      <c r="E52" s="133"/>
      <c r="F52" s="84">
        <f t="shared" si="4"/>
        <v>0.72357034059771452</v>
      </c>
      <c r="G52" s="149">
        <v>0</v>
      </c>
      <c r="H52" s="89">
        <f t="shared" si="5"/>
        <v>0</v>
      </c>
      <c r="I52" s="152"/>
      <c r="J52" s="154"/>
      <c r="K52" s="155">
        <v>1</v>
      </c>
      <c r="L52" s="90">
        <f t="shared" si="6"/>
        <v>1100</v>
      </c>
      <c r="M52" s="156">
        <v>0</v>
      </c>
      <c r="N52" s="91">
        <f t="shared" si="7"/>
        <v>0</v>
      </c>
      <c r="O52" s="91">
        <f t="shared" si="8"/>
        <v>0</v>
      </c>
      <c r="P52" s="92">
        <f t="shared" si="9"/>
        <v>0</v>
      </c>
      <c r="Q52" s="49"/>
      <c r="R52" s="49"/>
    </row>
    <row r="53" spans="4:18" hidden="1">
      <c r="D53" s="82">
        <v>26</v>
      </c>
      <c r="E53" s="133"/>
      <c r="F53" s="84">
        <f t="shared" si="4"/>
        <v>0.72357034059771452</v>
      </c>
      <c r="G53" s="149">
        <v>0</v>
      </c>
      <c r="H53" s="89">
        <f t="shared" si="5"/>
        <v>0</v>
      </c>
      <c r="I53" s="152"/>
      <c r="J53" s="154"/>
      <c r="K53" s="155">
        <v>1</v>
      </c>
      <c r="L53" s="90">
        <f t="shared" si="6"/>
        <v>1100</v>
      </c>
      <c r="M53" s="156">
        <v>0</v>
      </c>
      <c r="N53" s="91">
        <f t="shared" si="7"/>
        <v>0</v>
      </c>
      <c r="O53" s="91">
        <f t="shared" si="8"/>
        <v>0</v>
      </c>
      <c r="P53" s="92">
        <f t="shared" si="9"/>
        <v>0</v>
      </c>
      <c r="Q53" s="49"/>
      <c r="R53" s="49"/>
    </row>
    <row r="54" spans="4:18">
      <c r="D54" s="93" t="s">
        <v>41</v>
      </c>
      <c r="E54" s="94"/>
      <c r="F54" s="84">
        <f>F53+G54+H54</f>
        <v>0.72357034059771452</v>
      </c>
      <c r="G54" s="149">
        <v>0</v>
      </c>
      <c r="H54" s="89">
        <f t="shared" si="5"/>
        <v>0</v>
      </c>
      <c r="I54" s="89">
        <f>SUM(G54:H54)</f>
        <v>0</v>
      </c>
      <c r="J54" s="154"/>
      <c r="K54" s="155">
        <v>1</v>
      </c>
      <c r="L54" s="90">
        <f t="shared" si="6"/>
        <v>1100</v>
      </c>
      <c r="M54" s="156">
        <v>0</v>
      </c>
      <c r="N54" s="91">
        <f t="shared" si="7"/>
        <v>0</v>
      </c>
      <c r="O54" s="91">
        <f t="shared" si="8"/>
        <v>0</v>
      </c>
      <c r="P54" s="92">
        <f>(1-K54)*F53</f>
        <v>0</v>
      </c>
      <c r="Q54" s="49"/>
      <c r="R54" s="49"/>
    </row>
    <row r="55" spans="4:18">
      <c r="D55" s="93" t="s">
        <v>42</v>
      </c>
      <c r="E55" s="94"/>
      <c r="F55" s="84">
        <f t="shared" si="4"/>
        <v>0.74869509153419778</v>
      </c>
      <c r="G55" s="149">
        <v>2.5124750936483236E-2</v>
      </c>
      <c r="H55" s="89">
        <f t="shared" si="5"/>
        <v>0</v>
      </c>
      <c r="I55" s="177">
        <f>SUM(G55:H55)</f>
        <v>2.5124750936483236E-2</v>
      </c>
      <c r="J55" s="154"/>
      <c r="K55" s="155">
        <v>1</v>
      </c>
      <c r="L55" s="90">
        <f>(1-K55)*L57+L57</f>
        <v>1100</v>
      </c>
      <c r="M55" s="156">
        <v>0</v>
      </c>
      <c r="N55" s="91">
        <f t="shared" si="7"/>
        <v>0</v>
      </c>
      <c r="O55" s="91">
        <f t="shared" si="8"/>
        <v>0</v>
      </c>
      <c r="P55" s="92">
        <f t="shared" si="9"/>
        <v>0</v>
      </c>
      <c r="Q55" s="49"/>
      <c r="R55" s="49"/>
    </row>
    <row r="56" spans="4:18">
      <c r="D56" s="93" t="s">
        <v>43</v>
      </c>
      <c r="E56" s="95"/>
      <c r="F56" s="84">
        <f>F55</f>
        <v>0.74869509153419778</v>
      </c>
      <c r="G56" s="84">
        <f>SUM(G27:G55)</f>
        <v>0.61150953384981588</v>
      </c>
      <c r="H56" s="96">
        <f>SUM(H27:H55)</f>
        <v>0.13718555768438168</v>
      </c>
      <c r="I56" s="95"/>
      <c r="J56" s="95"/>
      <c r="K56" s="95"/>
      <c r="L56" s="97"/>
      <c r="M56" s="95"/>
      <c r="N56" s="95"/>
      <c r="O56" s="95"/>
      <c r="P56" s="98"/>
      <c r="Q56" s="49"/>
      <c r="R56" s="49"/>
    </row>
    <row r="57" spans="4:18">
      <c r="D57" s="93" t="s">
        <v>44</v>
      </c>
      <c r="E57" s="99"/>
      <c r="F57" s="84">
        <f>F56+H57</f>
        <v>0.74869509153419778</v>
      </c>
      <c r="G57" s="84"/>
      <c r="H57" s="157">
        <v>0</v>
      </c>
      <c r="I57" s="83"/>
      <c r="J57" s="83"/>
      <c r="K57" s="163" t="s">
        <v>45</v>
      </c>
      <c r="L57" s="164">
        <f>F14</f>
        <v>1100</v>
      </c>
      <c r="M57" s="83"/>
      <c r="N57" s="83"/>
      <c r="O57" s="83"/>
      <c r="P57" s="88"/>
      <c r="Q57" s="49"/>
      <c r="R57" s="49"/>
    </row>
    <row r="58" spans="4:18">
      <c r="D58" s="93" t="s">
        <v>46</v>
      </c>
      <c r="E58" s="175">
        <v>4.1200000000000001E-2</v>
      </c>
      <c r="F58" s="84">
        <f>F57+H58</f>
        <v>0.77954132930540676</v>
      </c>
      <c r="G58" s="84"/>
      <c r="H58" s="100">
        <f>F55*E58</f>
        <v>3.0846237771208949E-2</v>
      </c>
      <c r="I58" s="83"/>
      <c r="J58" s="83"/>
      <c r="K58" s="83"/>
      <c r="L58" s="101"/>
      <c r="M58" s="83"/>
      <c r="N58" s="83"/>
      <c r="O58" s="83"/>
      <c r="P58" s="88"/>
      <c r="Q58" s="49"/>
      <c r="R58" s="49"/>
    </row>
    <row r="59" spans="4:18">
      <c r="D59" s="93" t="s">
        <v>47</v>
      </c>
      <c r="E59" s="222">
        <v>5.4399999999999997E-2</v>
      </c>
      <c r="F59" s="84">
        <f>F58+H59</f>
        <v>0.82027034228486717</v>
      </c>
      <c r="G59" s="84"/>
      <c r="H59" s="100">
        <f>F56*E59</f>
        <v>4.0729012979460355E-2</v>
      </c>
      <c r="I59" s="95"/>
      <c r="J59" s="102"/>
      <c r="K59" s="102"/>
      <c r="L59" s="97"/>
      <c r="M59" s="83"/>
      <c r="N59" s="83"/>
      <c r="O59" s="83"/>
      <c r="P59" s="88"/>
      <c r="Q59" s="49"/>
      <c r="R59" s="49"/>
    </row>
    <row r="60" spans="4:18">
      <c r="D60" s="93" t="s">
        <v>48</v>
      </c>
      <c r="E60" s="158" t="s">
        <v>49</v>
      </c>
      <c r="F60" s="84">
        <f>F59+H60</f>
        <v>0.82027034228486717</v>
      </c>
      <c r="G60" s="84"/>
      <c r="H60" s="157">
        <v>0</v>
      </c>
      <c r="I60" s="103"/>
      <c r="J60" s="83"/>
      <c r="K60" s="83"/>
      <c r="L60" s="104"/>
      <c r="M60" s="83"/>
      <c r="N60" s="83"/>
      <c r="O60" s="83"/>
      <c r="P60" s="88"/>
      <c r="Q60" s="49"/>
      <c r="R60" s="49"/>
    </row>
    <row r="61" spans="4:18" s="131" customFormat="1" ht="21" thickBot="1">
      <c r="D61" s="125" t="s">
        <v>50</v>
      </c>
      <c r="E61" s="126"/>
      <c r="F61" s="176">
        <f>F60</f>
        <v>0.82027034228486717</v>
      </c>
      <c r="G61" s="127"/>
      <c r="H61" s="127"/>
      <c r="I61" s="128"/>
      <c r="J61" s="128"/>
      <c r="K61" s="128"/>
      <c r="L61" s="129"/>
      <c r="M61" s="128"/>
      <c r="N61" s="128"/>
      <c r="O61" s="128"/>
      <c r="P61" s="130"/>
    </row>
    <row r="62" spans="4:18" ht="5" customHeight="1">
      <c r="D62" s="105"/>
      <c r="E62" s="106"/>
      <c r="F62" s="107"/>
      <c r="G62" s="108"/>
      <c r="H62" s="108"/>
      <c r="I62" s="109"/>
      <c r="J62" s="109"/>
      <c r="K62" s="109"/>
      <c r="L62" s="110"/>
      <c r="M62" s="109"/>
      <c r="N62" s="109"/>
      <c r="O62" s="109"/>
      <c r="P62" s="111"/>
      <c r="Q62" s="49"/>
      <c r="R62" s="49"/>
    </row>
    <row r="63" spans="4:18">
      <c r="D63" s="112" t="s">
        <v>51</v>
      </c>
      <c r="E63" s="113"/>
      <c r="F63" s="114">
        <f>SUM(H27:H55)</f>
        <v>0.13718555768438168</v>
      </c>
      <c r="G63" s="86"/>
      <c r="H63" s="102"/>
      <c r="I63" s="95"/>
      <c r="J63" s="95"/>
      <c r="K63" s="95"/>
      <c r="L63" s="97"/>
      <c r="M63" s="95"/>
      <c r="N63" s="102"/>
      <c r="O63" s="102"/>
      <c r="P63" s="115"/>
      <c r="Q63" s="49"/>
      <c r="R63" s="49"/>
    </row>
    <row r="64" spans="4:18">
      <c r="D64" s="116" t="s">
        <v>52</v>
      </c>
      <c r="E64" s="113"/>
      <c r="F64" s="114">
        <f>SUM(N28:N55)</f>
        <v>0.12187260001764635</v>
      </c>
      <c r="G64" s="86"/>
      <c r="H64" s="102"/>
      <c r="I64" s="95"/>
      <c r="J64" s="95"/>
      <c r="K64" s="95"/>
      <c r="L64" s="97"/>
      <c r="M64" s="95"/>
      <c r="N64" s="91"/>
      <c r="O64" s="91"/>
      <c r="P64" s="92"/>
      <c r="Q64" s="49"/>
      <c r="R64" s="49"/>
    </row>
    <row r="65" spans="4:18">
      <c r="D65" s="116" t="s">
        <v>53</v>
      </c>
      <c r="E65" s="113"/>
      <c r="F65" s="114">
        <f>SUM(O28:O55)</f>
        <v>1.0602437408520115E-3</v>
      </c>
      <c r="G65" s="86"/>
      <c r="H65" s="102"/>
      <c r="I65" s="95"/>
      <c r="J65" s="95"/>
      <c r="K65" s="95"/>
      <c r="L65" s="97"/>
      <c r="M65" s="95"/>
      <c r="N65" s="91"/>
      <c r="O65" s="91"/>
      <c r="P65" s="92"/>
      <c r="Q65" s="49"/>
      <c r="R65" s="49"/>
    </row>
    <row r="66" spans="4:18">
      <c r="D66" s="116" t="s">
        <v>54</v>
      </c>
      <c r="E66" s="113"/>
      <c r="F66" s="114">
        <f>SUM(P28:P55)</f>
        <v>1.4252713925883316E-2</v>
      </c>
      <c r="G66" s="86"/>
      <c r="H66" s="102"/>
      <c r="I66" s="95"/>
      <c r="J66" s="95"/>
      <c r="K66" s="95"/>
      <c r="L66" s="97"/>
      <c r="M66" s="95"/>
      <c r="N66" s="91"/>
      <c r="O66" s="91"/>
      <c r="P66" s="92"/>
      <c r="Q66" s="49"/>
      <c r="R66" s="49"/>
    </row>
    <row r="67" spans="4:18">
      <c r="D67" s="112" t="s">
        <v>55</v>
      </c>
      <c r="E67" s="113"/>
      <c r="F67" s="117">
        <f>SUM(G27:G55)</f>
        <v>0.61150953384981588</v>
      </c>
      <c r="G67" s="102"/>
      <c r="H67" s="89"/>
      <c r="I67" s="95"/>
      <c r="J67" s="95"/>
      <c r="K67" s="95"/>
      <c r="L67" s="97"/>
      <c r="M67" s="95"/>
      <c r="N67" s="95"/>
      <c r="O67" s="95"/>
      <c r="P67" s="98"/>
      <c r="Q67" s="49"/>
      <c r="R67" s="49"/>
    </row>
    <row r="68" spans="4:18" ht="5" customHeight="1"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20"/>
      <c r="Q68" s="49"/>
      <c r="R68" s="49"/>
    </row>
    <row r="69" spans="4:18" ht="20">
      <c r="D69" s="159" t="s">
        <v>56</v>
      </c>
      <c r="E69" s="160"/>
      <c r="F69" s="160"/>
      <c r="G69" s="160"/>
      <c r="H69" s="160"/>
      <c r="I69" s="160"/>
      <c r="J69" s="165">
        <f>SUM(J28:J55)</f>
        <v>58.5</v>
      </c>
      <c r="K69" s="160"/>
      <c r="L69" s="102"/>
      <c r="M69" s="102"/>
      <c r="N69" s="102"/>
      <c r="O69" s="102"/>
      <c r="P69" s="115"/>
    </row>
    <row r="70" spans="4:18" ht="21" thickBot="1">
      <c r="D70" s="161" t="s">
        <v>34</v>
      </c>
      <c r="E70" s="162"/>
      <c r="F70" s="162"/>
      <c r="G70" s="162"/>
      <c r="H70" s="162"/>
      <c r="I70" s="162"/>
      <c r="J70" s="162"/>
      <c r="K70" s="166">
        <f>PRODUCT(K28:K55)</f>
        <v>0.86716710602587288</v>
      </c>
      <c r="L70" s="121"/>
      <c r="M70" s="121"/>
      <c r="N70" s="121"/>
      <c r="O70" s="121"/>
      <c r="P70" s="122"/>
    </row>
    <row r="72" spans="4:18" ht="15" thickBot="1">
      <c r="D72" s="123" t="s">
        <v>57</v>
      </c>
    </row>
    <row r="73" spans="4:18">
      <c r="D73" s="237"/>
      <c r="E73" s="238"/>
      <c r="F73" s="238"/>
      <c r="G73" s="238"/>
      <c r="H73" s="239"/>
    </row>
    <row r="74" spans="4:18">
      <c r="D74" s="240"/>
      <c r="E74" s="241"/>
      <c r="F74" s="241"/>
      <c r="G74" s="241"/>
      <c r="H74" s="242"/>
    </row>
    <row r="75" spans="4:18" ht="15" thickBot="1">
      <c r="D75" s="243"/>
      <c r="E75" s="244"/>
      <c r="F75" s="244"/>
      <c r="G75" s="244"/>
      <c r="H75" s="245"/>
    </row>
  </sheetData>
  <mergeCells count="4">
    <mergeCell ref="D7:D9"/>
    <mergeCell ref="D12:D14"/>
    <mergeCell ref="D18:D24"/>
    <mergeCell ref="D73:H75"/>
  </mergeCells>
  <dataValidations count="11">
    <dataValidation type="decimal" allowBlank="1" showInputMessage="1" showErrorMessage="1" errorTitle="Invalid entry" error="Must be between 0-100%" sqref="E58:E59">
      <formula1>0</formula1>
      <formula2>1</formula2>
    </dataValidation>
    <dataValidation type="decimal" operator="greaterThanOrEqual" allowBlank="1" showInputMessage="1" showErrorMessage="1" errorTitle="Invalid entry" error="Must be greater than or equal to $0" sqref="F24 H60 H57 G28:G55">
      <formula1>0</formula1>
    </dataValidation>
    <dataValidation type="decimal" operator="greaterThanOrEqual" allowBlank="1" showInputMessage="1" showErrorMessage="1" errorTitle="Invalid entry" error="Material cost / Kg must be greater than $0" sqref="I20:P20">
      <formula1>0</formula1>
    </dataValidation>
    <dataValidation type="decimal" operator="greaterThanOrEqual" allowBlank="1" showInputMessage="1" showErrorMessage="1" errorTitle="Invalid entry" error="Kg Material / Component must be greater than 0" sqref="I21:P21">
      <formula1>0</formula1>
    </dataValidation>
    <dataValidation type="decimal" operator="greaterThanOrEqual" allowBlank="1" showInputMessage="1" showErrorMessage="1" errorTitle="Invalid entry" error="Components / Part must be greater than 0" sqref="F23:P23">
      <formula1>0</formula1>
    </dataValidation>
    <dataValidation type="decimal" operator="greaterThanOrEqual" allowBlank="1" showInputMessage="1" showErrorMessage="1" errorTitle="Invalid entry" error="Cycle time must be greater than 0 seconds_x000a_" sqref="J28:J55">
      <formula1>0</formula1>
    </dataValidation>
    <dataValidation type="decimal" operator="greaterThanOrEqual" allowBlank="1" showInputMessage="1" showErrorMessage="1" errorTitle="Invalid entry" error="Total Rate $/hr must be greater than $0" sqref="M28:M55">
      <formula1>0</formula1>
    </dataValidation>
    <dataValidation type="decimal" allowBlank="1" showInputMessage="1" showErrorMessage="1" errorTitle="Invalid entry" error="Yield must be between 0-100%" sqref="K28:K55">
      <formula1>0</formula1>
      <formula2>1</formula2>
    </dataValidation>
    <dataValidation type="decimal" operator="greaterThan" allowBlank="1" showInputMessage="1" showErrorMessage="1" errorTitle="Invalid format" error="Must enter number only" sqref="H12:H14 F14">
      <formula1>0</formula1>
    </dataValidation>
    <dataValidation type="decimal" operator="greaterThanOrEqual" allowBlank="1" showInputMessage="1" showErrorMessage="1" errorTitle="Invalid entry" error="Kg Material / Component must be greater than 0" sqref="F21:H21">
      <formula1>0</formula1>
    </dataValidation>
    <dataValidation type="decimal" operator="greaterThanOrEqual" allowBlank="1" showInputMessage="1" showErrorMessage="1" errorTitle="Invalid entry" error="Material cost / Kg must be greater than $0" sqref="F20:H20">
      <formula1>0</formula1>
    </dataValidation>
  </dataValidations>
  <pageMargins left="0.7" right="0.7" top="0.75" bottom="0.75" header="0.3" footer="0.3"/>
  <pageSetup scale="32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Option1-Concept 1+Assy optionA</vt:lpstr>
      <vt:lpstr>Option2-Concept 1+Assy optionB</vt:lpstr>
      <vt:lpstr>Option3 Concept 2+Assy optionA</vt:lpstr>
      <vt:lpstr>Option4-Concept 2+Assy optionB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 Global Inc.</dc:creator>
  <cp:lastModifiedBy>Rodney Manzo</cp:lastModifiedBy>
  <dcterms:created xsi:type="dcterms:W3CDTF">2015-06-25T13:05:46Z</dcterms:created>
  <dcterms:modified xsi:type="dcterms:W3CDTF">2016-08-08T16:35:59Z</dcterms:modified>
</cp:coreProperties>
</file>