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10" windowWidth="15360" windowHeight="7935"/>
  </bookViews>
  <sheets>
    <sheet name="Truman Wildcat " sheetId="5" r:id="rId1"/>
  </sheets>
  <calcPr calcId="145621"/>
</workbook>
</file>

<file path=xl/calcChain.xml><?xml version="1.0" encoding="utf-8"?>
<calcChain xmlns="http://schemas.openxmlformats.org/spreadsheetml/2006/main">
  <c r="E43" i="5" l="1"/>
  <c r="J9" i="5" l="1"/>
  <c r="H21" i="5" l="1"/>
  <c r="H20" i="5"/>
  <c r="H18" i="5"/>
  <c r="H17" i="5"/>
  <c r="F49" i="5" l="1"/>
  <c r="J12" i="5" l="1"/>
  <c r="K12" i="5"/>
  <c r="L12" i="5"/>
  <c r="D12" i="5"/>
  <c r="E12" i="5"/>
  <c r="F12" i="5"/>
  <c r="G12" i="5"/>
  <c r="H12" i="5"/>
  <c r="I12" i="5"/>
  <c r="N27" i="5" s="1"/>
  <c r="N30" i="5" l="1"/>
  <c r="N23" i="5"/>
  <c r="N26" i="5"/>
  <c r="N22" i="5"/>
  <c r="N24" i="5"/>
  <c r="N28" i="5"/>
  <c r="N25" i="5"/>
  <c r="E15" i="5"/>
  <c r="D15" i="5" s="1"/>
  <c r="N29" i="5" l="1"/>
  <c r="L24" i="5"/>
  <c r="M24" i="5" l="1"/>
  <c r="L43" i="5"/>
  <c r="L42" i="5"/>
  <c r="M42" i="5" s="1"/>
  <c r="L41" i="5"/>
  <c r="L40" i="5"/>
  <c r="M40" i="5" s="1"/>
  <c r="L39" i="5"/>
  <c r="L38" i="5"/>
  <c r="M38" i="5" s="1"/>
  <c r="L37" i="5"/>
  <c r="L36" i="5"/>
  <c r="M36" i="5" s="1"/>
  <c r="L35" i="5"/>
  <c r="L34" i="5"/>
  <c r="M34" i="5" s="1"/>
  <c r="L33" i="5"/>
  <c r="L32" i="5"/>
  <c r="M32" i="5" s="1"/>
  <c r="L31" i="5"/>
  <c r="L30" i="5"/>
  <c r="L29" i="5"/>
  <c r="L28" i="5"/>
  <c r="L27" i="5"/>
  <c r="L26" i="5"/>
  <c r="L25" i="5"/>
  <c r="M27" i="5" s="1"/>
  <c r="L23" i="5"/>
  <c r="L22" i="5"/>
  <c r="L21" i="5"/>
  <c r="L20" i="5"/>
  <c r="L19" i="5"/>
  <c r="L18" i="5"/>
  <c r="L17" i="5"/>
  <c r="N16" i="5"/>
  <c r="L16" i="5"/>
  <c r="N21" i="5"/>
  <c r="N18" i="5"/>
  <c r="J45" i="5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M25" i="5" l="1"/>
  <c r="M28" i="5"/>
  <c r="M22" i="5"/>
  <c r="M23" i="5"/>
  <c r="M26" i="5"/>
  <c r="M30" i="5"/>
  <c r="M29" i="5"/>
  <c r="N19" i="5"/>
  <c r="M18" i="5"/>
  <c r="F18" i="5" s="1"/>
  <c r="N20" i="5"/>
  <c r="M21" i="5"/>
  <c r="F21" i="5" s="1"/>
  <c r="M31" i="5"/>
  <c r="M33" i="5"/>
  <c r="M35" i="5"/>
  <c r="M37" i="5"/>
  <c r="M39" i="5"/>
  <c r="M43" i="5"/>
  <c r="M41" i="5"/>
  <c r="M17" i="5"/>
  <c r="M20" i="5"/>
  <c r="M16" i="5"/>
  <c r="F16" i="5" s="1"/>
  <c r="N17" i="5"/>
  <c r="M19" i="5"/>
  <c r="F19" i="5" l="1"/>
  <c r="F17" i="5"/>
  <c r="F20" i="5"/>
  <c r="F22" i="5"/>
  <c r="F25" i="5"/>
  <c r="F23" i="5"/>
  <c r="D16" i="5"/>
  <c r="E44" i="5"/>
  <c r="F24" i="5"/>
  <c r="D17" i="5" l="1"/>
  <c r="D18" i="5" s="1"/>
  <c r="D19" i="5" s="1"/>
  <c r="D20" i="5" s="1"/>
  <c r="D21" i="5" s="1"/>
  <c r="D22" i="5" s="1"/>
  <c r="D23" i="5" s="1"/>
  <c r="D24" i="5" s="1"/>
  <c r="D25" i="5" s="1"/>
  <c r="F26" i="5"/>
  <c r="D26" i="5" l="1"/>
  <c r="F27" i="5"/>
  <c r="D27" i="5" l="1"/>
  <c r="F28" i="5"/>
  <c r="D28" i="5" l="1"/>
  <c r="F29" i="5"/>
  <c r="D29" i="5" l="1"/>
  <c r="F30" i="5" s="1"/>
  <c r="D30" i="5" s="1"/>
  <c r="N31" i="5" l="1"/>
  <c r="F31" i="5" s="1"/>
  <c r="D31" i="5" s="1"/>
  <c r="N32" i="5" l="1"/>
  <c r="F32" i="5" s="1"/>
  <c r="D32" i="5" s="1"/>
  <c r="N33" i="5" l="1"/>
  <c r="F33" i="5" s="1"/>
  <c r="D33" i="5" s="1"/>
  <c r="N34" i="5" l="1"/>
  <c r="F34" i="5" s="1"/>
  <c r="D34" i="5" s="1"/>
  <c r="N35" i="5" l="1"/>
  <c r="F35" i="5" s="1"/>
  <c r="D35" i="5" s="1"/>
  <c r="N36" i="5" l="1"/>
  <c r="F36" i="5" s="1"/>
  <c r="D36" i="5" s="1"/>
  <c r="N37" i="5" l="1"/>
  <c r="F37" i="5" s="1"/>
  <c r="D37" i="5" s="1"/>
  <c r="N38" i="5" l="1"/>
  <c r="F38" i="5" s="1"/>
  <c r="D38" i="5" s="1"/>
  <c r="N39" i="5" l="1"/>
  <c r="F39" i="5" s="1"/>
  <c r="D39" i="5" s="1"/>
  <c r="N40" i="5" l="1"/>
  <c r="F40" i="5" s="1"/>
  <c r="D40" i="5" s="1"/>
  <c r="N41" i="5" l="1"/>
  <c r="F41" i="5" s="1"/>
  <c r="D41" i="5" s="1"/>
  <c r="N42" i="5" l="1"/>
  <c r="F42" i="5" s="1"/>
  <c r="D42" i="5" s="1"/>
  <c r="N43" i="5" l="1"/>
  <c r="F43" i="5" s="1"/>
  <c r="F44" i="5" s="1"/>
  <c r="D43" i="5" l="1"/>
  <c r="D44" i="5" s="1"/>
  <c r="D45" i="5" s="1"/>
  <c r="F46" i="5" l="1"/>
  <c r="D46" i="5" s="1"/>
  <c r="F47" i="5" l="1"/>
  <c r="D47" i="5" s="1"/>
  <c r="F48" i="5" l="1"/>
  <c r="D48" i="5" s="1"/>
  <c r="D49" i="5" s="1"/>
  <c r="D50" i="5" s="1"/>
</calcChain>
</file>

<file path=xl/comments1.xml><?xml version="1.0" encoding="utf-8"?>
<comments xmlns="http://schemas.openxmlformats.org/spreadsheetml/2006/main">
  <authors>
    <author>Zhong,Doreen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consigned item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consigned item</t>
        </r>
      </text>
    </comment>
  </commentList>
</comments>
</file>

<file path=xl/sharedStrings.xml><?xml version="1.0" encoding="utf-8"?>
<sst xmlns="http://schemas.openxmlformats.org/spreadsheetml/2006/main" count="77" uniqueCount="68">
  <si>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</si>
  <si>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</si>
  <si>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</si>
  <si>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</si>
  <si>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</si>
  <si>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</si>
  <si>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</si>
  <si>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</si>
  <si>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</si>
  <si>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</si>
  <si>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</si>
  <si>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</si>
  <si>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</si>
  <si>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</si>
  <si>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</si>
  <si>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</si>
  <si>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</si>
  <si>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</si>
  <si>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</si>
  <si>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</si>
  <si>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</si>
  <si>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</si>
  <si>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</si>
  <si>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</si>
  <si>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</si>
  <si>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</si>
  <si>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</si>
  <si>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</si>
  <si>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</si>
  <si>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</si>
  <si>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</si>
  <si>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</si>
  <si>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</si>
  <si>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End Cap</t>
  </si>
  <si>
    <t>Pusher</t>
    <phoneticPr fontId="4" type="noConversion"/>
  </si>
  <si>
    <t>Razro Cartridge</t>
    <phoneticPr fontId="4" type="noConversion"/>
  </si>
  <si>
    <t>Handle Connector</t>
  </si>
  <si>
    <t>Zinc Alloy Core</t>
    <phoneticPr fontId="4" type="noConversion"/>
  </si>
  <si>
    <t>Assembly</t>
    <phoneticPr fontId="4" type="noConversion"/>
  </si>
  <si>
    <t>150TV</t>
  </si>
  <si>
    <t>75T</t>
  </si>
  <si>
    <t>150TD</t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</si>
  <si>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</si>
  <si>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</si>
  <si>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</si>
  <si>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</si>
  <si>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Put Zinc Alloy Core into mould</t>
    <phoneticPr fontId="4" type="noConversion"/>
  </si>
  <si>
    <t>Assembly</t>
    <phoneticPr fontId="4" type="noConversion"/>
  </si>
  <si>
    <t>Insert molding for Handle connector</t>
    <phoneticPr fontId="4" type="noConversion"/>
  </si>
  <si>
    <t>Molding End Cap</t>
    <phoneticPr fontId="4" type="noConversion"/>
  </si>
  <si>
    <t>Assemble End Cap to Handle connector</t>
    <phoneticPr fontId="4" type="noConversion"/>
  </si>
  <si>
    <t>Assembly</t>
    <phoneticPr fontId="4" type="noConversion"/>
  </si>
  <si>
    <t>Overmolding Handle</t>
    <phoneticPr fontId="4" type="noConversion"/>
  </si>
  <si>
    <t>Molding Pusher</t>
    <phoneticPr fontId="4" type="noConversion"/>
  </si>
  <si>
    <t>Other (Consigned mat'l hanlding cost 3%)</t>
    <phoneticPr fontId="4" type="noConversion"/>
  </si>
  <si>
    <t>Truman Wildcat FATP</t>
    <phoneticPr fontId="4" type="noConversion"/>
  </si>
  <si>
    <t xml:space="preserve">Incentive Card </t>
  </si>
  <si>
    <t>Assembled gift Box &amp; Molded paper fiber tray &amp; hanger &amp; blister cover &amp; sealing label</t>
    <phoneticPr fontId="4" type="noConversion"/>
  </si>
  <si>
    <t>Assembled Travel Blade Cover</t>
    <phoneticPr fontId="4" type="noConversion"/>
  </si>
  <si>
    <t>take a pusher and assemble it to handle</t>
    <phoneticPr fontId="4" type="noConversion"/>
  </si>
  <si>
    <t xml:space="preserve">take a cartridge and assemble it on handle </t>
    <phoneticPr fontId="4" type="noConversion"/>
  </si>
  <si>
    <t xml:space="preserve">Take out gift box from shipper and inner box and open it </t>
    <phoneticPr fontId="4" type="noConversion"/>
  </si>
  <si>
    <t>Clean the handle and visual insepction and put in into the tray</t>
  </si>
  <si>
    <t>Take a razor cartridge and put it into the tray</t>
  </si>
  <si>
    <t>Take a blade cover and put it into the tray</t>
  </si>
  <si>
    <t>Pull out the tray, take out the blister cover, put the incentive card into the tray</t>
  </si>
  <si>
    <t xml:space="preserve">Put the blister cover on the tray and insert the tray into gift box </t>
  </si>
  <si>
    <t>lock the gift box and stick the seal lable on the gift box and weight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</si>
</sst>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7" formatCode="&quot;¥&quot;#,##0.00;&quot;¥&quot;\-#,##0.00"/>
    <numFmt numFmtId="176" formatCode="&quot;$&quot;#,##0.00_);\(&quot;$&quot;#,##0.00\)"/>
    <numFmt numFmtId="177" formatCode="_(&quot;$&quot;* #,##0.00_);_(&quot;$&quot;* \(#,##0.00\);_(&quot;$&quot;* &quot;-&quot;??_);_(@_)"/>
    <numFmt numFmtId="178" formatCode="&quot;$&quot;#,##0.00"/>
    <numFmt numFmtId="179" formatCode="\$#,##0.0000;[Red]\$#,##0.0000"/>
    <numFmt numFmtId="180" formatCode="0.0"/>
    <numFmt numFmtId="181" formatCode="&quot;$&quot;#,##0.000"/>
    <numFmt numFmtId="182" formatCode="\$#,##0.000_);[Red]\(\$#,##0.000\)"/>
    <numFmt numFmtId="184" formatCode="\$#,##0.00;[Red]\$#,##0.00"/>
    <numFmt numFmtId="185" formatCode="_-&quot;$&quot;* #,##0_-;\-&quot;$&quot;* #,##0_-;_-&quot;$&quot;* &quot;-&quot;_-;_-@_-"/>
    <numFmt numFmtId="186" formatCode="_-* #,##0_-;\-* #,##0_-;_-* &quot;-&quot;_-;_-@_-"/>
    <numFmt numFmtId="187" formatCode="_-&quot;$&quot;* #,##0.00_-;\-&quot;$&quot;* #,##0.00_-;_-&quot;$&quot;* &quot;-&quot;??_-;_-@_-"/>
    <numFmt numFmtId="188" formatCode="_-* #,##0.00_-;\-* #,##0.00_-;_-* &quot;-&quot;??_-;_-@_-"/>
    <numFmt numFmtId="189" formatCode="_(&quot;$&quot;* #,##0_);_(&quot;$&quot;* \(#,##0\);_(&quot;$&quot;* &quot;-&quot;_);_(@_)"/>
    <numFmt numFmtId="190" formatCode="0.000000000"/>
    <numFmt numFmtId="191" formatCode="_(* #,##0.0_);_(* \(#,##0.0\);_(* &quot;-&quot;??_);_(@_)"/>
    <numFmt numFmtId="192" formatCode="_-* #,##0.0_-;\-* #,##0.0_-;_-* &quot;-&quot;??_-;_-@_-"/>
    <numFmt numFmtId="193" formatCode="_(&quot;$&quot;* #,##0.0_);_(&quot;$&quot;* \(#,##0.0\);_(&quot;$&quot;* &quot;-&quot;??_);_(@_)"/>
    <numFmt numFmtId="194" formatCode="\-0"/>
    <numFmt numFmtId="195" formatCode="\$#,##0.000;[Red]\$#,##0.000"/>
    <numFmt numFmtId="196" formatCode="0.000"/>
  </numFmts>
  <fonts count="4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Verdana"/>
      <family val="2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theme="0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3" fillId="0" borderId="0"/>
    <xf numFmtId="0" fontId="5" fillId="0" borderId="0"/>
    <xf numFmtId="189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5" fontId="15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7" fontId="7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89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90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91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86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3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05">
    <xf numFmtId="0" fontId="0" fillId="0" borderId="0" xfId="0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78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78" fontId="36" fillId="2" borderId="14" xfId="2" applyNumberFormat="1" applyFont="1" applyFill="1" applyBorder="1" applyAlignment="1">
      <alignment horizontal="center" vertical="center" wrapText="1"/>
    </xf>
    <xf numFmtId="0" fontId="44" fillId="3" borderId="1" xfId="4" applyFont="1" applyFill="1" applyBorder="1" applyAlignment="1">
      <alignment horizontal="center" vertical="center" wrapText="1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7" xfId="2" applyFont="1" applyBorder="1" applyAlignment="1">
      <alignment horizontal="center" vertical="center"/>
    </xf>
    <xf numFmtId="0" fontId="36" fillId="3" borderId="16" xfId="0" applyFont="1" applyFill="1" applyBorder="1" applyAlignment="1" applyProtection="1">
      <alignment horizontal="center" vertical="center"/>
      <protection locked="0"/>
    </xf>
    <xf numFmtId="195" fontId="36" fillId="3" borderId="16" xfId="0" applyNumberFormat="1" applyFont="1" applyFill="1" applyBorder="1" applyAlignment="1" applyProtection="1">
      <alignment horizontal="center" vertical="center"/>
      <protection locked="0"/>
    </xf>
    <xf numFmtId="196" fontId="36" fillId="3" borderId="1" xfId="0" applyNumberFormat="1" applyFont="1" applyFill="1" applyBorder="1" applyAlignment="1" applyProtection="1">
      <alignment horizontal="center" vertical="center"/>
      <protection locked="0"/>
    </xf>
    <xf numFmtId="178" fontId="36" fillId="2" borderId="0" xfId="2" applyNumberFormat="1" applyFont="1" applyFill="1" applyBorder="1" applyAlignment="1">
      <alignment horizontal="center" vertical="center" wrapText="1"/>
    </xf>
    <xf numFmtId="0" fontId="41" fillId="0" borderId="9" xfId="0" applyFont="1" applyFill="1" applyBorder="1" applyAlignment="1">
      <alignment horizontal="center" vertical="center" wrapText="1"/>
    </xf>
    <xf numFmtId="0" fontId="37" fillId="0" borderId="31" xfId="2" applyFont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7" fillId="0" borderId="0" xfId="2" applyFont="1" applyBorder="1" applyAlignment="1">
      <alignment horizontal="center" vertical="center"/>
    </xf>
    <xf numFmtId="0" fontId="37" fillId="0" borderId="6" xfId="2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195" fontId="39" fillId="0" borderId="30" xfId="3" applyNumberFormat="1" applyFont="1" applyFill="1" applyBorder="1" applyAlignment="1" applyProtection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 vertical="center"/>
    </xf>
    <xf numFmtId="0" fontId="37" fillId="0" borderId="1" xfId="2" applyFont="1" applyBorder="1" applyAlignment="1">
      <alignment vertical="center"/>
    </xf>
    <xf numFmtId="179" fontId="37" fillId="0" borderId="1" xfId="2" applyNumberFormat="1" applyFont="1" applyBorder="1" applyAlignment="1">
      <alignment horizontal="center" vertical="center"/>
    </xf>
    <xf numFmtId="179" fontId="36" fillId="0" borderId="1" xfId="3" applyNumberFormat="1" applyFont="1" applyBorder="1" applyAlignment="1">
      <alignment horizontal="center" vertical="center"/>
    </xf>
    <xf numFmtId="0" fontId="37" fillId="0" borderId="1" xfId="2" applyFont="1" applyBorder="1" applyAlignment="1">
      <alignment horizontal="center" vertical="center"/>
    </xf>
    <xf numFmtId="1" fontId="36" fillId="0" borderId="1" xfId="2" applyNumberFormat="1" applyFont="1" applyBorder="1" applyAlignment="1">
      <alignment horizontal="center" vertical="center"/>
    </xf>
    <xf numFmtId="0" fontId="37" fillId="0" borderId="16" xfId="2" applyFont="1" applyBorder="1" applyAlignment="1">
      <alignment vertical="center"/>
    </xf>
    <xf numFmtId="179" fontId="37" fillId="3" borderId="1" xfId="2" applyNumberFormat="1" applyFont="1" applyFill="1" applyBorder="1" applyAlignment="1" applyProtection="1">
      <alignment horizontal="center" vertical="center"/>
      <protection locked="0"/>
    </xf>
    <xf numFmtId="178" fontId="37" fillId="0" borderId="1" xfId="2" applyNumberFormat="1" applyFont="1" applyBorder="1" applyAlignment="1">
      <alignment horizontal="center" vertical="center"/>
    </xf>
    <xf numFmtId="10" fontId="44" fillId="3" borderId="1" xfId="2" applyNumberFormat="1" applyFont="1" applyFill="1" applyBorder="1" applyAlignment="1" applyProtection="1">
      <alignment horizontal="center" vertical="center"/>
      <protection locked="0"/>
    </xf>
    <xf numFmtId="1" fontId="39" fillId="0" borderId="1" xfId="2" applyNumberFormat="1" applyFont="1" applyBorder="1" applyAlignment="1">
      <alignment horizontal="center" vertical="center"/>
    </xf>
    <xf numFmtId="180" fontId="44" fillId="3" borderId="1" xfId="2" applyNumberFormat="1" applyFont="1" applyFill="1" applyBorder="1" applyAlignment="1" applyProtection="1">
      <alignment horizontal="center" vertical="center"/>
      <protection locked="0"/>
    </xf>
    <xf numFmtId="181" fontId="37" fillId="0" borderId="1" xfId="2" applyNumberFormat="1" applyFont="1" applyBorder="1" applyAlignment="1">
      <alignment horizontal="center" vertical="center"/>
    </xf>
    <xf numFmtId="181" fontId="37" fillId="0" borderId="16" xfId="2" applyNumberFormat="1" applyFont="1" applyBorder="1" applyAlignment="1">
      <alignment horizontal="center" vertical="center"/>
    </xf>
    <xf numFmtId="9" fontId="38" fillId="0" borderId="0" xfId="0" applyNumberFormat="1" applyFont="1" applyAlignment="1">
      <alignment vertical="center"/>
    </xf>
    <xf numFmtId="0" fontId="44" fillId="3" borderId="1" xfId="2" applyFont="1" applyFill="1" applyBorder="1" applyAlignment="1" applyProtection="1">
      <alignment horizontal="center" vertical="center"/>
      <protection locked="0"/>
    </xf>
    <xf numFmtId="0" fontId="39" fillId="3" borderId="1" xfId="2" applyFont="1" applyFill="1" applyBorder="1" applyAlignment="1" applyProtection="1">
      <alignment horizontal="center" vertical="center"/>
      <protection locked="0"/>
    </xf>
    <xf numFmtId="0" fontId="44" fillId="3" borderId="1" xfId="2" applyFont="1" applyFill="1" applyBorder="1" applyAlignment="1" applyProtection="1">
      <alignment horizontal="left" vertical="center"/>
      <protection locked="0"/>
    </xf>
    <xf numFmtId="1" fontId="39" fillId="3" borderId="1" xfId="2" applyNumberFormat="1" applyFont="1" applyFill="1" applyBorder="1" applyAlignment="1" applyProtection="1">
      <alignment horizontal="center" vertical="center"/>
      <protection locked="0"/>
    </xf>
    <xf numFmtId="0" fontId="36" fillId="0" borderId="15" xfId="2" applyFont="1" applyBorder="1" applyAlignment="1">
      <alignment vertical="center"/>
    </xf>
    <xf numFmtId="0" fontId="37" fillId="0" borderId="1" xfId="2" applyFont="1" applyFill="1" applyBorder="1" applyAlignment="1">
      <alignment vertical="center"/>
    </xf>
    <xf numFmtId="0" fontId="44" fillId="0" borderId="1" xfId="2" applyFont="1" applyBorder="1" applyAlignment="1" applyProtection="1">
      <alignment horizontal="center" vertical="center"/>
      <protection locked="0"/>
    </xf>
    <xf numFmtId="0" fontId="36" fillId="0" borderId="1" xfId="2" applyFont="1" applyBorder="1" applyAlignment="1">
      <alignment vertical="center"/>
    </xf>
    <xf numFmtId="176" fontId="37" fillId="0" borderId="1" xfId="2" applyNumberFormat="1" applyFont="1" applyBorder="1" applyAlignment="1">
      <alignment horizontal="center" vertical="center"/>
    </xf>
    <xf numFmtId="0" fontId="36" fillId="0" borderId="1" xfId="2" applyFont="1" applyBorder="1" applyAlignment="1" applyProtection="1">
      <alignment vertical="center"/>
      <protection locked="0"/>
    </xf>
    <xf numFmtId="1" fontId="36" fillId="0" borderId="1" xfId="2" applyNumberFormat="1" applyFont="1" applyBorder="1" applyAlignment="1">
      <alignment vertical="center"/>
    </xf>
    <xf numFmtId="0" fontId="36" fillId="0" borderId="16" xfId="2" applyFont="1" applyBorder="1" applyAlignment="1">
      <alignment vertical="center"/>
    </xf>
    <xf numFmtId="0" fontId="37" fillId="0" borderId="1" xfId="2" applyFont="1" applyBorder="1" applyAlignment="1">
      <alignment horizontal="right" vertical="center"/>
    </xf>
    <xf numFmtId="182" fontId="37" fillId="3" borderId="1" xfId="2" applyNumberFormat="1" applyFont="1" applyFill="1" applyBorder="1" applyAlignment="1" applyProtection="1">
      <alignment horizontal="center" vertical="center"/>
      <protection locked="0"/>
    </xf>
    <xf numFmtId="0" fontId="37" fillId="0" borderId="1" xfId="2" applyFont="1" applyBorder="1" applyAlignment="1" applyProtection="1">
      <alignment vertical="center"/>
      <protection locked="0"/>
    </xf>
    <xf numFmtId="0" fontId="37" fillId="0" borderId="1" xfId="2" applyFont="1" applyBorder="1" applyAlignment="1" applyProtection="1">
      <alignment horizontal="center" vertical="center"/>
      <protection locked="0"/>
    </xf>
    <xf numFmtId="1" fontId="44" fillId="0" borderId="1" xfId="2" applyNumberFormat="1" applyFont="1" applyFill="1" applyBorder="1" applyAlignment="1">
      <alignment horizontal="center" vertical="center"/>
    </xf>
    <xf numFmtId="10" fontId="44" fillId="3" borderId="1" xfId="1" applyNumberFormat="1" applyFont="1" applyFill="1" applyBorder="1" applyAlignment="1" applyProtection="1">
      <alignment horizontal="center" vertical="center"/>
      <protection locked="0"/>
    </xf>
    <xf numFmtId="184" fontId="37" fillId="0" borderId="1" xfId="2" applyNumberFormat="1" applyFont="1" applyBorder="1" applyAlignment="1">
      <alignment horizontal="center" vertical="center"/>
    </xf>
    <xf numFmtId="1" fontId="37" fillId="0" borderId="1" xfId="2" applyNumberFormat="1" applyFont="1" applyBorder="1" applyAlignment="1">
      <alignment vertical="center"/>
    </xf>
    <xf numFmtId="9" fontId="45" fillId="0" borderId="1" xfId="2" applyNumberFormat="1" applyFont="1" applyBorder="1" applyAlignment="1" applyProtection="1">
      <alignment horizontal="center" vertical="center"/>
      <protection locked="0"/>
    </xf>
    <xf numFmtId="0" fontId="36" fillId="0" borderId="17" xfId="2" applyFont="1" applyBorder="1" applyAlignment="1">
      <alignment vertical="center"/>
    </xf>
    <xf numFmtId="0" fontId="37" fillId="0" borderId="18" xfId="2" applyFont="1" applyBorder="1" applyAlignment="1">
      <alignment vertical="center"/>
    </xf>
    <xf numFmtId="179" fontId="37" fillId="0" borderId="18" xfId="2" applyNumberFormat="1" applyFont="1" applyBorder="1" applyAlignment="1">
      <alignment horizontal="center" vertical="center"/>
    </xf>
    <xf numFmtId="184" fontId="37" fillId="0" borderId="18" xfId="2" applyNumberFormat="1" applyFont="1" applyBorder="1" applyAlignment="1">
      <alignment horizontal="center" vertical="center"/>
    </xf>
    <xf numFmtId="0" fontId="37" fillId="0" borderId="18" xfId="2" applyFont="1" applyBorder="1" applyAlignment="1" applyProtection="1">
      <alignment vertical="center"/>
      <protection locked="0"/>
    </xf>
    <xf numFmtId="1" fontId="37" fillId="0" borderId="18" xfId="2" applyNumberFormat="1" applyFont="1" applyBorder="1" applyAlignment="1">
      <alignment vertical="center"/>
    </xf>
    <xf numFmtId="0" fontId="37" fillId="0" borderId="19" xfId="2" applyFont="1" applyBorder="1" applyAlignment="1">
      <alignment vertical="center"/>
    </xf>
    <xf numFmtId="0" fontId="46" fillId="0" borderId="20" xfId="2" applyFont="1" applyFill="1" applyBorder="1" applyAlignment="1">
      <alignment vertical="center"/>
    </xf>
    <xf numFmtId="0" fontId="46" fillId="0" borderId="21" xfId="2" applyFont="1" applyFill="1" applyBorder="1" applyAlignment="1">
      <alignment vertical="center"/>
    </xf>
    <xf numFmtId="179" fontId="36" fillId="0" borderId="0" xfId="2" applyNumberFormat="1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6" fillId="0" borderId="0" xfId="2" applyFont="1" applyAlignment="1">
      <alignment vertical="center"/>
    </xf>
    <xf numFmtId="1" fontId="36" fillId="0" borderId="0" xfId="2" applyNumberFormat="1" applyFont="1" applyAlignment="1">
      <alignment vertical="center"/>
    </xf>
    <xf numFmtId="179" fontId="38" fillId="0" borderId="0" xfId="0" applyNumberFormat="1" applyFont="1" applyAlignment="1">
      <alignment vertical="center"/>
    </xf>
    <xf numFmtId="0" fontId="36" fillId="3" borderId="32" xfId="0" applyFont="1" applyFill="1" applyBorder="1" applyAlignment="1" applyProtection="1">
      <alignment horizontal="left" vertical="center"/>
      <protection locked="0"/>
    </xf>
    <xf numFmtId="7" fontId="36" fillId="3" borderId="13" xfId="0" applyNumberFormat="1" applyFont="1" applyFill="1" applyBorder="1" applyAlignment="1" applyProtection="1">
      <alignment horizontal="left" vertical="center"/>
      <protection locked="0"/>
    </xf>
    <xf numFmtId="180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79" fontId="46" fillId="0" borderId="2" xfId="2" applyNumberFormat="1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/>
    </xf>
    <xf numFmtId="0" fontId="41" fillId="2" borderId="24" xfId="0" applyFont="1" applyFill="1" applyBorder="1" applyAlignment="1">
      <alignment horizontal="center" vertical="center" wrapText="1"/>
    </xf>
    <xf numFmtId="0" fontId="41" fillId="2" borderId="25" xfId="0" applyFont="1" applyFill="1" applyBorder="1" applyAlignment="1">
      <alignment horizontal="center" vertical="center" wrapText="1"/>
    </xf>
  </cellXfs>
  <cellStyles count="2843">
    <cellStyle name="_" xfId="6"/>
    <cellStyle name="_? [0.00]_PERSONAL" xfId="7"/>
    <cellStyle name="_?_? [0.00]_PERSONAL" xfId="8"/>
    <cellStyle name="_?_?_PERSONAL" xfId="9"/>
    <cellStyle name="_?_PERSONAL" xfId="10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[0]_laroux" xfId="26"/>
    <cellStyle name="___[0]_668538sip" xfId="27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管理損益表格說明-費用分攤" xfId="2761"/>
    <cellStyle name="_緊急物料升級作業程序a" xfId="2762"/>
    <cellStyle name="_新增Microsoft Excel 工作表 (3)" xfId="2763"/>
    <cellStyle name="_預估損益表FORM-DPBG-MLB" xfId="2764"/>
    <cellStyle name="_轉移物料給APPLE 流程" xfId="2765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_PERSONAL" xfId="2817"/>
    <cellStyle name="煦弇[0]_668538sip" xfId="2818"/>
    <cellStyle name="煦弇_668538sip" xfId="2819"/>
    <cellStyle name="閉撰蟈諉" xfId="2820"/>
    <cellStyle name="標準_M84 wireless cost BOM(22 Nov)" xfId="2821"/>
    <cellStyle name="常规 2" xfId="2822"/>
    <cellStyle name="籵? [0.00]_PERSONAL" xfId="2823"/>
    <cellStyle name="籵?_PERSONAL" xfId="2824"/>
    <cellStyle name="鳻?? [0.00]_PERSONAL" xfId="2825"/>
    <cellStyle name="鳻??_PERSONAL" xfId="2826"/>
    <cellStyle name="桁?切? [0.00]_PERSONAL" xfId="2827"/>
    <cellStyle name="桁?切?_PERSONAL" xfId="2828"/>
    <cellStyle name="貨幣[0]_04" xfId="2829"/>
    <cellStyle name="貨幣_GP_PP RFQ_818-0511-17_K20 CTO Frame_1103" xfId="2830"/>
    <cellStyle name="貨幣_GP_PP RFQ_818-0511-17_K20 CTO Frame_1103 2" xfId="3"/>
    <cellStyle name="通貨 [0.00]_PERSONAL" xfId="2832"/>
    <cellStyle name="通貨_PERSONAL" xfId="2833"/>
    <cellStyle name="未定義" xfId="2834"/>
    <cellStyle name="珨啜_242929 #1 - Card Guide" xfId="2835"/>
    <cellStyle name="一般_carrier mg" xfId="283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53"/>
  <sheetViews>
    <sheetView tabSelected="1" topLeftCell="A28" zoomScale="90" zoomScaleNormal="90" workbookViewId="0">
      <selection activeCell="C54" sqref="C54"/>
    </sheetView>
  </sheetViews>
  <sheetFormatPr defaultColWidth="10.375" defaultRowHeight="15"/>
  <cols>
    <col min="1" max="1" width="1.875" style="4" customWidth="1"/>
    <col min="2" max="2" width="21.875" style="4" customWidth="1"/>
    <col min="3" max="3" width="29.125" style="4" customWidth="1"/>
    <col min="4" max="10" width="14.5" style="4" customWidth="1"/>
    <col min="11" max="14" width="10.625" style="4" customWidth="1"/>
    <col min="15" max="15" width="1.875" style="4" customWidth="1"/>
    <col min="16" max="16" width="10.375" style="4" hidden="1" customWidth="1"/>
    <col min="17" max="21" width="10.375" style="4" customWidth="1"/>
    <col min="22" max="16384" width="10.375" style="4"/>
  </cols>
  <sheetData>
    <row r="1" spans="2:21" ht="22.5" customHeight="1">
      <c r="B1" s="96" t="s">
        <v>26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8"/>
      <c r="P1" s="5"/>
      <c r="Q1" s="6"/>
      <c r="R1" s="5"/>
      <c r="S1" s="5"/>
      <c r="T1" s="5"/>
      <c r="U1" s="5"/>
    </row>
    <row r="2" spans="2:21" ht="37.5" customHeight="1" thickBot="1">
      <c r="B2" s="99" t="s">
        <v>25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1"/>
      <c r="P2" s="5"/>
      <c r="Q2" s="7"/>
      <c r="R2" s="5"/>
      <c r="S2" s="5"/>
      <c r="T2" s="5"/>
      <c r="U2" s="5"/>
    </row>
    <row r="3" spans="2:21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21">
      <c r="B4" s="102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21">
      <c r="B5" s="103"/>
      <c r="C5" s="23" t="s">
        <v>28</v>
      </c>
      <c r="D5" s="26"/>
      <c r="E5" s="36"/>
      <c r="F5" s="36"/>
      <c r="G5" s="36"/>
      <c r="H5" s="36"/>
      <c r="I5" s="5"/>
      <c r="J5" s="5"/>
    </row>
    <row r="6" spans="2:21">
      <c r="B6" s="103"/>
      <c r="C6" s="23" t="s">
        <v>16</v>
      </c>
      <c r="D6" s="26" t="s">
        <v>55</v>
      </c>
      <c r="E6" s="36"/>
      <c r="F6" s="36"/>
      <c r="G6" s="36"/>
      <c r="H6" s="36"/>
      <c r="I6" s="5"/>
      <c r="J6" s="5"/>
    </row>
    <row r="7" spans="2:21" ht="15.75" thickBot="1">
      <c r="B7" s="103"/>
      <c r="C7" s="23" t="s">
        <v>29</v>
      </c>
      <c r="D7" s="27"/>
      <c r="E7" s="37"/>
      <c r="F7" s="28"/>
      <c r="G7" s="28"/>
      <c r="H7" s="28"/>
      <c r="I7" s="38"/>
      <c r="J7" s="38"/>
    </row>
    <row r="8" spans="2:21">
      <c r="B8" s="103"/>
      <c r="C8" s="23" t="s">
        <v>30</v>
      </c>
      <c r="D8" s="1" t="s">
        <v>36</v>
      </c>
      <c r="E8" s="24" t="s">
        <v>32</v>
      </c>
      <c r="F8" s="24" t="s">
        <v>33</v>
      </c>
      <c r="G8" s="24" t="s">
        <v>37</v>
      </c>
      <c r="H8" s="24" t="s">
        <v>34</v>
      </c>
      <c r="I8" s="24" t="s">
        <v>35</v>
      </c>
      <c r="J8" s="91" t="s">
        <v>57</v>
      </c>
      <c r="K8" s="92" t="s">
        <v>58</v>
      </c>
      <c r="L8" s="25" t="s">
        <v>56</v>
      </c>
    </row>
    <row r="9" spans="2:21">
      <c r="B9" s="103"/>
      <c r="C9" s="23" t="s">
        <v>17</v>
      </c>
      <c r="D9" s="31">
        <v>7.6999999999999999E-2</v>
      </c>
      <c r="E9" s="31">
        <v>0.12</v>
      </c>
      <c r="F9" s="31">
        <v>0.01</v>
      </c>
      <c r="G9" s="31">
        <v>0.17</v>
      </c>
      <c r="H9" s="31">
        <v>8.0000000000000002E-3</v>
      </c>
      <c r="I9" s="31">
        <v>0</v>
      </c>
      <c r="J9" s="31">
        <f>1.19-0.016</f>
        <v>1.1739999999999999</v>
      </c>
      <c r="K9" s="31">
        <v>0</v>
      </c>
      <c r="L9" s="30">
        <v>0</v>
      </c>
    </row>
    <row r="10" spans="2:21">
      <c r="B10" s="103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>
        <v>1</v>
      </c>
    </row>
    <row r="11" spans="2:21">
      <c r="B11" s="103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>
        <v>1</v>
      </c>
    </row>
    <row r="12" spans="2:21" ht="15.75" thickBot="1">
      <c r="B12" s="104"/>
      <c r="C12" s="9" t="s">
        <v>0</v>
      </c>
      <c r="D12" s="39">
        <f>(D9*D10)/D11</f>
        <v>7.6999999999999999E-2</v>
      </c>
      <c r="E12" s="39">
        <f>(E9*E10)/E11</f>
        <v>0.12</v>
      </c>
      <c r="F12" s="39">
        <f t="shared" ref="F12:L12" si="0">(F9*F10)/F11</f>
        <v>0.01</v>
      </c>
      <c r="G12" s="39">
        <f t="shared" si="0"/>
        <v>0.17</v>
      </c>
      <c r="H12" s="39">
        <f t="shared" si="0"/>
        <v>8.0000000000000002E-3</v>
      </c>
      <c r="I12" s="39">
        <f t="shared" si="0"/>
        <v>0</v>
      </c>
      <c r="J12" s="39">
        <f t="shared" si="0"/>
        <v>1.1739999999999999</v>
      </c>
      <c r="K12" s="39">
        <f t="shared" si="0"/>
        <v>0</v>
      </c>
      <c r="L12" s="39">
        <f t="shared" si="0"/>
        <v>0</v>
      </c>
    </row>
    <row r="13" spans="2:21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45">
      <c r="B14" s="13"/>
      <c r="C14" s="14" t="s">
        <v>44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45</v>
      </c>
    </row>
    <row r="15" spans="2:21">
      <c r="B15" s="41"/>
      <c r="C15" s="42"/>
      <c r="D15" s="43">
        <f>E15+F15</f>
        <v>1.5589999999999999</v>
      </c>
      <c r="E15" s="44">
        <f>SUM(D12:L12)</f>
        <v>1.5589999999999999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</row>
    <row r="16" spans="2:21">
      <c r="B16" s="41">
        <v>1</v>
      </c>
      <c r="C16" s="2" t="s">
        <v>46</v>
      </c>
      <c r="D16" s="43">
        <f t="shared" ref="D16:D43" si="1">D15+E16+F16</f>
        <v>1.5681503267973855</v>
      </c>
      <c r="E16" s="48">
        <v>0</v>
      </c>
      <c r="F16" s="49">
        <f t="shared" ref="F16:F43" si="2">SUM(L16:N16)</f>
        <v>9.1503267973856214E-3</v>
      </c>
      <c r="G16" s="20" t="s">
        <v>47</v>
      </c>
      <c r="H16" s="93">
        <v>8</v>
      </c>
      <c r="I16" s="94">
        <v>1</v>
      </c>
      <c r="J16" s="51">
        <f t="shared" ref="J16:J42" si="3">(1-I16)*J17+J17</f>
        <v>0</v>
      </c>
      <c r="K16" s="52">
        <v>3.5</v>
      </c>
      <c r="L16" s="53">
        <f>(K16/P16/3600)*H16</f>
        <v>9.1503267973856214E-3</v>
      </c>
      <c r="M16" s="53">
        <f t="shared" ref="M16:M43" si="4">(1-I16)*L16</f>
        <v>0</v>
      </c>
      <c r="N16" s="54">
        <f>(1-I16)*SUM(D12,G12)</f>
        <v>0</v>
      </c>
      <c r="P16" s="55">
        <v>0.85</v>
      </c>
    </row>
    <row r="17" spans="2:16">
      <c r="B17" s="41">
        <v>2</v>
      </c>
      <c r="C17" s="2" t="s">
        <v>48</v>
      </c>
      <c r="D17" s="43">
        <f t="shared" si="1"/>
        <v>1.6338985620915032</v>
      </c>
      <c r="E17" s="48">
        <v>0</v>
      </c>
      <c r="F17" s="49">
        <f t="shared" si="2"/>
        <v>6.5748235294117663E-2</v>
      </c>
      <c r="G17" s="20" t="s">
        <v>39</v>
      </c>
      <c r="H17" s="93">
        <f>46/4</f>
        <v>11.5</v>
      </c>
      <c r="I17" s="94">
        <v>0.97</v>
      </c>
      <c r="J17" s="51">
        <f t="shared" si="3"/>
        <v>0</v>
      </c>
      <c r="K17" s="52">
        <v>15</v>
      </c>
      <c r="L17" s="53">
        <f t="shared" ref="L17:L43" si="5">(K17/P17/3600)*H17</f>
        <v>5.6372549019607844E-2</v>
      </c>
      <c r="M17" s="53">
        <f>(1-I17)*SUM(L16:L17)</f>
        <v>1.9656862745098059E-3</v>
      </c>
      <c r="N17" s="54">
        <f>(1-I17)*SUM(D12,G12)</f>
        <v>7.4100000000000069E-3</v>
      </c>
      <c r="P17" s="55">
        <v>0.85</v>
      </c>
    </row>
    <row r="18" spans="2:16">
      <c r="B18" s="41">
        <v>3</v>
      </c>
      <c r="C18" s="3" t="s">
        <v>49</v>
      </c>
      <c r="D18" s="43">
        <f t="shared" si="1"/>
        <v>1.6440985620915032</v>
      </c>
      <c r="E18" s="48">
        <v>0</v>
      </c>
      <c r="F18" s="49">
        <f t="shared" si="2"/>
        <v>1.0200000000000001E-2</v>
      </c>
      <c r="G18" s="20" t="s">
        <v>40</v>
      </c>
      <c r="H18" s="93">
        <f>24/8</f>
        <v>3</v>
      </c>
      <c r="I18" s="94">
        <v>0.98</v>
      </c>
      <c r="J18" s="51">
        <f t="shared" si="3"/>
        <v>0</v>
      </c>
      <c r="K18" s="52">
        <v>10</v>
      </c>
      <c r="L18" s="53">
        <f t="shared" si="5"/>
        <v>9.8039215686274508E-3</v>
      </c>
      <c r="M18" s="53">
        <f>(1-I18)*L18</f>
        <v>1.960784313725492E-4</v>
      </c>
      <c r="N18" s="54">
        <f>(1-I18)*F12</f>
        <v>2.0000000000000017E-4</v>
      </c>
      <c r="P18" s="55">
        <v>0.85</v>
      </c>
    </row>
    <row r="19" spans="2:16">
      <c r="B19" s="41">
        <v>4</v>
      </c>
      <c r="C19" s="2" t="s">
        <v>50</v>
      </c>
      <c r="D19" s="43">
        <f t="shared" si="1"/>
        <v>1.6578188888888887</v>
      </c>
      <c r="E19" s="48">
        <v>0</v>
      </c>
      <c r="F19" s="49">
        <f t="shared" si="2"/>
        <v>1.3720326797385624E-2</v>
      </c>
      <c r="G19" s="20" t="s">
        <v>51</v>
      </c>
      <c r="H19" s="93">
        <v>9</v>
      </c>
      <c r="I19" s="94">
        <v>0.99</v>
      </c>
      <c r="J19" s="51">
        <f>(1-I19)*J20+J20</f>
        <v>0</v>
      </c>
      <c r="K19" s="52">
        <v>3.5</v>
      </c>
      <c r="L19" s="53">
        <f t="shared" si="5"/>
        <v>1.0294117647058823E-2</v>
      </c>
      <c r="M19" s="53">
        <f>(1-I19)*SUM(L16:L19)</f>
        <v>8.5620915032679835E-4</v>
      </c>
      <c r="N19" s="54">
        <f>(1-I19)*SUM(D12,F12,G12)</f>
        <v>2.5700000000000024E-3</v>
      </c>
      <c r="P19" s="55">
        <v>0.85</v>
      </c>
    </row>
    <row r="20" spans="2:16">
      <c r="B20" s="41">
        <v>5</v>
      </c>
      <c r="C20" s="3" t="s">
        <v>52</v>
      </c>
      <c r="D20" s="43">
        <f>D19+E20+F20</f>
        <v>1.7401411111111109</v>
      </c>
      <c r="E20" s="48">
        <v>0</v>
      </c>
      <c r="F20" s="49">
        <f t="shared" si="2"/>
        <v>8.2322222222222255E-2</v>
      </c>
      <c r="G20" s="56" t="s">
        <v>39</v>
      </c>
      <c r="H20" s="93">
        <f>46/4</f>
        <v>11.5</v>
      </c>
      <c r="I20" s="94">
        <v>0.95</v>
      </c>
      <c r="J20" s="51">
        <f t="shared" si="3"/>
        <v>0</v>
      </c>
      <c r="K20" s="52">
        <v>15</v>
      </c>
      <c r="L20" s="53">
        <f t="shared" si="5"/>
        <v>5.6372549019607844E-2</v>
      </c>
      <c r="M20" s="53">
        <f>(1-I20)*SUM(L16:L20)</f>
        <v>7.0996732026143861E-3</v>
      </c>
      <c r="N20" s="54">
        <f>(1-I20)*SUM(D12:G12)</f>
        <v>1.8850000000000016E-2</v>
      </c>
      <c r="P20" s="55">
        <v>0.85</v>
      </c>
    </row>
    <row r="21" spans="2:16">
      <c r="B21" s="41">
        <v>6</v>
      </c>
      <c r="C21" s="2" t="s">
        <v>53</v>
      </c>
      <c r="D21" s="43">
        <f t="shared" si="1"/>
        <v>1.7942373202614377</v>
      </c>
      <c r="E21" s="48">
        <v>0</v>
      </c>
      <c r="F21" s="49">
        <f t="shared" si="2"/>
        <v>5.4096209150326799E-2</v>
      </c>
      <c r="G21" s="56" t="s">
        <v>41</v>
      </c>
      <c r="H21" s="93">
        <f>32/4</f>
        <v>8</v>
      </c>
      <c r="I21" s="94">
        <v>0.97</v>
      </c>
      <c r="J21" s="51">
        <f>(1-I21)*J22+J22</f>
        <v>0</v>
      </c>
      <c r="K21" s="52">
        <v>20</v>
      </c>
      <c r="L21" s="53">
        <f t="shared" si="5"/>
        <v>5.2287581699346407E-2</v>
      </c>
      <c r="M21" s="53">
        <f t="shared" si="4"/>
        <v>1.5686274509803936E-3</v>
      </c>
      <c r="N21" s="54">
        <f>(1-I21)*H12</f>
        <v>2.4000000000000022E-4</v>
      </c>
      <c r="P21" s="55">
        <v>0.85</v>
      </c>
    </row>
    <row r="22" spans="2:16">
      <c r="B22" s="41">
        <v>7</v>
      </c>
      <c r="C22" s="2" t="s">
        <v>59</v>
      </c>
      <c r="D22" s="43">
        <f>D21+E22+F22</f>
        <v>1.8074793137254899</v>
      </c>
      <c r="E22" s="48">
        <v>0</v>
      </c>
      <c r="F22" s="49">
        <f t="shared" si="2"/>
        <v>1.324199346405229E-2</v>
      </c>
      <c r="G22" s="56" t="s">
        <v>38</v>
      </c>
      <c r="H22" s="93">
        <v>9</v>
      </c>
      <c r="I22" s="50">
        <v>0.995</v>
      </c>
      <c r="J22" s="51">
        <f t="shared" si="3"/>
        <v>0</v>
      </c>
      <c r="K22" s="52">
        <v>3.5</v>
      </c>
      <c r="L22" s="53">
        <f t="shared" si="5"/>
        <v>1.0294117647058823E-2</v>
      </c>
      <c r="M22" s="53">
        <f>(1-I22)*SUM(L16:L22)</f>
        <v>1.022875816993465E-3</v>
      </c>
      <c r="N22" s="54">
        <f>(1-I22)*SUM(D12:H12)</f>
        <v>1.9250000000000018E-3</v>
      </c>
      <c r="P22" s="55">
        <v>0.85</v>
      </c>
    </row>
    <row r="23" spans="2:16">
      <c r="B23" s="41">
        <v>8</v>
      </c>
      <c r="C23" s="21" t="s">
        <v>60</v>
      </c>
      <c r="D23" s="43">
        <f t="shared" si="1"/>
        <v>1.8189731699346401</v>
      </c>
      <c r="E23" s="48">
        <v>0</v>
      </c>
      <c r="F23" s="49">
        <f t="shared" si="2"/>
        <v>1.1493856209150329E-2</v>
      </c>
      <c r="G23" s="56" t="s">
        <v>38</v>
      </c>
      <c r="H23" s="93">
        <v>9</v>
      </c>
      <c r="I23" s="50">
        <v>0.998</v>
      </c>
      <c r="J23" s="51">
        <f t="shared" si="3"/>
        <v>0</v>
      </c>
      <c r="K23" s="52">
        <v>3.5</v>
      </c>
      <c r="L23" s="53">
        <f t="shared" si="5"/>
        <v>1.0294117647058823E-2</v>
      </c>
      <c r="M23" s="53">
        <f>(1-I23)*SUM(L16:L23)</f>
        <v>4.297385620915037E-4</v>
      </c>
      <c r="N23" s="54">
        <f>(1-I23)*SUM(D12:I12)</f>
        <v>7.7000000000000072E-4</v>
      </c>
      <c r="P23" s="55">
        <v>0.85</v>
      </c>
    </row>
    <row r="24" spans="2:16">
      <c r="B24" s="41">
        <v>9</v>
      </c>
      <c r="C24" s="21" t="s">
        <v>61</v>
      </c>
      <c r="D24" s="43">
        <f t="shared" si="1"/>
        <v>1.8304110784313721</v>
      </c>
      <c r="E24" s="48">
        <v>0</v>
      </c>
      <c r="F24" s="49">
        <f t="shared" si="2"/>
        <v>1.1437908496732027E-2</v>
      </c>
      <c r="G24" s="56" t="s">
        <v>38</v>
      </c>
      <c r="H24" s="93">
        <v>10</v>
      </c>
      <c r="I24" s="50">
        <v>1</v>
      </c>
      <c r="J24" s="51">
        <f t="shared" si="3"/>
        <v>0</v>
      </c>
      <c r="K24" s="52">
        <v>3.5</v>
      </c>
      <c r="L24" s="53">
        <f>(K24/P24/3600)*H24</f>
        <v>1.1437908496732027E-2</v>
      </c>
      <c r="M24" s="53">
        <f>(1-I24)*L24</f>
        <v>0</v>
      </c>
      <c r="N24" s="54">
        <f>(1-I24)*SUM(J12)</f>
        <v>0</v>
      </c>
      <c r="P24" s="55">
        <v>0.85</v>
      </c>
    </row>
    <row r="25" spans="2:16">
      <c r="B25" s="41">
        <v>10</v>
      </c>
      <c r="C25" s="21" t="s">
        <v>65</v>
      </c>
      <c r="D25" s="43">
        <f t="shared" si="1"/>
        <v>1.8418489869281041</v>
      </c>
      <c r="E25" s="48">
        <v>0</v>
      </c>
      <c r="F25" s="49">
        <f t="shared" si="2"/>
        <v>1.1437908496732027E-2</v>
      </c>
      <c r="G25" s="56" t="s">
        <v>38</v>
      </c>
      <c r="H25" s="93">
        <v>10</v>
      </c>
      <c r="I25" s="50">
        <v>1</v>
      </c>
      <c r="J25" s="51">
        <f t="shared" si="3"/>
        <v>0</v>
      </c>
      <c r="K25" s="52">
        <v>3.5</v>
      </c>
      <c r="L25" s="53">
        <f t="shared" si="5"/>
        <v>1.1437908496732027E-2</v>
      </c>
      <c r="M25" s="53">
        <f>(1-I25)*SUM(L24:L25)</f>
        <v>0</v>
      </c>
      <c r="N25" s="54">
        <f>(1-I25)*SUM(J12,L12)</f>
        <v>0</v>
      </c>
      <c r="P25" s="55">
        <v>0.85</v>
      </c>
    </row>
    <row r="26" spans="2:16">
      <c r="B26" s="41">
        <v>11</v>
      </c>
      <c r="C26" s="21" t="s">
        <v>62</v>
      </c>
      <c r="D26" s="43">
        <f t="shared" si="1"/>
        <v>1.8521431045751628</v>
      </c>
      <c r="E26" s="48">
        <v>0</v>
      </c>
      <c r="F26" s="49">
        <f t="shared" si="2"/>
        <v>1.0294117647058823E-2</v>
      </c>
      <c r="G26" s="56" t="s">
        <v>38</v>
      </c>
      <c r="H26" s="93">
        <v>9</v>
      </c>
      <c r="I26" s="50">
        <v>1</v>
      </c>
      <c r="J26" s="51">
        <f t="shared" si="3"/>
        <v>0</v>
      </c>
      <c r="K26" s="52">
        <v>3.5</v>
      </c>
      <c r="L26" s="53">
        <f t="shared" si="5"/>
        <v>1.0294117647058823E-2</v>
      </c>
      <c r="M26" s="53">
        <f>(1-I26)*SUM(L16:L23)</f>
        <v>0</v>
      </c>
      <c r="N26" s="54">
        <f>(1-I26)*SUM(D12:I12)</f>
        <v>0</v>
      </c>
      <c r="P26" s="55">
        <v>0.85</v>
      </c>
    </row>
    <row r="27" spans="2:16">
      <c r="B27" s="41">
        <v>12</v>
      </c>
      <c r="C27" s="21" t="s">
        <v>63</v>
      </c>
      <c r="D27" s="43">
        <f t="shared" si="1"/>
        <v>1.859005849673202</v>
      </c>
      <c r="E27" s="48">
        <v>0</v>
      </c>
      <c r="F27" s="49">
        <f t="shared" si="2"/>
        <v>6.8627450980392156E-3</v>
      </c>
      <c r="G27" s="56" t="s">
        <v>38</v>
      </c>
      <c r="H27" s="93">
        <v>6</v>
      </c>
      <c r="I27" s="50">
        <v>1</v>
      </c>
      <c r="J27" s="51">
        <f t="shared" si="3"/>
        <v>0</v>
      </c>
      <c r="K27" s="52">
        <v>3.5</v>
      </c>
      <c r="L27" s="53">
        <f t="shared" si="5"/>
        <v>6.8627450980392156E-3</v>
      </c>
      <c r="M27" s="53">
        <f>(1-I27)*SUM(L24:L25,L27)</f>
        <v>0</v>
      </c>
      <c r="N27" s="54">
        <f>(1-I27)*SUM(I12:J12)</f>
        <v>0</v>
      </c>
      <c r="P27" s="55">
        <v>0.85</v>
      </c>
    </row>
    <row r="28" spans="2:16">
      <c r="B28" s="41">
        <v>13</v>
      </c>
      <c r="C28" s="21" t="s">
        <v>64</v>
      </c>
      <c r="D28" s="43">
        <f t="shared" si="1"/>
        <v>1.8658685947712412</v>
      </c>
      <c r="E28" s="48">
        <v>0</v>
      </c>
      <c r="F28" s="49">
        <f t="shared" si="2"/>
        <v>6.8627450980392156E-3</v>
      </c>
      <c r="G28" s="56" t="s">
        <v>38</v>
      </c>
      <c r="H28" s="93">
        <v>6</v>
      </c>
      <c r="I28" s="50">
        <v>1</v>
      </c>
      <c r="J28" s="51">
        <f t="shared" si="3"/>
        <v>0</v>
      </c>
      <c r="K28" s="52">
        <v>3.5</v>
      </c>
      <c r="L28" s="53">
        <f t="shared" si="5"/>
        <v>6.8627450980392156E-3</v>
      </c>
      <c r="M28" s="53">
        <f>(1-I28)*SUM(L24:L25,L27:L28)</f>
        <v>0</v>
      </c>
      <c r="N28" s="54">
        <f>(1-I28)*SUM(J12,K12)</f>
        <v>0</v>
      </c>
      <c r="P28" s="55">
        <v>0.85</v>
      </c>
    </row>
    <row r="29" spans="2:16">
      <c r="B29" s="41">
        <v>14</v>
      </c>
      <c r="C29" s="21" t="s">
        <v>66</v>
      </c>
      <c r="D29" s="43">
        <f t="shared" si="1"/>
        <v>1.8727313398692804</v>
      </c>
      <c r="E29" s="48">
        <v>0</v>
      </c>
      <c r="F29" s="49">
        <f t="shared" si="2"/>
        <v>6.8627450980392156E-3</v>
      </c>
      <c r="G29" s="56" t="s">
        <v>38</v>
      </c>
      <c r="H29" s="93">
        <v>6</v>
      </c>
      <c r="I29" s="50">
        <v>1</v>
      </c>
      <c r="J29" s="51">
        <f t="shared" si="3"/>
        <v>0</v>
      </c>
      <c r="K29" s="52">
        <v>3.5</v>
      </c>
      <c r="L29" s="53">
        <f t="shared" si="5"/>
        <v>6.8627450980392156E-3</v>
      </c>
      <c r="M29" s="53">
        <f>(1-I29)*SUM(L16:L29)</f>
        <v>0</v>
      </c>
      <c r="N29" s="54">
        <f>(1-I29)*SUM(D12:L12)</f>
        <v>0</v>
      </c>
      <c r="P29" s="55">
        <v>0.85</v>
      </c>
    </row>
    <row r="30" spans="2:16">
      <c r="B30" s="41">
        <v>15</v>
      </c>
      <c r="C30" s="21" t="s">
        <v>67</v>
      </c>
      <c r="D30" s="43">
        <f t="shared" si="1"/>
        <v>1.889648032679738</v>
      </c>
      <c r="E30" s="48">
        <v>0</v>
      </c>
      <c r="F30" s="49">
        <f t="shared" si="2"/>
        <v>1.6916692810457518E-2</v>
      </c>
      <c r="G30" s="56" t="s">
        <v>38</v>
      </c>
      <c r="H30" s="93">
        <v>12</v>
      </c>
      <c r="I30" s="50">
        <v>0.998</v>
      </c>
      <c r="J30" s="51">
        <f t="shared" si="3"/>
        <v>0</v>
      </c>
      <c r="K30" s="52">
        <v>3.5</v>
      </c>
      <c r="L30" s="53">
        <f t="shared" si="5"/>
        <v>1.3725490196078431E-2</v>
      </c>
      <c r="M30" s="53">
        <f>(1-I30)*SUM(L24:L25,L30)</f>
        <v>7.3202614379085036E-5</v>
      </c>
      <c r="N30" s="54">
        <f>(1-I30)*SUM(D12:L12)</f>
        <v>3.1180000000000027E-3</v>
      </c>
      <c r="P30" s="55">
        <v>0.85</v>
      </c>
    </row>
    <row r="31" spans="2:16">
      <c r="B31" s="41">
        <v>16</v>
      </c>
      <c r="C31" s="21"/>
      <c r="D31" s="43">
        <f t="shared" si="1"/>
        <v>1.889648032679738</v>
      </c>
      <c r="E31" s="48">
        <v>0</v>
      </c>
      <c r="F31" s="49">
        <f t="shared" si="2"/>
        <v>0</v>
      </c>
      <c r="G31" s="58"/>
      <c r="H31" s="57"/>
      <c r="I31" s="50">
        <v>1</v>
      </c>
      <c r="J31" s="51">
        <f t="shared" si="3"/>
        <v>0</v>
      </c>
      <c r="K31" s="52">
        <v>0</v>
      </c>
      <c r="L31" s="53">
        <f t="shared" si="5"/>
        <v>0</v>
      </c>
      <c r="M31" s="53">
        <f t="shared" si="4"/>
        <v>0</v>
      </c>
      <c r="N31" s="54">
        <f t="shared" ref="N31:N43" si="6">(1-I31)*D30</f>
        <v>0</v>
      </c>
      <c r="P31" s="55">
        <v>1</v>
      </c>
    </row>
    <row r="32" spans="2:16">
      <c r="B32" s="41">
        <v>17</v>
      </c>
      <c r="C32" s="3"/>
      <c r="D32" s="43">
        <f t="shared" si="1"/>
        <v>1.889648032679738</v>
      </c>
      <c r="E32" s="48">
        <v>0</v>
      </c>
      <c r="F32" s="49">
        <f t="shared" si="2"/>
        <v>0</v>
      </c>
      <c r="G32" s="58"/>
      <c r="H32" s="57"/>
      <c r="I32" s="50">
        <v>1</v>
      </c>
      <c r="J32" s="51">
        <f t="shared" si="3"/>
        <v>0</v>
      </c>
      <c r="K32" s="52">
        <v>0</v>
      </c>
      <c r="L32" s="53">
        <f t="shared" si="5"/>
        <v>0</v>
      </c>
      <c r="M32" s="53">
        <f t="shared" si="4"/>
        <v>0</v>
      </c>
      <c r="N32" s="54">
        <f t="shared" si="6"/>
        <v>0</v>
      </c>
      <c r="P32" s="55">
        <v>1</v>
      </c>
    </row>
    <row r="33" spans="2:16">
      <c r="B33" s="41">
        <v>18</v>
      </c>
      <c r="C33" s="21"/>
      <c r="D33" s="43">
        <f t="shared" si="1"/>
        <v>1.889648032679738</v>
      </c>
      <c r="E33" s="48">
        <v>0</v>
      </c>
      <c r="F33" s="49">
        <f t="shared" si="2"/>
        <v>0</v>
      </c>
      <c r="G33" s="58"/>
      <c r="H33" s="59"/>
      <c r="I33" s="50">
        <v>1</v>
      </c>
      <c r="J33" s="51">
        <f t="shared" si="3"/>
        <v>0</v>
      </c>
      <c r="K33" s="52">
        <v>0</v>
      </c>
      <c r="L33" s="53">
        <f t="shared" si="5"/>
        <v>0</v>
      </c>
      <c r="M33" s="53">
        <f t="shared" si="4"/>
        <v>0</v>
      </c>
      <c r="N33" s="54">
        <f t="shared" si="6"/>
        <v>0</v>
      </c>
      <c r="P33" s="55">
        <v>1</v>
      </c>
    </row>
    <row r="34" spans="2:16">
      <c r="B34" s="41">
        <v>19</v>
      </c>
      <c r="C34" s="2"/>
      <c r="D34" s="43">
        <f t="shared" si="1"/>
        <v>1.889648032679738</v>
      </c>
      <c r="E34" s="48">
        <v>0</v>
      </c>
      <c r="F34" s="49">
        <f t="shared" si="2"/>
        <v>0</v>
      </c>
      <c r="G34" s="58"/>
      <c r="H34" s="59"/>
      <c r="I34" s="50">
        <v>1</v>
      </c>
      <c r="J34" s="51">
        <f t="shared" si="3"/>
        <v>0</v>
      </c>
      <c r="K34" s="52">
        <v>0</v>
      </c>
      <c r="L34" s="53">
        <f t="shared" si="5"/>
        <v>0</v>
      </c>
      <c r="M34" s="53">
        <f t="shared" si="4"/>
        <v>0</v>
      </c>
      <c r="N34" s="54">
        <f t="shared" si="6"/>
        <v>0</v>
      </c>
      <c r="P34" s="55">
        <v>1</v>
      </c>
    </row>
    <row r="35" spans="2:16">
      <c r="B35" s="41">
        <v>20</v>
      </c>
      <c r="C35" s="2"/>
      <c r="D35" s="43">
        <f t="shared" si="1"/>
        <v>1.889648032679738</v>
      </c>
      <c r="E35" s="48">
        <v>0</v>
      </c>
      <c r="F35" s="49">
        <f t="shared" si="2"/>
        <v>0</v>
      </c>
      <c r="G35" s="58"/>
      <c r="H35" s="57"/>
      <c r="I35" s="50">
        <v>1</v>
      </c>
      <c r="J35" s="51">
        <f t="shared" si="3"/>
        <v>0</v>
      </c>
      <c r="K35" s="52">
        <v>0</v>
      </c>
      <c r="L35" s="53">
        <f t="shared" si="5"/>
        <v>0</v>
      </c>
      <c r="M35" s="53">
        <f t="shared" si="4"/>
        <v>0</v>
      </c>
      <c r="N35" s="54">
        <f t="shared" si="6"/>
        <v>0</v>
      </c>
      <c r="P35" s="55">
        <v>1</v>
      </c>
    </row>
    <row r="36" spans="2:16">
      <c r="B36" s="41">
        <v>21</v>
      </c>
      <c r="C36" s="3"/>
      <c r="D36" s="43">
        <f t="shared" si="1"/>
        <v>1.889648032679738</v>
      </c>
      <c r="E36" s="48">
        <v>0</v>
      </c>
      <c r="F36" s="49">
        <f t="shared" si="2"/>
        <v>0</v>
      </c>
      <c r="G36" s="58"/>
      <c r="H36" s="57"/>
      <c r="I36" s="50">
        <v>1</v>
      </c>
      <c r="J36" s="51">
        <f t="shared" si="3"/>
        <v>0</v>
      </c>
      <c r="K36" s="52">
        <v>0</v>
      </c>
      <c r="L36" s="53">
        <f t="shared" si="5"/>
        <v>0</v>
      </c>
      <c r="M36" s="53">
        <f t="shared" si="4"/>
        <v>0</v>
      </c>
      <c r="N36" s="54">
        <f t="shared" si="6"/>
        <v>0</v>
      </c>
      <c r="P36" s="55">
        <v>1</v>
      </c>
    </row>
    <row r="37" spans="2:16">
      <c r="B37" s="41">
        <v>22</v>
      </c>
      <c r="C37" s="21"/>
      <c r="D37" s="43">
        <f t="shared" si="1"/>
        <v>1.889648032679738</v>
      </c>
      <c r="E37" s="48">
        <v>0</v>
      </c>
      <c r="F37" s="49">
        <f t="shared" si="2"/>
        <v>0</v>
      </c>
      <c r="G37" s="58"/>
      <c r="H37" s="57"/>
      <c r="I37" s="50">
        <v>1</v>
      </c>
      <c r="J37" s="51">
        <f t="shared" si="3"/>
        <v>0</v>
      </c>
      <c r="K37" s="52">
        <v>0</v>
      </c>
      <c r="L37" s="53">
        <f t="shared" si="5"/>
        <v>0</v>
      </c>
      <c r="M37" s="53">
        <f t="shared" si="4"/>
        <v>0</v>
      </c>
      <c r="N37" s="54">
        <f t="shared" si="6"/>
        <v>0</v>
      </c>
      <c r="P37" s="55">
        <v>1</v>
      </c>
    </row>
    <row r="38" spans="2:16">
      <c r="B38" s="41">
        <v>23</v>
      </c>
      <c r="C38" s="21"/>
      <c r="D38" s="43">
        <f t="shared" si="1"/>
        <v>1.889648032679738</v>
      </c>
      <c r="E38" s="48">
        <v>0</v>
      </c>
      <c r="F38" s="49">
        <f t="shared" si="2"/>
        <v>0</v>
      </c>
      <c r="G38" s="58"/>
      <c r="H38" s="57"/>
      <c r="I38" s="50">
        <v>1</v>
      </c>
      <c r="J38" s="51">
        <f t="shared" si="3"/>
        <v>0</v>
      </c>
      <c r="K38" s="52">
        <v>0</v>
      </c>
      <c r="L38" s="53">
        <f t="shared" si="5"/>
        <v>0</v>
      </c>
      <c r="M38" s="53">
        <f t="shared" si="4"/>
        <v>0</v>
      </c>
      <c r="N38" s="54">
        <f t="shared" si="6"/>
        <v>0</v>
      </c>
      <c r="P38" s="55">
        <v>1</v>
      </c>
    </row>
    <row r="39" spans="2:16">
      <c r="B39" s="41">
        <v>24</v>
      </c>
      <c r="C39" s="2"/>
      <c r="D39" s="43">
        <f t="shared" si="1"/>
        <v>1.889648032679738</v>
      </c>
      <c r="E39" s="48">
        <v>0</v>
      </c>
      <c r="F39" s="49">
        <f t="shared" si="2"/>
        <v>0</v>
      </c>
      <c r="G39" s="58"/>
      <c r="H39" s="57"/>
      <c r="I39" s="50">
        <v>1</v>
      </c>
      <c r="J39" s="51">
        <f t="shared" si="3"/>
        <v>0</v>
      </c>
      <c r="K39" s="52">
        <v>0</v>
      </c>
      <c r="L39" s="53">
        <f t="shared" si="5"/>
        <v>0</v>
      </c>
      <c r="M39" s="53">
        <f t="shared" si="4"/>
        <v>0</v>
      </c>
      <c r="N39" s="54">
        <f t="shared" si="6"/>
        <v>0</v>
      </c>
      <c r="P39" s="55">
        <v>1</v>
      </c>
    </row>
    <row r="40" spans="2:16">
      <c r="B40" s="41">
        <v>25</v>
      </c>
      <c r="C40" s="2"/>
      <c r="D40" s="43">
        <f t="shared" si="1"/>
        <v>1.889648032679738</v>
      </c>
      <c r="E40" s="48">
        <v>0</v>
      </c>
      <c r="F40" s="49">
        <f t="shared" si="2"/>
        <v>0</v>
      </c>
      <c r="G40" s="58"/>
      <c r="H40" s="59"/>
      <c r="I40" s="50">
        <v>1</v>
      </c>
      <c r="J40" s="51">
        <f t="shared" si="3"/>
        <v>0</v>
      </c>
      <c r="K40" s="52">
        <v>0</v>
      </c>
      <c r="L40" s="53">
        <f t="shared" si="5"/>
        <v>0</v>
      </c>
      <c r="M40" s="53">
        <f t="shared" si="4"/>
        <v>0</v>
      </c>
      <c r="N40" s="54">
        <f t="shared" si="6"/>
        <v>0</v>
      </c>
      <c r="P40" s="55">
        <v>1</v>
      </c>
    </row>
    <row r="41" spans="2:16">
      <c r="B41" s="41">
        <v>26</v>
      </c>
      <c r="C41" s="2"/>
      <c r="D41" s="43">
        <f t="shared" si="1"/>
        <v>1.889648032679738</v>
      </c>
      <c r="E41" s="48">
        <v>0</v>
      </c>
      <c r="F41" s="49">
        <f t="shared" si="2"/>
        <v>0</v>
      </c>
      <c r="G41" s="58"/>
      <c r="H41" s="57"/>
      <c r="I41" s="50">
        <v>1</v>
      </c>
      <c r="J41" s="51">
        <f t="shared" si="3"/>
        <v>0</v>
      </c>
      <c r="K41" s="52">
        <v>0</v>
      </c>
      <c r="L41" s="53">
        <f t="shared" si="5"/>
        <v>0</v>
      </c>
      <c r="M41" s="53">
        <f t="shared" si="4"/>
        <v>0</v>
      </c>
      <c r="N41" s="54">
        <f t="shared" si="6"/>
        <v>0</v>
      </c>
      <c r="P41" s="55">
        <v>1</v>
      </c>
    </row>
    <row r="42" spans="2:16">
      <c r="B42" s="60" t="s">
        <v>8</v>
      </c>
      <c r="C42" s="61"/>
      <c r="D42" s="43">
        <f t="shared" si="1"/>
        <v>1.889648032679738</v>
      </c>
      <c r="E42" s="48">
        <v>0</v>
      </c>
      <c r="F42" s="49">
        <f t="shared" si="2"/>
        <v>0</v>
      </c>
      <c r="G42" s="62"/>
      <c r="H42" s="57"/>
      <c r="I42" s="50">
        <v>1</v>
      </c>
      <c r="J42" s="51">
        <f t="shared" si="3"/>
        <v>0</v>
      </c>
      <c r="K42" s="52">
        <v>0</v>
      </c>
      <c r="L42" s="53">
        <f t="shared" si="5"/>
        <v>0</v>
      </c>
      <c r="M42" s="53">
        <f t="shared" si="4"/>
        <v>0</v>
      </c>
      <c r="N42" s="54">
        <f t="shared" si="6"/>
        <v>0</v>
      </c>
      <c r="P42" s="55">
        <v>1</v>
      </c>
    </row>
    <row r="43" spans="2:16">
      <c r="B43" s="60" t="s">
        <v>9</v>
      </c>
      <c r="C43" s="61"/>
      <c r="D43" s="43">
        <f t="shared" si="1"/>
        <v>1.9472197320261433</v>
      </c>
      <c r="E43" s="48">
        <f>0.02899+0.016</f>
        <v>4.4990000000000002E-2</v>
      </c>
      <c r="F43" s="49">
        <f t="shared" si="2"/>
        <v>1.2581699346405229E-2</v>
      </c>
      <c r="G43" s="62"/>
      <c r="H43" s="57">
        <v>11</v>
      </c>
      <c r="I43" s="50">
        <v>1</v>
      </c>
      <c r="J43" s="51">
        <f>(1-I43)*J45+J45</f>
        <v>0</v>
      </c>
      <c r="K43" s="52">
        <v>3.5</v>
      </c>
      <c r="L43" s="53">
        <f t="shared" si="5"/>
        <v>1.2581699346405229E-2</v>
      </c>
      <c r="M43" s="53">
        <f t="shared" si="4"/>
        <v>0</v>
      </c>
      <c r="N43" s="54">
        <f t="shared" si="6"/>
        <v>0</v>
      </c>
      <c r="P43" s="55">
        <v>0.85</v>
      </c>
    </row>
    <row r="44" spans="2:16">
      <c r="B44" s="60" t="s">
        <v>10</v>
      </c>
      <c r="C44" s="63"/>
      <c r="D44" s="43">
        <f>D43</f>
        <v>1.9472197320261433</v>
      </c>
      <c r="E44" s="43">
        <f>SUM(E15:E43)</f>
        <v>1.60399</v>
      </c>
      <c r="F44" s="64">
        <f>SUM(F15:F43)</f>
        <v>0.34322973202614387</v>
      </c>
      <c r="G44" s="65"/>
      <c r="H44" s="65"/>
      <c r="I44" s="65"/>
      <c r="J44" s="66"/>
      <c r="K44" s="65"/>
      <c r="L44" s="63"/>
      <c r="M44" s="63"/>
      <c r="N44" s="67"/>
    </row>
    <row r="45" spans="2:16">
      <c r="B45" s="60" t="s">
        <v>11</v>
      </c>
      <c r="C45" s="68"/>
      <c r="D45" s="43">
        <f>D44+F45</f>
        <v>1.9472197320261433</v>
      </c>
      <c r="E45" s="43"/>
      <c r="F45" s="69">
        <v>0</v>
      </c>
      <c r="G45" s="70"/>
      <c r="H45" s="70"/>
      <c r="I45" s="71" t="s">
        <v>27</v>
      </c>
      <c r="J45" s="72">
        <f>D7</f>
        <v>0</v>
      </c>
      <c r="K45" s="70"/>
      <c r="L45" s="42"/>
      <c r="M45" s="42"/>
      <c r="N45" s="47"/>
    </row>
    <row r="46" spans="2:16">
      <c r="B46" s="60" t="s">
        <v>42</v>
      </c>
      <c r="C46" s="73">
        <v>0.03</v>
      </c>
      <c r="D46" s="43">
        <f>D45+F46</f>
        <v>2.0056363239869275</v>
      </c>
      <c r="E46" s="43">
        <v>0</v>
      </c>
      <c r="F46" s="74">
        <f>D45*C46</f>
        <v>5.8416591960784296E-2</v>
      </c>
      <c r="G46" s="70"/>
      <c r="H46" s="70"/>
      <c r="I46" s="70"/>
      <c r="J46" s="75"/>
      <c r="K46" s="70"/>
      <c r="L46" s="42"/>
      <c r="M46" s="42"/>
      <c r="N46" s="47"/>
    </row>
    <row r="47" spans="2:16">
      <c r="B47" s="60" t="s">
        <v>43</v>
      </c>
      <c r="C47" s="73">
        <v>0.02</v>
      </c>
      <c r="D47" s="43">
        <f>D46+F47</f>
        <v>2.0457490504666662</v>
      </c>
      <c r="E47" s="43">
        <v>0</v>
      </c>
      <c r="F47" s="74">
        <f>D46*C47</f>
        <v>4.0112726479738549E-2</v>
      </c>
      <c r="G47" s="70"/>
      <c r="H47" s="70"/>
      <c r="I47" s="70"/>
      <c r="J47" s="75"/>
      <c r="K47" s="70"/>
      <c r="L47" s="42"/>
      <c r="M47" s="42"/>
      <c r="N47" s="47"/>
    </row>
    <row r="48" spans="2:16">
      <c r="B48" s="60" t="s">
        <v>12</v>
      </c>
      <c r="C48" s="73">
        <v>4.4999999999999998E-2</v>
      </c>
      <c r="D48" s="43">
        <f>D47+F48</f>
        <v>2.1378077577376664</v>
      </c>
      <c r="E48" s="43">
        <v>0</v>
      </c>
      <c r="F48" s="74">
        <f>D47*C48</f>
        <v>9.2058707270999976E-2</v>
      </c>
      <c r="G48" s="70"/>
      <c r="H48" s="70"/>
      <c r="I48" s="76"/>
      <c r="J48" s="75"/>
      <c r="K48" s="70"/>
      <c r="L48" s="42"/>
      <c r="M48" s="42"/>
      <c r="N48" s="47"/>
    </row>
    <row r="49" spans="2:14" ht="15.75" thickBot="1">
      <c r="B49" s="77" t="s">
        <v>54</v>
      </c>
      <c r="C49" s="78"/>
      <c r="D49" s="79">
        <f>D48+F49</f>
        <v>2.1718271577376664</v>
      </c>
      <c r="E49" s="79"/>
      <c r="F49" s="80">
        <f>(0.45*2*1.1042+0.0769+0.0633)*3%</f>
        <v>3.4019399999999998E-2</v>
      </c>
      <c r="G49" s="81"/>
      <c r="H49" s="81"/>
      <c r="I49" s="81"/>
      <c r="J49" s="82"/>
      <c r="K49" s="78"/>
      <c r="L49" s="78"/>
      <c r="M49" s="78"/>
      <c r="N49" s="83"/>
    </row>
    <row r="50" spans="2:14" ht="15.75" thickBot="1">
      <c r="B50" s="84" t="s">
        <v>13</v>
      </c>
      <c r="C50" s="85"/>
      <c r="D50" s="95">
        <f>D49</f>
        <v>2.1718271577376664</v>
      </c>
      <c r="E50" s="86"/>
      <c r="F50" s="87"/>
      <c r="G50" s="88"/>
      <c r="H50" s="88"/>
      <c r="I50" s="88"/>
      <c r="J50" s="89"/>
      <c r="K50" s="88"/>
      <c r="L50" s="88"/>
      <c r="M50" s="88"/>
      <c r="N50" s="88"/>
    </row>
    <row r="51" spans="2:14">
      <c r="F51" s="90"/>
    </row>
    <row r="53" spans="2:14">
      <c r="D53" s="90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Truman Wildcat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Zhong,Doreen</cp:lastModifiedBy>
  <dcterms:created xsi:type="dcterms:W3CDTF">2015-03-12T21:02:34Z</dcterms:created>
  <dcterms:modified xsi:type="dcterms:W3CDTF">2016-10-01T09:08:49Z</dcterms:modified>
</cp:coreProperties>
</file>