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wmf" ContentType="image/x-wmf"/>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96" yWindow="132" windowWidth="8496" windowHeight="8712"/>
  </bookViews>
  <sheets>
    <sheet name="24節氣查詢" sheetId="12" r:id="rId1"/>
  </sheets>
  <definedNames>
    <definedName name="A_part">IF(Z_part&lt;2299161,Z_part,(Z_part+1+Alpha_part-INT(Alpha_part/4)))</definedName>
    <definedName name="Alpha_part">INT((Z_part-1867216.25)/36524.25)</definedName>
    <definedName name="B_part">A_part+1524</definedName>
    <definedName name="C_part">INT((B_part-122.1)/365.25)</definedName>
    <definedName name="callp" localSheetId="0">((2*ATAN((SQRT((1-地球繞日軌道偏心率)/(1+地球繞日軌道偏心率))*TAN('24節氣查詢'!XFD1/2))))-(地球繞日軌道偏心率*SQRT(1-地球繞日軌道偏心率^2)*SIN('24節氣查詢'!XFD1)/(1+地球繞日軌道偏心率*COS('24節氣查詢'!XFD1))))*'24節氣查詢'!$B$8</definedName>
    <definedName name="D_part">INT(365.25*C_part)</definedName>
    <definedName name="Date_d">B_part-D_part-INT(30.6001*E_part)+F_part</definedName>
    <definedName name="Date_m">IF(E_part&lt;14,E_part-1,E_part-13)</definedName>
    <definedName name="Date_y">IF(Date_m&gt;2,C_part-4716,C_part-4715)</definedName>
    <definedName name="Delta_t_Year">'24節氣查詢'!$B$1+(INT((COLUMN()-67)/2)+2.5)/12</definedName>
    <definedName name="Delta_t_Year_修正值">'24節氣查詢'!$B$1+(INT((COLUMN()-43)/2)+2.5)/12</definedName>
    <definedName name="E_part">INT((B_part-D_part)/30.6001)</definedName>
    <definedName name="F_part">MOD('24節氣查詢'!$L1+0.5,1)</definedName>
    <definedName name="m_1000">'24節氣查詢'!$B$1/1000</definedName>
    <definedName name="m_1000_1">('24節氣查詢'!$B$1+1)/1000</definedName>
    <definedName name="m_3000">('24節氣查詢'!$B$1-2000)/1000</definedName>
    <definedName name="m_3000_1">('24節氣查詢'!$B$1-1999)/1000</definedName>
    <definedName name="m_flag">IF(AND(th_δ&gt;PI(),th_δ&lt;=(3*PI())),1,IF(th_δ&gt;(3*PI()),2,0))</definedName>
    <definedName name="Notice">IF(OR('24節氣查詢'!$B$1&lt;-1000,'24節氣查詢'!$B$1&gt;3000),Picture,'24節氣查詢'!$DF$84)</definedName>
    <definedName name="Picture">'24節氣查詢'!$DF$83</definedName>
    <definedName name="th_δ">('24節氣查詢'!$B$2*PI()/180)+((ROW()-14)*PI()/12)</definedName>
    <definedName name="Z_part">INT('24節氣查詢'!$L1+0.5)</definedName>
    <definedName name="二PI分之套">'24節氣查詢'!$B$7/2/PI()</definedName>
    <definedName name="二分點_△t_原始值">OFFSET('24節氣查詢'!$AQ$13,MATCH(OFFSET('24節氣查詢'!$AQ$12,0,ROW()-13),'24節氣查詢'!$AP$14:$AP$29),ROW()-13)</definedName>
    <definedName name="二分點_△λ">1+0.0334*COS(二分點_W)+0.0007*COS(2*二分點_W)</definedName>
    <definedName name="二分點_T">('24節氣查詢'!$K1-2451545)/36525</definedName>
    <definedName name="二分點_W">(35999.373*二分點_T-2.47)*PI()/180</definedName>
    <definedName name="二分點_Year">OFFSET('24節氣查詢'!$AQ$12,0,ROW()-13)</definedName>
    <definedName name="二分點_偏移量">0.00001*'24節氣查詢'!$P1/二分點_△λ</definedName>
    <definedName name="地球繞日軌道偏心率">0.0167086342-0.0004203654*偏心率參數_T-0.0000126734*偏心率參數_T^2+0.0000001444*偏心率參數_T^3-0.0000000002*偏心率參數_T^4+0.0000000003*偏心率參數_T^5</definedName>
    <definedName name="偏心率參數_T">('24節氣查詢'!$B$3-2451545)/365250</definedName>
  </definedNames>
  <calcPr calcId="125725"/>
</workbook>
</file>

<file path=xl/calcChain.xml><?xml version="1.0" encoding="utf-8"?>
<calcChain xmlns="http://schemas.openxmlformats.org/spreadsheetml/2006/main">
  <c r="AR12" i="12"/>
  <c r="D24"/>
  <c r="D25"/>
  <c r="D23"/>
  <c r="D3"/>
  <c r="D4"/>
  <c r="D5"/>
  <c r="D6"/>
  <c r="D7"/>
  <c r="D8"/>
  <c r="D9"/>
  <c r="D10"/>
  <c r="D11"/>
  <c r="D12"/>
  <c r="D13"/>
  <c r="D14"/>
  <c r="D15"/>
  <c r="D16"/>
  <c r="D17"/>
  <c r="D18"/>
  <c r="D19"/>
  <c r="D20"/>
  <c r="D21"/>
  <c r="D22"/>
  <c r="D2"/>
  <c r="B2"/>
  <c r="AS29" l="1"/>
  <c r="AT29"/>
  <c r="AU29"/>
  <c r="AV29"/>
  <c r="AW29"/>
  <c r="AX29"/>
  <c r="AY29"/>
  <c r="AZ29"/>
  <c r="BA29"/>
  <c r="BB29"/>
  <c r="BC29"/>
  <c r="BD29"/>
  <c r="BE29"/>
  <c r="BF29"/>
  <c r="BG29"/>
  <c r="BH29"/>
  <c r="BI29"/>
  <c r="BJ29"/>
  <c r="BK29"/>
  <c r="BL29"/>
  <c r="BM29"/>
  <c r="BN29"/>
  <c r="BO29"/>
  <c r="AR29"/>
  <c r="BO12" l="1"/>
  <c r="BP14"/>
  <c r="AR14" s="1"/>
  <c r="BQ14"/>
  <c r="AS14" s="1"/>
  <c r="BR14"/>
  <c r="AT14" s="1"/>
  <c r="BS14"/>
  <c r="AU14" s="1"/>
  <c r="BT14"/>
  <c r="AV14" s="1"/>
  <c r="BU14"/>
  <c r="AW14" s="1"/>
  <c r="BV14"/>
  <c r="AX14" s="1"/>
  <c r="BW14"/>
  <c r="AY14" s="1"/>
  <c r="BX14"/>
  <c r="AZ14" s="1"/>
  <c r="BY14"/>
  <c r="BA14" s="1"/>
  <c r="BZ14"/>
  <c r="BB14" s="1"/>
  <c r="CA14"/>
  <c r="BC14" s="1"/>
  <c r="CB14"/>
  <c r="BD14" s="1"/>
  <c r="CC14"/>
  <c r="BE14" s="1"/>
  <c r="CD14"/>
  <c r="BF14" s="1"/>
  <c r="CE14"/>
  <c r="BG14" s="1"/>
  <c r="CF14"/>
  <c r="BH14" s="1"/>
  <c r="CG14"/>
  <c r="BI14" s="1"/>
  <c r="CH14"/>
  <c r="BJ14" s="1"/>
  <c r="CI14"/>
  <c r="BK14" s="1"/>
  <c r="CJ14"/>
  <c r="BL14" s="1"/>
  <c r="CK14"/>
  <c r="BM14" s="1"/>
  <c r="CL14"/>
  <c r="BN14" s="1"/>
  <c r="CM14"/>
  <c r="BO14" s="1"/>
  <c r="BP15"/>
  <c r="AR15" s="1"/>
  <c r="BQ15"/>
  <c r="AS15" s="1"/>
  <c r="BR15"/>
  <c r="AT15" s="1"/>
  <c r="BS15"/>
  <c r="AU15" s="1"/>
  <c r="BT15"/>
  <c r="AV15" s="1"/>
  <c r="BU15"/>
  <c r="AW15" s="1"/>
  <c r="BV15"/>
  <c r="AX15" s="1"/>
  <c r="BW15"/>
  <c r="AY15" s="1"/>
  <c r="BX15"/>
  <c r="AZ15" s="1"/>
  <c r="BY15"/>
  <c r="BA15" s="1"/>
  <c r="BZ15"/>
  <c r="BB15" s="1"/>
  <c r="CA15"/>
  <c r="BC15" s="1"/>
  <c r="CB15"/>
  <c r="BD15" s="1"/>
  <c r="CC15"/>
  <c r="BE15" s="1"/>
  <c r="CD15"/>
  <c r="BF15" s="1"/>
  <c r="CE15"/>
  <c r="BG15" s="1"/>
  <c r="CF15"/>
  <c r="BH15" s="1"/>
  <c r="CG15"/>
  <c r="BI15" s="1"/>
  <c r="CH15"/>
  <c r="BJ15" s="1"/>
  <c r="CI15"/>
  <c r="BK15" s="1"/>
  <c r="CJ15"/>
  <c r="BL15" s="1"/>
  <c r="CK15"/>
  <c r="BM15" s="1"/>
  <c r="CL15"/>
  <c r="BN15" s="1"/>
  <c r="CM15"/>
  <c r="BO15" s="1"/>
  <c r="BP16"/>
  <c r="AR16" s="1"/>
  <c r="BQ16"/>
  <c r="AS16" s="1"/>
  <c r="BR16"/>
  <c r="AT16" s="1"/>
  <c r="BS16"/>
  <c r="AU16" s="1"/>
  <c r="BT16"/>
  <c r="AV16" s="1"/>
  <c r="BU16"/>
  <c r="AW16" s="1"/>
  <c r="BV16"/>
  <c r="AX16" s="1"/>
  <c r="BW16"/>
  <c r="AY16" s="1"/>
  <c r="BX16"/>
  <c r="AZ16" s="1"/>
  <c r="BY16"/>
  <c r="BA16" s="1"/>
  <c r="BZ16"/>
  <c r="BB16" s="1"/>
  <c r="CA16"/>
  <c r="BC16" s="1"/>
  <c r="CB16"/>
  <c r="BD16" s="1"/>
  <c r="CC16"/>
  <c r="BE16" s="1"/>
  <c r="CD16"/>
  <c r="BF16" s="1"/>
  <c r="CE16"/>
  <c r="BG16" s="1"/>
  <c r="CF16"/>
  <c r="BH16" s="1"/>
  <c r="CG16"/>
  <c r="BI16" s="1"/>
  <c r="CH16"/>
  <c r="BJ16" s="1"/>
  <c r="CI16"/>
  <c r="BK16" s="1"/>
  <c r="CJ16"/>
  <c r="BL16" s="1"/>
  <c r="CK16"/>
  <c r="BM16" s="1"/>
  <c r="CL16"/>
  <c r="BN16" s="1"/>
  <c r="CM16"/>
  <c r="BO16" s="1"/>
  <c r="BP17"/>
  <c r="AR17" s="1"/>
  <c r="BQ17"/>
  <c r="AS17" s="1"/>
  <c r="BR17"/>
  <c r="AT17" s="1"/>
  <c r="BS17"/>
  <c r="AU17" s="1"/>
  <c r="BT17"/>
  <c r="AV17" s="1"/>
  <c r="BU17"/>
  <c r="AW17" s="1"/>
  <c r="BV17"/>
  <c r="AX17" s="1"/>
  <c r="BW17"/>
  <c r="AY17" s="1"/>
  <c r="BX17"/>
  <c r="AZ17" s="1"/>
  <c r="BY17"/>
  <c r="BA17" s="1"/>
  <c r="BZ17"/>
  <c r="BB17" s="1"/>
  <c r="CA17"/>
  <c r="BC17" s="1"/>
  <c r="CB17"/>
  <c r="BD17" s="1"/>
  <c r="CC17"/>
  <c r="BE17" s="1"/>
  <c r="CD17"/>
  <c r="BF17" s="1"/>
  <c r="CE17"/>
  <c r="BG17" s="1"/>
  <c r="CF17"/>
  <c r="BH17" s="1"/>
  <c r="CG17"/>
  <c r="BI17" s="1"/>
  <c r="CH17"/>
  <c r="BJ17" s="1"/>
  <c r="CI17"/>
  <c r="BK17" s="1"/>
  <c r="CJ17"/>
  <c r="BL17" s="1"/>
  <c r="CK17"/>
  <c r="BM17" s="1"/>
  <c r="CL17"/>
  <c r="BN17" s="1"/>
  <c r="CM17"/>
  <c r="BO17" s="1"/>
  <c r="BP18"/>
  <c r="AR18" s="1"/>
  <c r="BQ18"/>
  <c r="AS18" s="1"/>
  <c r="BR18"/>
  <c r="AT18" s="1"/>
  <c r="BS18"/>
  <c r="AU18" s="1"/>
  <c r="BT18"/>
  <c r="AV18" s="1"/>
  <c r="BU18"/>
  <c r="AW18" s="1"/>
  <c r="BV18"/>
  <c r="AX18" s="1"/>
  <c r="BW18"/>
  <c r="AY18" s="1"/>
  <c r="BX18"/>
  <c r="AZ18" s="1"/>
  <c r="BY18"/>
  <c r="BA18" s="1"/>
  <c r="BZ18"/>
  <c r="BB18" s="1"/>
  <c r="CA18"/>
  <c r="BC18" s="1"/>
  <c r="CB18"/>
  <c r="BD18" s="1"/>
  <c r="CC18"/>
  <c r="BE18" s="1"/>
  <c r="CD18"/>
  <c r="BF18" s="1"/>
  <c r="CE18"/>
  <c r="BG18" s="1"/>
  <c r="CF18"/>
  <c r="BH18" s="1"/>
  <c r="CG18"/>
  <c r="BI18" s="1"/>
  <c r="CH18"/>
  <c r="BJ18" s="1"/>
  <c r="CI18"/>
  <c r="BK18" s="1"/>
  <c r="CJ18"/>
  <c r="BL18" s="1"/>
  <c r="CK18"/>
  <c r="BM18" s="1"/>
  <c r="CL18"/>
  <c r="BN18" s="1"/>
  <c r="CM18"/>
  <c r="BO18" s="1"/>
  <c r="BP19"/>
  <c r="AR19" s="1"/>
  <c r="BQ19"/>
  <c r="AS19" s="1"/>
  <c r="BR19"/>
  <c r="AT19" s="1"/>
  <c r="BS19"/>
  <c r="AU19" s="1"/>
  <c r="BT19"/>
  <c r="AV19" s="1"/>
  <c r="BU19"/>
  <c r="AW19" s="1"/>
  <c r="BV19"/>
  <c r="AX19" s="1"/>
  <c r="BW19"/>
  <c r="AY19" s="1"/>
  <c r="BX19"/>
  <c r="AZ19" s="1"/>
  <c r="BY19"/>
  <c r="BA19" s="1"/>
  <c r="BZ19"/>
  <c r="BB19" s="1"/>
  <c r="CA19"/>
  <c r="BC19" s="1"/>
  <c r="CB19"/>
  <c r="BD19" s="1"/>
  <c r="CC19"/>
  <c r="BE19" s="1"/>
  <c r="CD19"/>
  <c r="BF19" s="1"/>
  <c r="CE19"/>
  <c r="BG19" s="1"/>
  <c r="CF19"/>
  <c r="BH19" s="1"/>
  <c r="CG19"/>
  <c r="BI19" s="1"/>
  <c r="CH19"/>
  <c r="BJ19" s="1"/>
  <c r="CI19"/>
  <c r="BK19" s="1"/>
  <c r="CJ19"/>
  <c r="BL19" s="1"/>
  <c r="CK19"/>
  <c r="BM19" s="1"/>
  <c r="CL19"/>
  <c r="BN19" s="1"/>
  <c r="CM19"/>
  <c r="BO19" s="1"/>
  <c r="BP20"/>
  <c r="AR20" s="1"/>
  <c r="BQ20"/>
  <c r="AS20" s="1"/>
  <c r="BR20"/>
  <c r="AT20" s="1"/>
  <c r="BS20"/>
  <c r="AU20" s="1"/>
  <c r="BT20"/>
  <c r="AV20" s="1"/>
  <c r="BU20"/>
  <c r="AW20" s="1"/>
  <c r="BV20"/>
  <c r="AX20" s="1"/>
  <c r="BW20"/>
  <c r="AY20" s="1"/>
  <c r="BX20"/>
  <c r="AZ20" s="1"/>
  <c r="BY20"/>
  <c r="BA20" s="1"/>
  <c r="BZ20"/>
  <c r="BB20" s="1"/>
  <c r="CA20"/>
  <c r="BC20" s="1"/>
  <c r="CB20"/>
  <c r="BD20" s="1"/>
  <c r="CC20"/>
  <c r="BE20" s="1"/>
  <c r="CD20"/>
  <c r="BF20" s="1"/>
  <c r="CE20"/>
  <c r="BG20" s="1"/>
  <c r="CF20"/>
  <c r="BH20" s="1"/>
  <c r="CG20"/>
  <c r="BI20" s="1"/>
  <c r="CH20"/>
  <c r="BJ20" s="1"/>
  <c r="CI20"/>
  <c r="BK20" s="1"/>
  <c r="CJ20"/>
  <c r="BL20" s="1"/>
  <c r="CK20"/>
  <c r="BM20" s="1"/>
  <c r="CL20"/>
  <c r="BN20" s="1"/>
  <c r="CM20"/>
  <c r="BO20" s="1"/>
  <c r="BP21"/>
  <c r="AR21" s="1"/>
  <c r="BQ21"/>
  <c r="AS21" s="1"/>
  <c r="BR21"/>
  <c r="AT21" s="1"/>
  <c r="BS21"/>
  <c r="AU21" s="1"/>
  <c r="BT21"/>
  <c r="AV21" s="1"/>
  <c r="BU21"/>
  <c r="AW21" s="1"/>
  <c r="BV21"/>
  <c r="AX21" s="1"/>
  <c r="BW21"/>
  <c r="AY21" s="1"/>
  <c r="BX21"/>
  <c r="AZ21" s="1"/>
  <c r="BY21"/>
  <c r="BA21" s="1"/>
  <c r="BZ21"/>
  <c r="BB21" s="1"/>
  <c r="CA21"/>
  <c r="BC21" s="1"/>
  <c r="CB21"/>
  <c r="BD21" s="1"/>
  <c r="CC21"/>
  <c r="BE21" s="1"/>
  <c r="CD21"/>
  <c r="BF21" s="1"/>
  <c r="CE21"/>
  <c r="BG21" s="1"/>
  <c r="CF21"/>
  <c r="BH21" s="1"/>
  <c r="CG21"/>
  <c r="BI21" s="1"/>
  <c r="CH21"/>
  <c r="BJ21" s="1"/>
  <c r="CI21"/>
  <c r="BK21" s="1"/>
  <c r="CJ21"/>
  <c r="BL21" s="1"/>
  <c r="CK21"/>
  <c r="BM21" s="1"/>
  <c r="CL21"/>
  <c r="BN21" s="1"/>
  <c r="CM21"/>
  <c r="BO21" s="1"/>
  <c r="BP22"/>
  <c r="AR22" s="1"/>
  <c r="BQ22"/>
  <c r="AS22" s="1"/>
  <c r="BR22"/>
  <c r="AT22" s="1"/>
  <c r="BS22"/>
  <c r="AU22" s="1"/>
  <c r="BT22"/>
  <c r="AV22" s="1"/>
  <c r="BU22"/>
  <c r="AW22" s="1"/>
  <c r="BV22"/>
  <c r="AX22" s="1"/>
  <c r="BW22"/>
  <c r="AY22" s="1"/>
  <c r="BX22"/>
  <c r="AZ22" s="1"/>
  <c r="BY22"/>
  <c r="BA22" s="1"/>
  <c r="BZ22"/>
  <c r="BB22" s="1"/>
  <c r="CA22"/>
  <c r="BC22" s="1"/>
  <c r="CB22"/>
  <c r="BD22" s="1"/>
  <c r="CC22"/>
  <c r="BE22" s="1"/>
  <c r="CD22"/>
  <c r="BF22" s="1"/>
  <c r="CE22"/>
  <c r="BG22" s="1"/>
  <c r="CF22"/>
  <c r="BH22" s="1"/>
  <c r="CG22"/>
  <c r="BI22" s="1"/>
  <c r="CH22"/>
  <c r="BJ22" s="1"/>
  <c r="CI22"/>
  <c r="BK22" s="1"/>
  <c r="CJ22"/>
  <c r="BL22" s="1"/>
  <c r="CK22"/>
  <c r="BM22" s="1"/>
  <c r="CL22"/>
  <c r="BN22" s="1"/>
  <c r="CM22"/>
  <c r="BO22" s="1"/>
  <c r="BP23"/>
  <c r="AR23" s="1"/>
  <c r="BQ23"/>
  <c r="AS23" s="1"/>
  <c r="BR23"/>
  <c r="AT23" s="1"/>
  <c r="BS23"/>
  <c r="AU23" s="1"/>
  <c r="BT23"/>
  <c r="AV23" s="1"/>
  <c r="BU23"/>
  <c r="AW23" s="1"/>
  <c r="BV23"/>
  <c r="AX23" s="1"/>
  <c r="BW23"/>
  <c r="AY23" s="1"/>
  <c r="BX23"/>
  <c r="AZ23" s="1"/>
  <c r="BY23"/>
  <c r="BA23" s="1"/>
  <c r="BZ23"/>
  <c r="BB23" s="1"/>
  <c r="CA23"/>
  <c r="BC23" s="1"/>
  <c r="CB23"/>
  <c r="BD23" s="1"/>
  <c r="CC23"/>
  <c r="BE23" s="1"/>
  <c r="CD23"/>
  <c r="BF23" s="1"/>
  <c r="CE23"/>
  <c r="BG23" s="1"/>
  <c r="CF23"/>
  <c r="BH23" s="1"/>
  <c r="CG23"/>
  <c r="BI23" s="1"/>
  <c r="CH23"/>
  <c r="BJ23" s="1"/>
  <c r="CI23"/>
  <c r="BK23" s="1"/>
  <c r="CJ23"/>
  <c r="BL23" s="1"/>
  <c r="CK23"/>
  <c r="BM23" s="1"/>
  <c r="CL23"/>
  <c r="BN23" s="1"/>
  <c r="CM23"/>
  <c r="BO23" s="1"/>
  <c r="BP24"/>
  <c r="AR24" s="1"/>
  <c r="BQ24"/>
  <c r="AS24" s="1"/>
  <c r="BR24"/>
  <c r="AT24" s="1"/>
  <c r="BS24"/>
  <c r="AU24" s="1"/>
  <c r="BT24"/>
  <c r="AV24" s="1"/>
  <c r="BU24"/>
  <c r="AW24" s="1"/>
  <c r="BV24"/>
  <c r="AX24" s="1"/>
  <c r="BW24"/>
  <c r="AY24" s="1"/>
  <c r="BX24"/>
  <c r="AZ24" s="1"/>
  <c r="BY24"/>
  <c r="BA24" s="1"/>
  <c r="BZ24"/>
  <c r="BB24" s="1"/>
  <c r="CA24"/>
  <c r="BC24" s="1"/>
  <c r="CB24"/>
  <c r="BD24" s="1"/>
  <c r="CC24"/>
  <c r="BE24" s="1"/>
  <c r="CD24"/>
  <c r="BF24" s="1"/>
  <c r="CE24"/>
  <c r="BG24" s="1"/>
  <c r="CF24"/>
  <c r="BH24" s="1"/>
  <c r="CG24"/>
  <c r="BI24" s="1"/>
  <c r="CH24"/>
  <c r="BJ24" s="1"/>
  <c r="CI24"/>
  <c r="BK24" s="1"/>
  <c r="CJ24"/>
  <c r="BL24" s="1"/>
  <c r="CK24"/>
  <c r="BM24" s="1"/>
  <c r="CL24"/>
  <c r="BN24" s="1"/>
  <c r="CM24"/>
  <c r="BO24" s="1"/>
  <c r="BP25"/>
  <c r="AR25" s="1"/>
  <c r="BQ25"/>
  <c r="AS25" s="1"/>
  <c r="BR25"/>
  <c r="AT25" s="1"/>
  <c r="BS25"/>
  <c r="AU25" s="1"/>
  <c r="BT25"/>
  <c r="AV25" s="1"/>
  <c r="BU25"/>
  <c r="AW25" s="1"/>
  <c r="BV25"/>
  <c r="AX25" s="1"/>
  <c r="BW25"/>
  <c r="AY25" s="1"/>
  <c r="BX25"/>
  <c r="AZ25" s="1"/>
  <c r="BY25"/>
  <c r="BA25" s="1"/>
  <c r="BZ25"/>
  <c r="BB25" s="1"/>
  <c r="CA25"/>
  <c r="BC25" s="1"/>
  <c r="CB25"/>
  <c r="BD25" s="1"/>
  <c r="CC25"/>
  <c r="BE25" s="1"/>
  <c r="CD25"/>
  <c r="BF25" s="1"/>
  <c r="CE25"/>
  <c r="BG25" s="1"/>
  <c r="CF25"/>
  <c r="BH25" s="1"/>
  <c r="CG25"/>
  <c r="BI25" s="1"/>
  <c r="CH25"/>
  <c r="BJ25" s="1"/>
  <c r="CI25"/>
  <c r="BK25" s="1"/>
  <c r="CJ25"/>
  <c r="BL25" s="1"/>
  <c r="CK25"/>
  <c r="BM25" s="1"/>
  <c r="CL25"/>
  <c r="BN25" s="1"/>
  <c r="CM25"/>
  <c r="BO25" s="1"/>
  <c r="BP26"/>
  <c r="AR26" s="1"/>
  <c r="BQ26"/>
  <c r="AS26" s="1"/>
  <c r="BR26"/>
  <c r="AT26" s="1"/>
  <c r="BS26"/>
  <c r="AU26" s="1"/>
  <c r="BT26"/>
  <c r="AV26" s="1"/>
  <c r="BU26"/>
  <c r="AW26" s="1"/>
  <c r="BV26"/>
  <c r="AX26" s="1"/>
  <c r="BW26"/>
  <c r="AY26" s="1"/>
  <c r="BX26"/>
  <c r="AZ26" s="1"/>
  <c r="BY26"/>
  <c r="BA26" s="1"/>
  <c r="BZ26"/>
  <c r="BB26" s="1"/>
  <c r="CA26"/>
  <c r="BC26" s="1"/>
  <c r="CB26"/>
  <c r="BD26" s="1"/>
  <c r="CC26"/>
  <c r="BE26" s="1"/>
  <c r="CD26"/>
  <c r="BF26" s="1"/>
  <c r="CE26"/>
  <c r="BG26" s="1"/>
  <c r="CF26"/>
  <c r="BH26" s="1"/>
  <c r="CG26"/>
  <c r="BI26" s="1"/>
  <c r="CH26"/>
  <c r="BJ26" s="1"/>
  <c r="CI26"/>
  <c r="BK26" s="1"/>
  <c r="CJ26"/>
  <c r="BL26" s="1"/>
  <c r="CK26"/>
  <c r="BM26" s="1"/>
  <c r="CL26"/>
  <c r="BN26" s="1"/>
  <c r="CM26"/>
  <c r="BO26" s="1"/>
  <c r="AR27"/>
  <c r="AS27"/>
  <c r="AT27"/>
  <c r="AU27"/>
  <c r="AV27"/>
  <c r="AW27"/>
  <c r="AX27"/>
  <c r="AY27"/>
  <c r="AZ27"/>
  <c r="BA27"/>
  <c r="BB27"/>
  <c r="BC27"/>
  <c r="BD27"/>
  <c r="BE27"/>
  <c r="BF27"/>
  <c r="BG27"/>
  <c r="BH27"/>
  <c r="BI27"/>
  <c r="BJ27"/>
  <c r="BK27"/>
  <c r="BL27"/>
  <c r="BM27"/>
  <c r="BN27"/>
  <c r="BO27"/>
  <c r="BP28"/>
  <c r="AR28" s="1"/>
  <c r="BQ28"/>
  <c r="AS28" s="1"/>
  <c r="BR28"/>
  <c r="AT28" s="1"/>
  <c r="BS28"/>
  <c r="AU28" s="1"/>
  <c r="BT28"/>
  <c r="AV28" s="1"/>
  <c r="BU28"/>
  <c r="AW28" s="1"/>
  <c r="BV28"/>
  <c r="AX28" s="1"/>
  <c r="BW28"/>
  <c r="AY28" s="1"/>
  <c r="BX28"/>
  <c r="AZ28" s="1"/>
  <c r="BY28"/>
  <c r="BA28" s="1"/>
  <c r="BZ28"/>
  <c r="BB28" s="1"/>
  <c r="CA28"/>
  <c r="BC28" s="1"/>
  <c r="CB28"/>
  <c r="BD28" s="1"/>
  <c r="CC28"/>
  <c r="BE28" s="1"/>
  <c r="CD28"/>
  <c r="BF28" s="1"/>
  <c r="CE28"/>
  <c r="BG28" s="1"/>
  <c r="CF28"/>
  <c r="BH28" s="1"/>
  <c r="CG28"/>
  <c r="BI28" s="1"/>
  <c r="CH28"/>
  <c r="BJ28" s="1"/>
  <c r="CI28"/>
  <c r="BK28" s="1"/>
  <c r="CJ28"/>
  <c r="BL28" s="1"/>
  <c r="CK28"/>
  <c r="BM28" s="1"/>
  <c r="CL28"/>
  <c r="BN28" s="1"/>
  <c r="CM28"/>
  <c r="BO28" s="1"/>
  <c r="AS12"/>
  <c r="AT12"/>
  <c r="AU12"/>
  <c r="AV12"/>
  <c r="AW12"/>
  <c r="AX12"/>
  <c r="AY12"/>
  <c r="AZ12"/>
  <c r="BA12"/>
  <c r="BB12"/>
  <c r="BC12"/>
  <c r="BD12"/>
  <c r="BE12"/>
  <c r="BF12"/>
  <c r="BG12"/>
  <c r="BH12"/>
  <c r="BI12"/>
  <c r="BJ12"/>
  <c r="BK12"/>
  <c r="BL12"/>
  <c r="BM12"/>
  <c r="BN12"/>
  <c r="BQ13"/>
  <c r="BR13"/>
  <c r="BS13"/>
  <c r="BT13"/>
  <c r="BU13"/>
  <c r="BV13"/>
  <c r="BW13"/>
  <c r="BX13"/>
  <c r="BY13"/>
  <c r="BZ13"/>
  <c r="CA13"/>
  <c r="CB13"/>
  <c r="CC13"/>
  <c r="CD13"/>
  <c r="CE13"/>
  <c r="CF13"/>
  <c r="CG13"/>
  <c r="CH13"/>
  <c r="CI13"/>
  <c r="CJ13"/>
  <c r="CK13"/>
  <c r="CL13"/>
  <c r="CM13"/>
  <c r="BP13"/>
  <c r="AS13"/>
  <c r="AT13"/>
  <c r="AU13"/>
  <c r="AV13"/>
  <c r="AW13"/>
  <c r="AX13"/>
  <c r="AY13"/>
  <c r="AZ13"/>
  <c r="BA13"/>
  <c r="BB13"/>
  <c r="BC13"/>
  <c r="BD13"/>
  <c r="BE13"/>
  <c r="BF13"/>
  <c r="BG13"/>
  <c r="BH13"/>
  <c r="BI13"/>
  <c r="BJ13"/>
  <c r="BK13"/>
  <c r="BL13"/>
  <c r="BM13"/>
  <c r="BN13"/>
  <c r="BO13"/>
  <c r="AR13"/>
  <c r="N14" l="1"/>
  <c r="N35"/>
  <c r="N33"/>
  <c r="N31"/>
  <c r="N29"/>
  <c r="N27"/>
  <c r="N25"/>
  <c r="N21"/>
  <c r="N36"/>
  <c r="N34"/>
  <c r="N32"/>
  <c r="N30"/>
  <c r="N28"/>
  <c r="N26"/>
  <c r="N24"/>
  <c r="N22"/>
  <c r="N20"/>
  <c r="N18"/>
  <c r="N16"/>
  <c r="N23"/>
  <c r="N19"/>
  <c r="N15"/>
  <c r="N17"/>
  <c r="N37"/>
  <c r="B6"/>
  <c r="B5"/>
  <c r="B4"/>
  <c r="B3"/>
  <c r="B7" l="1"/>
  <c r="B8" s="1"/>
  <c r="I14"/>
  <c r="I30"/>
  <c r="I18"/>
  <c r="I35"/>
  <c r="I31"/>
  <c r="I27"/>
  <c r="I23"/>
  <c r="I19"/>
  <c r="I15"/>
  <c r="I36"/>
  <c r="I32"/>
  <c r="I28"/>
  <c r="I24"/>
  <c r="I20"/>
  <c r="I16"/>
  <c r="I34"/>
  <c r="I26"/>
  <c r="I22"/>
  <c r="I37"/>
  <c r="I33"/>
  <c r="I29"/>
  <c r="I25"/>
  <c r="I21"/>
  <c r="I17"/>
  <c r="J14" l="1"/>
  <c r="J18"/>
  <c r="J22"/>
  <c r="J26"/>
  <c r="J30"/>
  <c r="J34"/>
  <c r="J37"/>
  <c r="J17"/>
  <c r="J21"/>
  <c r="J25"/>
  <c r="J29"/>
  <c r="J33"/>
  <c r="J16"/>
  <c r="J20"/>
  <c r="J24"/>
  <c r="J28"/>
  <c r="J32"/>
  <c r="J36"/>
  <c r="J15"/>
  <c r="J19"/>
  <c r="J23"/>
  <c r="J27"/>
  <c r="J31"/>
  <c r="J35"/>
  <c r="K30" l="1"/>
  <c r="K27"/>
  <c r="K36"/>
  <c r="K20"/>
  <c r="K25"/>
  <c r="K34"/>
  <c r="K18"/>
  <c r="K24"/>
  <c r="K35"/>
  <c r="K19"/>
  <c r="K28"/>
  <c r="K33"/>
  <c r="K29"/>
  <c r="K37"/>
  <c r="K17"/>
  <c r="K31"/>
  <c r="K23"/>
  <c r="K32"/>
  <c r="K16"/>
  <c r="K21"/>
  <c r="K15"/>
  <c r="K22"/>
  <c r="K26"/>
  <c r="K14"/>
  <c r="U14" l="1"/>
  <c r="T14"/>
  <c r="S14"/>
  <c r="R14"/>
  <c r="V14"/>
  <c r="AF14"/>
  <c r="W14"/>
  <c r="AM14"/>
  <c r="AD14"/>
  <c r="AK14"/>
  <c r="AB14"/>
  <c r="AI14"/>
  <c r="Z14"/>
  <c r="Q14"/>
  <c r="AG14"/>
  <c r="X14"/>
  <c r="AN14"/>
  <c r="AE14"/>
  <c r="AL14"/>
  <c r="AC14"/>
  <c r="AJ14"/>
  <c r="AA14"/>
  <c r="AH14"/>
  <c r="Y14"/>
  <c r="Q17"/>
  <c r="U17"/>
  <c r="Y17"/>
  <c r="AC17"/>
  <c r="AG17"/>
  <c r="AK17"/>
  <c r="T17"/>
  <c r="X17"/>
  <c r="AB17"/>
  <c r="AF17"/>
  <c r="AJ17"/>
  <c r="AN17"/>
  <c r="S17"/>
  <c r="W17"/>
  <c r="AA17"/>
  <c r="AE17"/>
  <c r="AI17"/>
  <c r="AM17"/>
  <c r="R17"/>
  <c r="V17"/>
  <c r="Z17"/>
  <c r="AD17"/>
  <c r="AH17"/>
  <c r="AL17"/>
  <c r="Q25"/>
  <c r="U25"/>
  <c r="Y25"/>
  <c r="AC25"/>
  <c r="AG25"/>
  <c r="AK25"/>
  <c r="T25"/>
  <c r="X25"/>
  <c r="AB25"/>
  <c r="AF25"/>
  <c r="AJ25"/>
  <c r="AN25"/>
  <c r="S25"/>
  <c r="W25"/>
  <c r="AA25"/>
  <c r="AE25"/>
  <c r="AI25"/>
  <c r="AM25"/>
  <c r="R25"/>
  <c r="V25"/>
  <c r="Z25"/>
  <c r="AD25"/>
  <c r="AH25"/>
  <c r="AL25"/>
  <c r="Q31"/>
  <c r="U31"/>
  <c r="Y31"/>
  <c r="AC31"/>
  <c r="AG31"/>
  <c r="AK31"/>
  <c r="T31"/>
  <c r="X31"/>
  <c r="AB31"/>
  <c r="AF31"/>
  <c r="AJ31"/>
  <c r="AN31"/>
  <c r="S31"/>
  <c r="W31"/>
  <c r="AA31"/>
  <c r="AE31"/>
  <c r="AI31"/>
  <c r="AM31"/>
  <c r="R31"/>
  <c r="V31"/>
  <c r="Z31"/>
  <c r="AD31"/>
  <c r="AH31"/>
  <c r="AL31"/>
  <c r="S18"/>
  <c r="W18"/>
  <c r="AA18"/>
  <c r="AE18"/>
  <c r="AI18"/>
  <c r="AM18"/>
  <c r="R18"/>
  <c r="V18"/>
  <c r="Z18"/>
  <c r="AD18"/>
  <c r="AH18"/>
  <c r="AL18"/>
  <c r="Q18"/>
  <c r="U18"/>
  <c r="Y18"/>
  <c r="AC18"/>
  <c r="AG18"/>
  <c r="AK18"/>
  <c r="T18"/>
  <c r="X18"/>
  <c r="AB18"/>
  <c r="AF18"/>
  <c r="AJ18"/>
  <c r="AN18"/>
  <c r="Q27"/>
  <c r="U27"/>
  <c r="Y27"/>
  <c r="AC27"/>
  <c r="AG27"/>
  <c r="AK27"/>
  <c r="T27"/>
  <c r="X27"/>
  <c r="AB27"/>
  <c r="AF27"/>
  <c r="AJ27"/>
  <c r="AN27"/>
  <c r="S27"/>
  <c r="W27"/>
  <c r="AA27"/>
  <c r="AE27"/>
  <c r="AI27"/>
  <c r="AM27"/>
  <c r="R27"/>
  <c r="V27"/>
  <c r="Z27"/>
  <c r="AD27"/>
  <c r="AH27"/>
  <c r="AL27"/>
  <c r="S22"/>
  <c r="W22"/>
  <c r="AA22"/>
  <c r="AE22"/>
  <c r="AI22"/>
  <c r="AM22"/>
  <c r="R22"/>
  <c r="V22"/>
  <c r="Z22"/>
  <c r="AD22"/>
  <c r="AH22"/>
  <c r="AL22"/>
  <c r="Q22"/>
  <c r="U22"/>
  <c r="Y22"/>
  <c r="AC22"/>
  <c r="AG22"/>
  <c r="AK22"/>
  <c r="T22"/>
  <c r="X22"/>
  <c r="AB22"/>
  <c r="AF22"/>
  <c r="AJ22"/>
  <c r="AN22"/>
  <c r="Q23"/>
  <c r="U23"/>
  <c r="Y23"/>
  <c r="AC23"/>
  <c r="AG23"/>
  <c r="AK23"/>
  <c r="T23"/>
  <c r="X23"/>
  <c r="AB23"/>
  <c r="AF23"/>
  <c r="AJ23"/>
  <c r="AN23"/>
  <c r="S23"/>
  <c r="W23"/>
  <c r="AA23"/>
  <c r="AE23"/>
  <c r="AI23"/>
  <c r="AM23"/>
  <c r="R23"/>
  <c r="V23"/>
  <c r="Z23"/>
  <c r="AD23"/>
  <c r="AH23"/>
  <c r="AL23"/>
  <c r="Q15"/>
  <c r="U15"/>
  <c r="Y15"/>
  <c r="AC15"/>
  <c r="AG15"/>
  <c r="AK15"/>
  <c r="T15"/>
  <c r="X15"/>
  <c r="AB15"/>
  <c r="AF15"/>
  <c r="AJ15"/>
  <c r="AN15"/>
  <c r="S15"/>
  <c r="W15"/>
  <c r="AA15"/>
  <c r="AE15"/>
  <c r="AI15"/>
  <c r="AM15"/>
  <c r="R15"/>
  <c r="V15"/>
  <c r="Z15"/>
  <c r="AD15"/>
  <c r="AH15"/>
  <c r="AL15"/>
  <c r="AA36"/>
  <c r="R36"/>
  <c r="V36"/>
  <c r="Z36"/>
  <c r="AD36"/>
  <c r="AH36"/>
  <c r="AL36"/>
  <c r="Q36"/>
  <c r="U36"/>
  <c r="Y36"/>
  <c r="AC36"/>
  <c r="AG36"/>
  <c r="AK36"/>
  <c r="S36"/>
  <c r="AE36"/>
  <c r="AM36"/>
  <c r="T36"/>
  <c r="X36"/>
  <c r="AB36"/>
  <c r="AF36"/>
  <c r="AJ36"/>
  <c r="AN36"/>
  <c r="W36"/>
  <c r="AI36"/>
  <c r="S28"/>
  <c r="W28"/>
  <c r="AA28"/>
  <c r="AE28"/>
  <c r="AI28"/>
  <c r="AM28"/>
  <c r="R28"/>
  <c r="V28"/>
  <c r="Z28"/>
  <c r="AD28"/>
  <c r="AH28"/>
  <c r="AL28"/>
  <c r="Q28"/>
  <c r="U28"/>
  <c r="Y28"/>
  <c r="AC28"/>
  <c r="AG28"/>
  <c r="AK28"/>
  <c r="T28"/>
  <c r="X28"/>
  <c r="AB28"/>
  <c r="AF28"/>
  <c r="AJ28"/>
  <c r="AN28"/>
  <c r="Y37"/>
  <c r="T37"/>
  <c r="X37"/>
  <c r="AB37"/>
  <c r="AF37"/>
  <c r="AJ37"/>
  <c r="AN37"/>
  <c r="S37"/>
  <c r="W37"/>
  <c r="AA37"/>
  <c r="AE37"/>
  <c r="AI37"/>
  <c r="AM37"/>
  <c r="U37"/>
  <c r="AG37"/>
  <c r="R37"/>
  <c r="V37"/>
  <c r="Z37"/>
  <c r="AD37"/>
  <c r="AH37"/>
  <c r="AL37"/>
  <c r="Q37"/>
  <c r="AC37"/>
  <c r="AK37"/>
  <c r="S30"/>
  <c r="W30"/>
  <c r="AA30"/>
  <c r="AE30"/>
  <c r="AI30"/>
  <c r="AM30"/>
  <c r="R30"/>
  <c r="V30"/>
  <c r="Z30"/>
  <c r="AD30"/>
  <c r="AH30"/>
  <c r="AL30"/>
  <c r="Q30"/>
  <c r="U30"/>
  <c r="Y30"/>
  <c r="AC30"/>
  <c r="AG30"/>
  <c r="AK30"/>
  <c r="T30"/>
  <c r="X30"/>
  <c r="AB30"/>
  <c r="AF30"/>
  <c r="AJ30"/>
  <c r="AN30"/>
  <c r="Q21"/>
  <c r="U21"/>
  <c r="Y21"/>
  <c r="AC21"/>
  <c r="AG21"/>
  <c r="AK21"/>
  <c r="T21"/>
  <c r="X21"/>
  <c r="AB21"/>
  <c r="AF21"/>
  <c r="AJ21"/>
  <c r="AN21"/>
  <c r="S21"/>
  <c r="W21"/>
  <c r="AA21"/>
  <c r="AE21"/>
  <c r="AI21"/>
  <c r="AM21"/>
  <c r="R21"/>
  <c r="V21"/>
  <c r="Z21"/>
  <c r="AD21"/>
  <c r="AH21"/>
  <c r="AL21"/>
  <c r="Q35"/>
  <c r="U35"/>
  <c r="AG35"/>
  <c r="AK35"/>
  <c r="T35"/>
  <c r="X35"/>
  <c r="AB35"/>
  <c r="AF35"/>
  <c r="AJ35"/>
  <c r="AN35"/>
  <c r="S35"/>
  <c r="W35"/>
  <c r="AA35"/>
  <c r="AE35"/>
  <c r="AI35"/>
  <c r="AM35"/>
  <c r="AC35"/>
  <c r="R35"/>
  <c r="V35"/>
  <c r="Z35"/>
  <c r="AD35"/>
  <c r="AH35"/>
  <c r="AL35"/>
  <c r="Y35"/>
  <c r="S32"/>
  <c r="W32"/>
  <c r="AA32"/>
  <c r="AE32"/>
  <c r="AI32"/>
  <c r="AM32"/>
  <c r="R32"/>
  <c r="V32"/>
  <c r="Z32"/>
  <c r="AD32"/>
  <c r="AH32"/>
  <c r="AL32"/>
  <c r="Q32"/>
  <c r="U32"/>
  <c r="Y32"/>
  <c r="AC32"/>
  <c r="AG32"/>
  <c r="AK32"/>
  <c r="T32"/>
  <c r="X32"/>
  <c r="AB32"/>
  <c r="AF32"/>
  <c r="AJ32"/>
  <c r="AN32"/>
  <c r="S24"/>
  <c r="W24"/>
  <c r="AA24"/>
  <c r="AE24"/>
  <c r="AI24"/>
  <c r="AM24"/>
  <c r="R24"/>
  <c r="V24"/>
  <c r="Z24"/>
  <c r="AD24"/>
  <c r="AH24"/>
  <c r="AL24"/>
  <c r="Q24"/>
  <c r="U24"/>
  <c r="Y24"/>
  <c r="AC24"/>
  <c r="AG24"/>
  <c r="AK24"/>
  <c r="T24"/>
  <c r="X24"/>
  <c r="AB24"/>
  <c r="AF24"/>
  <c r="AJ24"/>
  <c r="AN24"/>
  <c r="Q29"/>
  <c r="U29"/>
  <c r="Y29"/>
  <c r="AC29"/>
  <c r="AG29"/>
  <c r="AK29"/>
  <c r="T29"/>
  <c r="X29"/>
  <c r="AB29"/>
  <c r="AF29"/>
  <c r="AJ29"/>
  <c r="AN29"/>
  <c r="S29"/>
  <c r="W29"/>
  <c r="AA29"/>
  <c r="AE29"/>
  <c r="AI29"/>
  <c r="AM29"/>
  <c r="R29"/>
  <c r="V29"/>
  <c r="Z29"/>
  <c r="AD29"/>
  <c r="AH29"/>
  <c r="AL29"/>
  <c r="S26"/>
  <c r="W26"/>
  <c r="AA26"/>
  <c r="AE26"/>
  <c r="AI26"/>
  <c r="AM26"/>
  <c r="R26"/>
  <c r="V26"/>
  <c r="Z26"/>
  <c r="AD26"/>
  <c r="AH26"/>
  <c r="AL26"/>
  <c r="Q26"/>
  <c r="U26"/>
  <c r="Y26"/>
  <c r="AC26"/>
  <c r="AG26"/>
  <c r="AK26"/>
  <c r="T26"/>
  <c r="X26"/>
  <c r="AB26"/>
  <c r="AF26"/>
  <c r="AJ26"/>
  <c r="AN26"/>
  <c r="Q19"/>
  <c r="U19"/>
  <c r="Y19"/>
  <c r="AC19"/>
  <c r="AG19"/>
  <c r="AK19"/>
  <c r="T19"/>
  <c r="X19"/>
  <c r="AB19"/>
  <c r="AF19"/>
  <c r="AJ19"/>
  <c r="AN19"/>
  <c r="S19"/>
  <c r="W19"/>
  <c r="AA19"/>
  <c r="AE19"/>
  <c r="AI19"/>
  <c r="AM19"/>
  <c r="R19"/>
  <c r="V19"/>
  <c r="Z19"/>
  <c r="AD19"/>
  <c r="AH19"/>
  <c r="AL19"/>
  <c r="S20"/>
  <c r="W20"/>
  <c r="AA20"/>
  <c r="AE20"/>
  <c r="AI20"/>
  <c r="AM20"/>
  <c r="R20"/>
  <c r="V20"/>
  <c r="Z20"/>
  <c r="AD20"/>
  <c r="AH20"/>
  <c r="AL20"/>
  <c r="Q20"/>
  <c r="U20"/>
  <c r="Y20"/>
  <c r="AC20"/>
  <c r="AG20"/>
  <c r="AK20"/>
  <c r="T20"/>
  <c r="X20"/>
  <c r="AB20"/>
  <c r="AF20"/>
  <c r="AJ20"/>
  <c r="AN20"/>
  <c r="S16"/>
  <c r="W16"/>
  <c r="AA16"/>
  <c r="AE16"/>
  <c r="AI16"/>
  <c r="AM16"/>
  <c r="R16"/>
  <c r="V16"/>
  <c r="Z16"/>
  <c r="AD16"/>
  <c r="AH16"/>
  <c r="AL16"/>
  <c r="Q16"/>
  <c r="U16"/>
  <c r="Y16"/>
  <c r="AC16"/>
  <c r="AG16"/>
  <c r="AK16"/>
  <c r="T16"/>
  <c r="X16"/>
  <c r="AB16"/>
  <c r="AF16"/>
  <c r="AJ16"/>
  <c r="AN16"/>
  <c r="Q33"/>
  <c r="U33"/>
  <c r="Y33"/>
  <c r="AC33"/>
  <c r="AG33"/>
  <c r="AK33"/>
  <c r="T33"/>
  <c r="X33"/>
  <c r="AB33"/>
  <c r="AF33"/>
  <c r="AJ33"/>
  <c r="AN33"/>
  <c r="S33"/>
  <c r="W33"/>
  <c r="AA33"/>
  <c r="AE33"/>
  <c r="AI33"/>
  <c r="AM33"/>
  <c r="R33"/>
  <c r="V33"/>
  <c r="Z33"/>
  <c r="AD33"/>
  <c r="AH33"/>
  <c r="AL33"/>
  <c r="S34"/>
  <c r="W34"/>
  <c r="AA34"/>
  <c r="AE34"/>
  <c r="AI34"/>
  <c r="AM34"/>
  <c r="R34"/>
  <c r="V34"/>
  <c r="Z34"/>
  <c r="AD34"/>
  <c r="AH34"/>
  <c r="AL34"/>
  <c r="Q34"/>
  <c r="U34"/>
  <c r="Y34"/>
  <c r="AC34"/>
  <c r="AG34"/>
  <c r="AK34"/>
  <c r="T34"/>
  <c r="X34"/>
  <c r="AB34"/>
  <c r="AF34"/>
  <c r="AJ34"/>
  <c r="AN34"/>
  <c r="P14" l="1"/>
  <c r="P34"/>
  <c r="P16"/>
  <c r="P20"/>
  <c r="P19"/>
  <c r="P26"/>
  <c r="P29"/>
  <c r="P24"/>
  <c r="P32"/>
  <c r="P35"/>
  <c r="P21"/>
  <c r="P30"/>
  <c r="P28"/>
  <c r="P15"/>
  <c r="P23"/>
  <c r="P22"/>
  <c r="P27"/>
  <c r="P18"/>
  <c r="P31"/>
  <c r="P25"/>
  <c r="P17"/>
  <c r="P33"/>
  <c r="P37"/>
  <c r="P36"/>
  <c r="M32" l="1"/>
  <c r="L32" s="1"/>
  <c r="O32" s="1"/>
  <c r="M30"/>
  <c r="L30" s="1"/>
  <c r="O30" s="1"/>
  <c r="M20"/>
  <c r="L20" s="1"/>
  <c r="O20" s="1"/>
  <c r="M27"/>
  <c r="L27" s="1"/>
  <c r="O27" s="1"/>
  <c r="M28"/>
  <c r="L28" s="1"/>
  <c r="O28" s="1"/>
  <c r="M19"/>
  <c r="L19" s="1"/>
  <c r="O19" s="1"/>
  <c r="M18"/>
  <c r="L18" s="1"/>
  <c r="O18" s="1"/>
  <c r="M15"/>
  <c r="L15" s="1"/>
  <c r="O15" s="1"/>
  <c r="M35"/>
  <c r="L35" s="1"/>
  <c r="O35" s="1"/>
  <c r="M26"/>
  <c r="L26" s="1"/>
  <c r="O26" s="1"/>
  <c r="M34"/>
  <c r="L34" s="1"/>
  <c r="O34" s="1"/>
  <c r="M37"/>
  <c r="L37" s="1"/>
  <c r="O37" s="1"/>
  <c r="M31"/>
  <c r="L31" s="1"/>
  <c r="O31" s="1"/>
  <c r="M23"/>
  <c r="L23" s="1"/>
  <c r="O23" s="1"/>
  <c r="M21"/>
  <c r="L21" s="1"/>
  <c r="O21" s="1"/>
  <c r="M29"/>
  <c r="L29" s="1"/>
  <c r="O29" s="1"/>
  <c r="M16"/>
  <c r="L16" s="1"/>
  <c r="O16" s="1"/>
  <c r="M17"/>
  <c r="L17" s="1"/>
  <c r="O17" s="1"/>
  <c r="M33"/>
  <c r="L33" s="1"/>
  <c r="O33" s="1"/>
  <c r="M36"/>
  <c r="L36" s="1"/>
  <c r="O36" s="1"/>
  <c r="M25"/>
  <c r="L25" s="1"/>
  <c r="O25" s="1"/>
  <c r="M22"/>
  <c r="L22" s="1"/>
  <c r="O22" s="1"/>
  <c r="M24"/>
  <c r="L24" s="1"/>
  <c r="O24" s="1"/>
  <c r="E4" l="1"/>
  <c r="E9"/>
  <c r="E19"/>
  <c r="E6"/>
  <c r="E16"/>
  <c r="E10"/>
  <c r="E24"/>
  <c r="E5"/>
  <c r="E25"/>
  <c r="E14"/>
  <c r="E15"/>
  <c r="E18"/>
  <c r="E13"/>
  <c r="E23"/>
  <c r="E20"/>
  <c r="E11"/>
  <c r="E7"/>
  <c r="E12"/>
  <c r="E22"/>
  <c r="E8"/>
  <c r="E21"/>
  <c r="E17"/>
  <c r="E3"/>
  <c r="M14" l="1"/>
  <c r="L14" s="1"/>
  <c r="O14" s="1"/>
  <c r="E2" l="1"/>
</calcChain>
</file>

<file path=xl/sharedStrings.xml><?xml version="1.0" encoding="utf-8"?>
<sst xmlns="http://schemas.openxmlformats.org/spreadsheetml/2006/main" count="93" uniqueCount="93">
  <si>
    <t>i</t>
    <phoneticPr fontId="2" type="noConversion"/>
  </si>
  <si>
    <t>適用範圍</t>
  </si>
  <si>
    <t>西元 -500 年以前</t>
  </si>
  <si>
    <t xml:space="preserve"> -500 ~ +500 年間</t>
  </si>
  <si>
    <t xml:space="preserve"> +500 ~ +1600 年間</t>
  </si>
  <si>
    <t xml:space="preserve"> +1600 ~ +1700 年間</t>
  </si>
  <si>
    <t xml:space="preserve"> +1700 ~ +1800 年間</t>
  </si>
  <si>
    <t xml:space="preserve"> +1800 ~ +1860 年間</t>
  </si>
  <si>
    <t xml:space="preserve"> +1860 ~ +1900 年間</t>
  </si>
  <si>
    <t xml:space="preserve"> +1900 ~ +1920 年間</t>
  </si>
  <si>
    <t xml:space="preserve"> +1920 ~ +1941 年間</t>
  </si>
  <si>
    <t xml:space="preserve"> +1941 ~ +1961 年間</t>
  </si>
  <si>
    <t xml:space="preserve"> +1961 ~ +1986 年間</t>
  </si>
  <si>
    <t xml:space="preserve"> +1986 ~ +2005 年間</t>
  </si>
  <si>
    <t xml:space="preserve"> +2005 ~ +2050 年間</t>
  </si>
  <si>
    <t xml:space="preserve"> +2050 ~ +2150 年間</t>
  </si>
  <si>
    <t xml:space="preserve"> +2150  ~</t>
  </si>
  <si>
    <t>Math 值</t>
  </si>
  <si>
    <t>用前一節中得到的公式求出指定年春分點的近點角δ</t>
  </si>
  <si>
    <t>用橢圓軌道公式求出24節氣</t>
  </si>
  <si>
    <r>
      <t>以春分點為起點，可在軌道上每隔</t>
    </r>
    <r>
      <rPr>
        <sz val="14"/>
        <color indexed="8"/>
        <rFont val="Times New Roman"/>
        <family val="1"/>
      </rPr>
      <t>15</t>
    </r>
    <r>
      <rPr>
        <sz val="14"/>
        <color indexed="8"/>
        <rFont val="PMingLiU"/>
        <family val="1"/>
      </rPr>
      <t>度取一個點，將軌道劃分為</t>
    </r>
    <r>
      <rPr>
        <sz val="14"/>
        <color indexed="8"/>
        <rFont val="Times New Roman"/>
        <family val="1"/>
      </rPr>
      <t>24</t>
    </r>
    <r>
      <rPr>
        <sz val="14"/>
        <color indexed="8"/>
        <rFont val="PMingLiU"/>
        <family val="1"/>
      </rPr>
      <t>個區，這</t>
    </r>
    <r>
      <rPr>
        <sz val="14"/>
        <color indexed="8"/>
        <rFont val="Times New Roman"/>
        <family val="1"/>
      </rPr>
      <t>24</t>
    </r>
    <r>
      <rPr>
        <sz val="14"/>
        <color indexed="8"/>
        <rFont val="PMingLiU"/>
        <family val="1"/>
      </rPr>
      <t>個區就是</t>
    </r>
    <r>
      <rPr>
        <sz val="14"/>
        <color indexed="8"/>
        <rFont val="Times New Roman"/>
        <family val="1"/>
      </rPr>
      <t>24</t>
    </r>
    <r>
      <rPr>
        <sz val="14"/>
        <color indexed="8"/>
        <rFont val="PMingLiU"/>
        <family val="1"/>
      </rPr>
      <t>節氣。由軌道圖</t>
    </r>
    <r>
      <rPr>
        <sz val="14"/>
        <color indexed="8"/>
        <rFont val="Times New Roman"/>
        <family val="1"/>
      </rPr>
      <t>(</t>
    </r>
    <r>
      <rPr>
        <sz val="14"/>
        <color indexed="8"/>
        <rFont val="PMingLiU"/>
        <family val="1"/>
      </rPr>
      <t>此圖將偏心率誇大以方便觀察</t>
    </r>
    <r>
      <rPr>
        <sz val="14"/>
        <color indexed="8"/>
        <rFont val="Times New Roman"/>
        <family val="1"/>
      </rPr>
      <t>)</t>
    </r>
    <r>
      <rPr>
        <sz val="14"/>
        <color indexed="8"/>
        <rFont val="PMingLiU"/>
        <family val="1"/>
      </rPr>
      <t>中可看出每一節氣的路徑長是不同的。</t>
    </r>
  </si>
  <si>
    <r>
      <t>自刻卜勒所繪出的地球軌道可明顯地看出</t>
    </r>
    <r>
      <rPr>
        <sz val="14"/>
        <color indexed="8"/>
        <rFont val="Times New Roman"/>
        <family val="1"/>
      </rPr>
      <t>,</t>
    </r>
    <r>
      <rPr>
        <sz val="14"/>
        <color indexed="8"/>
        <rFont val="PMingLiU"/>
        <family val="1"/>
      </rPr>
      <t>當地球與太陽最接近時其運動速度最快</t>
    </r>
    <r>
      <rPr>
        <sz val="14"/>
        <color indexed="8"/>
        <rFont val="Times New Roman"/>
        <family val="1"/>
      </rPr>
      <t>.</t>
    </r>
    <r>
      <rPr>
        <sz val="14"/>
        <color indexed="8"/>
        <rFont val="PMingLiU"/>
        <family val="1"/>
      </rPr>
      <t>下面的圖中顯示地球軌道的</t>
    </r>
    <r>
      <rPr>
        <sz val="14"/>
        <color indexed="8"/>
        <rFont val="Times New Roman"/>
        <family val="1"/>
      </rPr>
      <t>(</t>
    </r>
    <r>
      <rPr>
        <sz val="14"/>
        <color indexed="8"/>
        <rFont val="PMingLiU"/>
        <family val="1"/>
      </rPr>
      <t>經誇大的</t>
    </r>
    <r>
      <rPr>
        <sz val="14"/>
        <color indexed="8"/>
        <rFont val="Times New Roman"/>
        <family val="1"/>
      </rPr>
      <t>)</t>
    </r>
    <r>
      <rPr>
        <sz val="14"/>
        <color indexed="8"/>
        <rFont val="PMingLiU"/>
        <family val="1"/>
      </rPr>
      <t>二極端部份。</t>
    </r>
  </si>
  <si>
    <r>
      <t>在軌道上相鄰二點間所歷之時間是相等的</t>
    </r>
    <r>
      <rPr>
        <sz val="14"/>
        <color indexed="8"/>
        <rFont val="Times New Roman"/>
        <family val="1"/>
      </rPr>
      <t>,</t>
    </r>
    <r>
      <rPr>
        <sz val="14"/>
        <color indexed="8"/>
        <rFont val="PMingLiU"/>
        <family val="1"/>
      </rPr>
      <t>因此</t>
    </r>
    <r>
      <rPr>
        <sz val="14"/>
        <color indexed="8"/>
        <rFont val="Times New Roman"/>
        <family val="1"/>
      </rPr>
      <t>,</t>
    </r>
    <r>
      <rPr>
        <sz val="14"/>
        <color indexed="8"/>
        <rFont val="PMingLiU"/>
        <family val="1"/>
      </rPr>
      <t>自</t>
    </r>
    <r>
      <rPr>
        <sz val="14"/>
        <color indexed="8"/>
        <rFont val="Times New Roman"/>
        <family val="1"/>
      </rPr>
      <t>A</t>
    </r>
    <r>
      <rPr>
        <sz val="14"/>
        <color indexed="8"/>
        <rFont val="PMingLiU"/>
        <family val="1"/>
      </rPr>
      <t>到</t>
    </r>
    <r>
      <rPr>
        <sz val="14"/>
        <color indexed="8"/>
        <rFont val="Times New Roman"/>
        <family val="1"/>
      </rPr>
      <t>B</t>
    </r>
    <r>
      <rPr>
        <sz val="14"/>
        <color indexed="8"/>
        <rFont val="PMingLiU"/>
        <family val="1"/>
      </rPr>
      <t>所歷之時間與自</t>
    </r>
    <r>
      <rPr>
        <sz val="14"/>
        <color indexed="8"/>
        <rFont val="Times New Roman"/>
        <family val="1"/>
      </rPr>
      <t>C</t>
    </r>
    <r>
      <rPr>
        <sz val="14"/>
        <color indexed="8"/>
        <rFont val="PMingLiU"/>
        <family val="1"/>
      </rPr>
      <t>到</t>
    </r>
    <r>
      <rPr>
        <sz val="14"/>
        <color indexed="8"/>
        <rFont val="Times New Roman"/>
        <family val="1"/>
      </rPr>
      <t>D</t>
    </r>
    <r>
      <rPr>
        <sz val="14"/>
        <color indexed="8"/>
        <rFont val="PMingLiU"/>
        <family val="1"/>
      </rPr>
      <t>所歷者相等</t>
    </r>
    <r>
      <rPr>
        <sz val="14"/>
        <color indexed="8"/>
        <rFont val="Times New Roman"/>
        <family val="1"/>
      </rPr>
      <t>.</t>
    </r>
    <r>
      <rPr>
        <sz val="14"/>
        <color indexed="8"/>
        <rFont val="PMingLiU"/>
        <family val="1"/>
      </rPr>
      <t>因為自</t>
    </r>
    <r>
      <rPr>
        <sz val="14"/>
        <color indexed="8"/>
        <rFont val="Times New Roman"/>
        <family val="1"/>
      </rPr>
      <t>A</t>
    </r>
    <r>
      <rPr>
        <sz val="14"/>
        <color indexed="8"/>
        <rFont val="PMingLiU"/>
        <family val="1"/>
      </rPr>
      <t>到</t>
    </r>
    <r>
      <rPr>
        <sz val="14"/>
        <color indexed="8"/>
        <rFont val="Times New Roman"/>
        <family val="1"/>
      </rPr>
      <t>B</t>
    </r>
    <r>
      <rPr>
        <sz val="14"/>
        <color indexed="8"/>
        <rFont val="PMingLiU"/>
        <family val="1"/>
      </rPr>
      <t>的距離較大</t>
    </r>
    <r>
      <rPr>
        <sz val="14"/>
        <color indexed="8"/>
        <rFont val="Times New Roman"/>
        <family val="1"/>
      </rPr>
      <t>,</t>
    </r>
    <r>
      <rPr>
        <sz val="14"/>
        <color indexed="8"/>
        <rFont val="PMingLiU"/>
        <family val="1"/>
      </rPr>
      <t>所以在這一段距離內</t>
    </r>
    <r>
      <rPr>
        <sz val="14"/>
        <color indexed="8"/>
        <rFont val="Times New Roman"/>
        <family val="1"/>
      </rPr>
      <t>,</t>
    </r>
    <r>
      <rPr>
        <sz val="14"/>
        <color indexed="8"/>
        <rFont val="PMingLiU"/>
        <family val="1"/>
      </rPr>
      <t>地球之運動速度較快</t>
    </r>
    <r>
      <rPr>
        <sz val="14"/>
        <color indexed="8"/>
        <rFont val="Times New Roman"/>
        <family val="1"/>
      </rPr>
      <t>;</t>
    </r>
    <r>
      <rPr>
        <sz val="14"/>
        <color indexed="8"/>
        <rFont val="PMingLiU"/>
        <family val="1"/>
      </rPr>
      <t>自</t>
    </r>
    <r>
      <rPr>
        <sz val="14"/>
        <color indexed="8"/>
        <rFont val="Times New Roman"/>
        <family val="1"/>
      </rPr>
      <t>C</t>
    </r>
    <r>
      <rPr>
        <sz val="14"/>
        <color indexed="8"/>
        <rFont val="PMingLiU"/>
        <family val="1"/>
      </rPr>
      <t>到</t>
    </r>
    <r>
      <rPr>
        <sz val="14"/>
        <color indexed="8"/>
        <rFont val="Times New Roman"/>
        <family val="1"/>
      </rPr>
      <t>D</t>
    </r>
    <r>
      <rPr>
        <sz val="14"/>
        <color indexed="8"/>
        <rFont val="PMingLiU"/>
        <family val="1"/>
      </rPr>
      <t>的距離較小</t>
    </r>
    <r>
      <rPr>
        <sz val="14"/>
        <color indexed="8"/>
        <rFont val="Times New Roman"/>
        <family val="1"/>
      </rPr>
      <t xml:space="preserve">, </t>
    </r>
    <r>
      <rPr>
        <sz val="14"/>
        <color indexed="8"/>
        <rFont val="PMingLiU"/>
        <family val="1"/>
      </rPr>
      <t>所以在這一段距離內</t>
    </r>
    <r>
      <rPr>
        <sz val="14"/>
        <color indexed="8"/>
        <rFont val="Times New Roman"/>
        <family val="1"/>
      </rPr>
      <t>,</t>
    </r>
    <r>
      <rPr>
        <sz val="14"/>
        <color indexed="8"/>
        <rFont val="PMingLiU"/>
        <family val="1"/>
      </rPr>
      <t>地球之運動速度較慢</t>
    </r>
    <r>
      <rPr>
        <sz val="14"/>
        <color indexed="8"/>
        <rFont val="Times New Roman"/>
        <family val="1"/>
      </rPr>
      <t>.</t>
    </r>
    <r>
      <rPr>
        <sz val="14"/>
        <color indexed="8"/>
        <rFont val="PMingLiU"/>
        <family val="1"/>
      </rPr>
      <t>不過</t>
    </r>
    <r>
      <rPr>
        <sz val="14"/>
        <color indexed="8"/>
        <rFont val="Times New Roman"/>
        <family val="1"/>
      </rPr>
      <t>,</t>
    </r>
    <r>
      <rPr>
        <sz val="14"/>
        <color indexed="8"/>
        <rFont val="PMingLiU"/>
        <family val="1"/>
      </rPr>
      <t>刻卜勒看出</t>
    </r>
    <r>
      <rPr>
        <sz val="14"/>
        <color indexed="8"/>
        <rFont val="Times New Roman"/>
        <family val="1"/>
      </rPr>
      <t>:</t>
    </r>
    <r>
      <rPr>
        <sz val="14"/>
        <color indexed="8"/>
        <rFont val="PMingLiU"/>
        <family val="1"/>
      </rPr>
      <t>這二段不等的距離對太陽所展的面積卻是相等的</t>
    </r>
    <r>
      <rPr>
        <sz val="14"/>
        <color indexed="8"/>
        <rFont val="Times New Roman"/>
        <family val="1"/>
      </rPr>
      <t>.</t>
    </r>
    <r>
      <rPr>
        <sz val="14"/>
        <color indexed="8"/>
        <rFont val="PMingLiU"/>
        <family val="1"/>
      </rPr>
      <t>這使得刻卜勒相信</t>
    </r>
    <r>
      <rPr>
        <sz val="14"/>
        <color indexed="8"/>
        <rFont val="Times New Roman"/>
        <family val="1"/>
      </rPr>
      <t>:</t>
    </r>
    <r>
      <rPr>
        <sz val="14"/>
        <color indexed="8"/>
        <rFont val="PMingLiU"/>
        <family val="1"/>
      </rPr>
      <t>行星在沿著其軌道而運動時</t>
    </r>
    <r>
      <rPr>
        <sz val="14"/>
        <color indexed="8"/>
        <rFont val="Times New Roman"/>
        <family val="1"/>
      </rPr>
      <t>,</t>
    </r>
    <r>
      <rPr>
        <sz val="14"/>
        <color indexed="8"/>
        <rFont val="PMingLiU"/>
        <family val="1"/>
      </rPr>
      <t>它與太陽的連線在相等的時間內所掃過的面積相等</t>
    </r>
    <r>
      <rPr>
        <sz val="14"/>
        <color indexed="8"/>
        <rFont val="Times New Roman"/>
        <family val="1"/>
      </rPr>
      <t>.</t>
    </r>
    <r>
      <rPr>
        <sz val="14"/>
        <color indexed="8"/>
        <rFont val="PMingLiU"/>
        <family val="1"/>
      </rPr>
      <t>此即刻卜勒第二定律</t>
    </r>
    <r>
      <rPr>
        <sz val="14"/>
        <color indexed="8"/>
        <rFont val="Times New Roman"/>
        <family val="1"/>
      </rPr>
      <t>(Kepler's second law),</t>
    </r>
    <r>
      <rPr>
        <sz val="14"/>
        <color indexed="8"/>
        <rFont val="PMingLiU"/>
        <family val="1"/>
      </rPr>
      <t>也稱為面積定律</t>
    </r>
    <r>
      <rPr>
        <sz val="14"/>
        <color indexed="8"/>
        <rFont val="Times New Roman"/>
        <family val="1"/>
      </rPr>
      <t>(law of areas).</t>
    </r>
  </si>
  <si>
    <t>θ 的加值 (間距15° )</t>
  </si>
  <si>
    <t>t(θ)值</t>
  </si>
  <si>
    <t>由面積定律可知，地球在繞日的軌道上，單位時間內掃過的面積是固定值，因此，在不同節氣內，地球的運行速度是不同的，在近日點附近的速度較快，在遠日點附近的速度較慢。</t>
  </si>
  <si>
    <t>在方程式</t>
  </si>
  <si>
    <r>
      <t>中</t>
    </r>
    <r>
      <rPr>
        <sz val="14"/>
        <color indexed="8"/>
        <rFont val="Times New Roman"/>
        <family val="1"/>
      </rPr>
      <t>r</t>
    </r>
    <r>
      <rPr>
        <sz val="14"/>
        <color indexed="8"/>
        <rFont val="PMingLiU"/>
        <family val="1"/>
      </rPr>
      <t>是θ之函數</t>
    </r>
    <r>
      <rPr>
        <sz val="14"/>
        <color indexed="8"/>
        <rFont val="Times New Roman"/>
        <family val="1"/>
      </rPr>
      <t>,.</t>
    </r>
    <r>
      <rPr>
        <sz val="14"/>
        <color indexed="8"/>
        <rFont val="PMingLiU"/>
        <family val="1"/>
      </rPr>
      <t>然而</t>
    </r>
    <r>
      <rPr>
        <sz val="14"/>
        <color indexed="8"/>
        <rFont val="Times New Roman"/>
        <family val="1"/>
      </rPr>
      <t>,</t>
    </r>
    <r>
      <rPr>
        <sz val="14"/>
        <color indexed="8"/>
        <rFont val="PMingLiU"/>
        <family val="1"/>
      </rPr>
      <t>在節氣的計算上</t>
    </r>
    <r>
      <rPr>
        <sz val="14"/>
        <color indexed="8"/>
        <rFont val="Times New Roman"/>
        <family val="1"/>
      </rPr>
      <t>,</t>
    </r>
    <r>
      <rPr>
        <sz val="14"/>
        <color indexed="8"/>
        <rFont val="PMingLiU"/>
        <family val="1"/>
      </rPr>
      <t>所需要的函數不是</t>
    </r>
    <r>
      <rPr>
        <sz val="14"/>
        <color indexed="8"/>
        <rFont val="Times New Roman"/>
        <family val="1"/>
      </rPr>
      <t>r(</t>
    </r>
    <r>
      <rPr>
        <sz val="14"/>
        <color indexed="8"/>
        <rFont val="PMingLiU"/>
        <family val="1"/>
      </rPr>
      <t>θ</t>
    </r>
    <r>
      <rPr>
        <sz val="14"/>
        <color indexed="8"/>
        <rFont val="Times New Roman"/>
        <family val="1"/>
      </rPr>
      <t>),</t>
    </r>
    <r>
      <rPr>
        <sz val="14"/>
        <color indexed="8"/>
        <rFont val="PMingLiU"/>
        <family val="1"/>
      </rPr>
      <t>而是</t>
    </r>
    <r>
      <rPr>
        <sz val="14"/>
        <color indexed="8"/>
        <rFont val="Times New Roman"/>
        <family val="1"/>
      </rPr>
      <t>t (</t>
    </r>
    <r>
      <rPr>
        <sz val="14"/>
        <color indexed="8"/>
        <rFont val="PMingLiU"/>
        <family val="1"/>
      </rPr>
      <t>θ</t>
    </r>
    <r>
      <rPr>
        <sz val="14"/>
        <color indexed="8"/>
        <rFont val="Times New Roman"/>
        <family val="1"/>
      </rPr>
      <t>),</t>
    </r>
    <r>
      <rPr>
        <sz val="14"/>
        <color indexed="8"/>
        <rFont val="PMingLiU"/>
        <family val="1"/>
      </rPr>
      <t>我們希望得到一個公式</t>
    </r>
    <r>
      <rPr>
        <sz val="14"/>
        <color indexed="8"/>
        <rFont val="Times New Roman"/>
        <family val="1"/>
      </rPr>
      <t>,</t>
    </r>
    <r>
      <rPr>
        <sz val="14"/>
        <color indexed="8"/>
        <rFont val="PMingLiU"/>
        <family val="1"/>
      </rPr>
      <t>給予θ</t>
    </r>
    <r>
      <rPr>
        <sz val="14"/>
        <color indexed="8"/>
        <rFont val="Times New Roman"/>
        <family val="1"/>
      </rPr>
      <t>(</t>
    </r>
    <r>
      <rPr>
        <sz val="14"/>
        <color indexed="8"/>
        <rFont val="PMingLiU"/>
        <family val="1"/>
      </rPr>
      <t>真實近點角</t>
    </r>
    <r>
      <rPr>
        <sz val="14"/>
        <color indexed="8"/>
        <rFont val="Times New Roman"/>
        <family val="1"/>
      </rPr>
      <t>),</t>
    </r>
    <r>
      <rPr>
        <sz val="14"/>
        <color indexed="8"/>
        <rFont val="PMingLiU"/>
        <family val="1"/>
      </rPr>
      <t>為一時間</t>
    </r>
    <r>
      <rPr>
        <sz val="14"/>
        <color indexed="8"/>
        <rFont val="Times New Roman"/>
        <family val="1"/>
      </rPr>
      <t>t</t>
    </r>
    <r>
      <rPr>
        <sz val="14"/>
        <color indexed="8"/>
        <rFont val="PMingLiU"/>
        <family val="1"/>
      </rPr>
      <t>之函數</t>
    </r>
    <r>
      <rPr>
        <sz val="14"/>
        <color indexed="8"/>
        <rFont val="Times New Roman"/>
        <family val="1"/>
      </rPr>
      <t>,</t>
    </r>
    <r>
      <rPr>
        <sz val="14"/>
        <color indexed="8"/>
        <rFont val="PMingLiU"/>
        <family val="1"/>
      </rPr>
      <t>式中只包含兩個基本的軌道觀察常數作為參數</t>
    </r>
    <r>
      <rPr>
        <sz val="14"/>
        <color indexed="8"/>
        <rFont val="Times New Roman"/>
        <family val="1"/>
      </rPr>
      <t>,</t>
    </r>
    <r>
      <rPr>
        <sz val="14"/>
        <color indexed="8"/>
        <rFont val="PMingLiU"/>
        <family val="1"/>
      </rPr>
      <t>即週期τ和偏心率ε</t>
    </r>
    <r>
      <rPr>
        <sz val="14"/>
        <color indexed="8"/>
        <rFont val="Times New Roman"/>
        <family val="1"/>
      </rPr>
      <t>.</t>
    </r>
    <r>
      <rPr>
        <sz val="14"/>
        <color indexed="8"/>
        <rFont val="PMingLiU"/>
        <family val="1"/>
      </rPr>
      <t>我們可以以下列方法來作這個計算</t>
    </r>
    <r>
      <rPr>
        <sz val="14"/>
        <color indexed="8"/>
        <rFont val="Times New Roman"/>
        <family val="1"/>
      </rPr>
      <t>.</t>
    </r>
    <r>
      <rPr>
        <sz val="14"/>
        <color indexed="8"/>
        <rFont val="PMingLiU"/>
        <family val="1"/>
      </rPr>
      <t>因為它需要物體徑向量掃過整個橢圓軌道面積所花費的時間τ</t>
    </r>
    <r>
      <rPr>
        <sz val="14"/>
        <color indexed="8"/>
        <rFont val="Times New Roman"/>
        <family val="1"/>
      </rPr>
      <t>,</t>
    </r>
    <r>
      <rPr>
        <sz val="14"/>
        <color indexed="8"/>
        <rFont val="PMingLiU"/>
        <family val="1"/>
      </rPr>
      <t>且因為運動面積速度是一常數</t>
    </r>
    <r>
      <rPr>
        <sz val="14"/>
        <color indexed="8"/>
        <rFont val="Times New Roman"/>
        <family val="1"/>
      </rPr>
      <t>,</t>
    </r>
    <r>
      <rPr>
        <sz val="14"/>
        <color indexed="8"/>
        <rFont val="PMingLiU"/>
        <family val="1"/>
      </rPr>
      <t>因此在一個時間</t>
    </r>
    <r>
      <rPr>
        <sz val="14"/>
        <color indexed="8"/>
        <rFont val="Times New Roman"/>
        <family val="1"/>
      </rPr>
      <t>t</t>
    </r>
    <r>
      <rPr>
        <sz val="14"/>
        <color indexed="8"/>
        <rFont val="PMingLiU"/>
        <family val="1"/>
      </rPr>
      <t>內</t>
    </r>
    <r>
      <rPr>
        <sz val="14"/>
        <color indexed="8"/>
        <rFont val="Times New Roman"/>
        <family val="1"/>
      </rPr>
      <t>,</t>
    </r>
    <r>
      <rPr>
        <sz val="14"/>
        <color indexed="8"/>
        <rFont val="PMingLiU"/>
        <family val="1"/>
      </rPr>
      <t>其掃過之面積為</t>
    </r>
  </si>
  <si>
    <t>我們可以將此表示式改寫為一面積之積分式</t>
  </si>
  <si>
    <r>
      <t>根據</t>
    </r>
    <r>
      <rPr>
        <sz val="14"/>
        <color indexed="8"/>
        <rFont val="PMingLiU"/>
        <family val="1"/>
      </rPr>
      <t>面積微分</t>
    </r>
    <r>
      <rPr>
        <sz val="14"/>
        <color indexed="8"/>
        <rFont val="宋体"/>
      </rPr>
      <t>方程式</t>
    </r>
  </si>
  <si>
    <r>
      <t>若我們在</t>
    </r>
    <r>
      <rPr>
        <sz val="14"/>
        <color indexed="8"/>
        <rFont val="Times New Roman"/>
        <family val="1"/>
      </rPr>
      <t>t=0</t>
    </r>
    <r>
      <rPr>
        <sz val="14"/>
        <color indexed="8"/>
        <rFont val="PMingLiU"/>
        <family val="1"/>
      </rPr>
      <t>時取θ</t>
    </r>
    <r>
      <rPr>
        <sz val="14"/>
        <color indexed="8"/>
        <rFont val="Times New Roman"/>
        <family val="1"/>
      </rPr>
      <t>= 0,</t>
    </r>
    <r>
      <rPr>
        <sz val="14"/>
        <color indexed="8"/>
        <rFont val="PMingLiU"/>
        <family val="1"/>
      </rPr>
      <t>則</t>
    </r>
  </si>
  <si>
    <t>將方程式</t>
  </si>
  <si>
    <t>代入，則</t>
  </si>
  <si>
    <t>上式中利用到解微分方程的公式：</t>
  </si>
  <si>
    <r>
      <t>當</t>
    </r>
    <r>
      <rPr>
        <sz val="14"/>
        <color indexed="8"/>
        <rFont val="Times New Roman"/>
        <family val="1"/>
      </rPr>
      <t xml:space="preserve">  </t>
    </r>
  </si>
  <si>
    <r>
      <t xml:space="preserve">  </t>
    </r>
    <r>
      <rPr>
        <sz val="14"/>
        <color indexed="8"/>
        <rFont val="PMingLiU"/>
        <family val="1"/>
      </rPr>
      <t>時，掃過的面積正好是橢圓的上半部，此時</t>
    </r>
    <r>
      <rPr>
        <sz val="14"/>
        <color indexed="8"/>
        <rFont val="宋体"/>
      </rPr>
      <t xml:space="preserve">  </t>
    </r>
  </si>
  <si>
    <t xml:space="preserve">  </t>
  </si>
  <si>
    <t>原式可簡化為</t>
  </si>
  <si>
    <r>
      <t>將此式寫為一以</t>
    </r>
    <r>
      <rPr>
        <i/>
        <sz val="14"/>
        <color indexed="8"/>
        <rFont val="Times New Roman"/>
        <family val="1"/>
      </rPr>
      <t>θ</t>
    </r>
    <r>
      <rPr>
        <sz val="14"/>
        <color indexed="8"/>
        <rFont val="PMingLiU"/>
        <family val="1"/>
      </rPr>
      <t>為變數的函數</t>
    </r>
    <r>
      <rPr>
        <i/>
        <sz val="14"/>
        <color indexed="8"/>
        <rFont val="Times New Roman"/>
        <family val="1"/>
      </rPr>
      <t>t(θ)</t>
    </r>
    <r>
      <rPr>
        <sz val="14"/>
        <color indexed="8"/>
        <rFont val="Times New Roman"/>
        <family val="1"/>
      </rPr>
      <t xml:space="preserve"> </t>
    </r>
  </si>
  <si>
    <r>
      <t>我們可用</t>
    </r>
    <r>
      <rPr>
        <sz val="14"/>
        <color indexed="8"/>
        <rFont val="Times New Roman"/>
        <family val="1"/>
      </rPr>
      <t>Jean Meeus</t>
    </r>
    <r>
      <rPr>
        <sz val="14"/>
        <color indexed="8"/>
        <rFont val="PMingLiU"/>
        <family val="1"/>
      </rPr>
      <t>提供的公式求出指定年春分點的</t>
    </r>
    <r>
      <rPr>
        <sz val="14"/>
        <color indexed="8"/>
        <rFont val="Times New Roman"/>
        <family val="1"/>
      </rPr>
      <t>JD</t>
    </r>
    <r>
      <rPr>
        <sz val="14"/>
        <color indexed="8"/>
        <rFont val="PMingLiU"/>
        <family val="1"/>
      </rPr>
      <t>值。</t>
    </r>
  </si>
  <si>
    <r>
      <t>將</t>
    </r>
    <r>
      <rPr>
        <i/>
        <sz val="14"/>
        <color indexed="8"/>
        <rFont val="PMingLiU"/>
        <family val="1"/>
      </rPr>
      <t>δ</t>
    </r>
    <r>
      <rPr>
        <sz val="14"/>
        <color indexed="8"/>
        <rFont val="PMingLiU"/>
        <family val="1"/>
      </rPr>
      <t>值加上</t>
    </r>
    <r>
      <rPr>
        <sz val="14"/>
        <color indexed="8"/>
        <rFont val="宋体"/>
      </rPr>
      <t>15</t>
    </r>
    <r>
      <rPr>
        <sz val="14"/>
        <color indexed="8"/>
        <rFont val="PMingLiU"/>
        <family val="1"/>
      </rPr>
      <t>°，</t>
    </r>
    <r>
      <rPr>
        <sz val="14"/>
        <color indexed="8"/>
        <rFont val="宋体"/>
      </rPr>
      <t>30</t>
    </r>
    <r>
      <rPr>
        <sz val="14"/>
        <color indexed="8"/>
        <rFont val="PMingLiU"/>
        <family val="1"/>
      </rPr>
      <t>°，</t>
    </r>
    <r>
      <rPr>
        <sz val="14"/>
        <color indexed="8"/>
        <rFont val="宋体"/>
      </rPr>
      <t>45</t>
    </r>
    <r>
      <rPr>
        <sz val="14"/>
        <color indexed="8"/>
        <rFont val="PMingLiU"/>
        <family val="1"/>
      </rPr>
      <t>°，</t>
    </r>
    <r>
      <rPr>
        <sz val="14"/>
        <color indexed="8"/>
        <rFont val="宋体"/>
      </rPr>
      <t>60</t>
    </r>
    <r>
      <rPr>
        <sz val="14"/>
        <color indexed="8"/>
        <rFont val="PMingLiU"/>
        <family val="1"/>
      </rPr>
      <t>°…等，代入上面的</t>
    </r>
    <r>
      <rPr>
        <sz val="14"/>
        <color indexed="8"/>
        <rFont val="宋体"/>
      </rPr>
      <t>t(</t>
    </r>
    <r>
      <rPr>
        <sz val="14"/>
        <color indexed="8"/>
        <rFont val="PMingLiU"/>
        <family val="1"/>
      </rPr>
      <t>θ</t>
    </r>
    <r>
      <rPr>
        <sz val="14"/>
        <color indexed="8"/>
        <rFont val="宋体"/>
      </rPr>
      <t>)</t>
    </r>
    <r>
      <rPr>
        <sz val="14"/>
        <color indexed="8"/>
        <rFont val="PMingLiU"/>
        <family val="1"/>
      </rPr>
      <t>公式，可分別求出清明點、穀雨點、立夏點、小滿點…等各節氣點與近日點的日數差。再分別將這些值減去春分點與近日點的日數差即得各節氣點與春分點的日數差。分別將這些日數差加上春分點的</t>
    </r>
    <r>
      <rPr>
        <sz val="14"/>
        <color indexed="8"/>
        <rFont val="Times New Roman"/>
        <family val="1"/>
      </rPr>
      <t>JD</t>
    </r>
    <r>
      <rPr>
        <sz val="14"/>
        <color indexed="8"/>
        <rFont val="PMingLiU"/>
        <family val="1"/>
      </rPr>
      <t>值，即得各節氣點的</t>
    </r>
    <r>
      <rPr>
        <sz val="14"/>
        <color indexed="8"/>
        <rFont val="Times New Roman"/>
        <family val="1"/>
      </rPr>
      <t>JD</t>
    </r>
    <r>
      <rPr>
        <sz val="14"/>
        <color indexed="8"/>
        <rFont val="PMingLiU"/>
        <family val="1"/>
      </rPr>
      <t>值。</t>
    </r>
  </si>
  <si>
    <t>大雪</t>
  </si>
  <si>
    <t>冬至</t>
  </si>
  <si>
    <t>小寒</t>
  </si>
  <si>
    <t>大寒</t>
  </si>
  <si>
    <t>立春</t>
  </si>
  <si>
    <t>雨水</t>
  </si>
  <si>
    <t>春分</t>
  </si>
  <si>
    <t>清明</t>
  </si>
  <si>
    <t>立夏</t>
  </si>
  <si>
    <t>夏至</t>
  </si>
  <si>
    <t>小暑</t>
  </si>
  <si>
    <t>大暑</t>
  </si>
  <si>
    <t>立秋</t>
  </si>
  <si>
    <t>白露</t>
  </si>
  <si>
    <t>秋分</t>
  </si>
  <si>
    <t>寒露</t>
  </si>
  <si>
    <t>霜降</t>
  </si>
  <si>
    <t>立冬</t>
  </si>
  <si>
    <t>小雪</t>
  </si>
  <si>
    <r>
      <t>請參看程式中的函式</t>
    </r>
    <r>
      <rPr>
        <sz val="14"/>
        <color indexed="8"/>
        <rFont val="Times New Roman"/>
        <family val="1"/>
      </rPr>
      <t>MeanJQJD()</t>
    </r>
    <r>
      <rPr>
        <sz val="14"/>
        <color indexed="8"/>
        <rFont val="PMingLiU"/>
        <family val="1"/>
      </rPr>
      <t>。</t>
    </r>
    <phoneticPr fontId="2" type="noConversion"/>
  </si>
  <si>
    <t>穀雨</t>
  </si>
  <si>
    <t>小滿</t>
  </si>
  <si>
    <t>芒種</t>
  </si>
  <si>
    <t>處暑</t>
  </si>
  <si>
    <t>驚蟄</t>
  </si>
  <si>
    <t xml:space="preserve">τ/ 2π  </t>
    <phoneticPr fontId="2" type="noConversion"/>
  </si>
  <si>
    <t>二分點_偏移量</t>
    <phoneticPr fontId="2" type="noConversion"/>
  </si>
  <si>
    <t>Year = Year+(month-0.5)/12</t>
    <phoneticPr fontId="2" type="noConversion"/>
  </si>
  <si>
    <t>△t</t>
    <phoneticPr fontId="2" type="noConversion"/>
  </si>
  <si>
    <t xml:space="preserve">  ~ 1955 &amp; 2005 ~ 
修正值</t>
    <phoneticPr fontId="2" type="noConversion"/>
  </si>
  <si>
    <t>未調整前儒略日(JD)值</t>
    <phoneticPr fontId="2" type="noConversion"/>
  </si>
  <si>
    <t>計算後儒略日(JD)值</t>
    <phoneticPr fontId="2" type="noConversion"/>
  </si>
  <si>
    <t>轉換後24節氣日期</t>
    <phoneticPr fontId="2" type="noConversion"/>
  </si>
  <si>
    <t>Ai</t>
  </si>
  <si>
    <t>Bi</t>
  </si>
  <si>
    <t>Ci</t>
  </si>
  <si>
    <t>911查詢 -- 二十四节气表 ( 0 ~ 5000 )</t>
    <phoneticPr fontId="2" type="noConversion"/>
  </si>
  <si>
    <t>寿星天文历(天文历书工具軟體下載) ( -4713 ~ 9999 )</t>
    <phoneticPr fontId="2" type="noConversion"/>
  </si>
  <si>
    <t>天文與曆法 ( -7000 ~ 7000 )</t>
    <phoneticPr fontId="2" type="noConversion"/>
  </si>
  <si>
    <t>對於有關24節氣的相關資訊有興趣的網友可至以上三個網站參觀</t>
    <phoneticPr fontId="2" type="noConversion"/>
  </si>
  <si>
    <t>本函數所計算出來的節氣時間點在 -1000 ~ 3000 年間</t>
    <phoneticPr fontId="2" type="noConversion"/>
  </si>
  <si>
    <t>與壽星天文曆或911查詢(兩者應該是出自同一程式計算結果)</t>
    <phoneticPr fontId="2" type="noConversion"/>
  </si>
  <si>
    <t>相差在5分鐘之內至於是誰較準我也無法查證畢竟我並非天文方面的專家</t>
    <phoneticPr fontId="2" type="noConversion"/>
  </si>
  <si>
    <t>我只是提供24節氣查詢結果的另一種選擇--&gt;EXCEL函數</t>
    <phoneticPr fontId="2" type="noConversion"/>
  </si>
  <si>
    <t>春分點的近點角δ(t)</t>
    <phoneticPr fontId="7" type="noConversion"/>
  </si>
  <si>
    <t>春分點JD值 (儒略日)</t>
    <phoneticPr fontId="2" type="noConversion"/>
  </si>
  <si>
    <t>夏至點JD值 (儒略日)</t>
    <phoneticPr fontId="2" type="noConversion"/>
  </si>
  <si>
    <t>秋分點JD值 (儒略日)</t>
    <phoneticPr fontId="2" type="noConversion"/>
  </si>
  <si>
    <t>冬至點JD值 (儒略日)</t>
    <phoneticPr fontId="2" type="noConversion"/>
  </si>
  <si>
    <t>如對本工作表有任何問題歡迎至我的YAHOO部落格留言討論</t>
    <phoneticPr fontId="2" type="noConversion"/>
  </si>
  <si>
    <r>
      <t>其中</t>
    </r>
    <r>
      <rPr>
        <sz val="22"/>
        <color rgb="FFFF0000"/>
        <rFont val="標楷體"/>
        <family val="4"/>
        <charset val="136"/>
      </rPr>
      <t>天文與曆法網站</t>
    </r>
    <r>
      <rPr>
        <sz val="22"/>
        <color theme="1"/>
        <rFont val="標楷體"/>
        <family val="4"/>
        <charset val="136"/>
      </rPr>
      <t>是本EXCEL檔的主要參考資訊及公式來源</t>
    </r>
    <phoneticPr fontId="2" type="noConversion"/>
  </si>
  <si>
    <r>
      <rPr>
        <b/>
        <sz val="24"/>
        <color theme="1"/>
        <rFont val="新細明體"/>
        <family val="1"/>
        <charset val="136"/>
      </rPr>
      <t>τ</t>
    </r>
    <r>
      <rPr>
        <sz val="16"/>
        <color theme="1"/>
        <rFont val="新細明體"/>
        <family val="1"/>
        <charset val="136"/>
        <scheme val="minor"/>
      </rPr>
      <t xml:space="preserve"> </t>
    </r>
    <r>
      <rPr>
        <sz val="16"/>
        <color theme="1"/>
        <rFont val="標楷體"/>
        <family val="4"/>
        <charset val="136"/>
      </rPr>
      <t>(回歸年週期)</t>
    </r>
    <phoneticPr fontId="2" type="noConversion"/>
  </si>
</sst>
</file>

<file path=xl/styles.xml><?xml version="1.0" encoding="utf-8"?>
<styleSheet xmlns="http://schemas.openxmlformats.org/spreadsheetml/2006/main">
  <numFmts count="19">
    <numFmt numFmtId="43" formatCode="_-* #,##0.00_-;\-* #,##0.00_-;_-* &quot;-&quot;??_-;_-@_-"/>
    <numFmt numFmtId="176" formatCode="0.0000000000_ "/>
    <numFmt numFmtId="177" formatCode="0.000000000000_ "/>
    <numFmt numFmtId="179" formatCode="0.000000000000000000000_ "/>
    <numFmt numFmtId="180" formatCode="0.000000000_ "/>
    <numFmt numFmtId="182" formatCode="_-* #,##0.000000000_-;\-* #,##0.000000000_-;_-* &quot;-&quot;??_-;_-@_-"/>
    <numFmt numFmtId="183" formatCode="0.0000000000000000_ "/>
    <numFmt numFmtId="184" formatCode="0.0000000000000000000_ "/>
    <numFmt numFmtId="185" formatCode="0.0000000000000000000000_ "/>
    <numFmt numFmtId="186" formatCode="0.00000000000_ "/>
    <numFmt numFmtId="187" formatCode="0.0000000000"/>
    <numFmt numFmtId="188" formatCode="0.00000000"/>
    <numFmt numFmtId="189" formatCode="0.00000000000000"/>
    <numFmt numFmtId="190" formatCode="0.0000000000000000000000"/>
    <numFmt numFmtId="191" formatCode="yyyy\-mm\-dd\ \ \ \ \ hh:mm:ss;@"/>
    <numFmt numFmtId="192" formatCode="0.0000000000000"/>
    <numFmt numFmtId="197" formatCode="0.00000000000000_ "/>
    <numFmt numFmtId="200" formatCode="0.00000000000000000_ "/>
    <numFmt numFmtId="202" formatCode="yyyy/mm/dd\ \ \ hh:mm:ss;@"/>
  </numFmts>
  <fonts count="48">
    <font>
      <sz val="12"/>
      <color theme="1"/>
      <name val="新細明體"/>
      <family val="1"/>
      <charset val="136"/>
      <scheme val="minor"/>
    </font>
    <font>
      <sz val="12"/>
      <color indexed="8"/>
      <name val="新細明體"/>
      <family val="1"/>
      <charset val="136"/>
    </font>
    <font>
      <sz val="9"/>
      <name val="新細明體"/>
      <family val="1"/>
      <charset val="136"/>
    </font>
    <font>
      <sz val="16"/>
      <color indexed="8"/>
      <name val="標楷體"/>
      <family val="4"/>
      <charset val="136"/>
    </font>
    <font>
      <sz val="12"/>
      <color indexed="8"/>
      <name val="Arial Unicode MS"/>
      <family val="2"/>
      <charset val="136"/>
    </font>
    <font>
      <b/>
      <i/>
      <sz val="14"/>
      <color indexed="10"/>
      <name val="Arial Unicode MS"/>
      <family val="2"/>
      <charset val="136"/>
    </font>
    <font>
      <b/>
      <i/>
      <sz val="16"/>
      <color indexed="8"/>
      <name val="新細明體"/>
      <family val="1"/>
      <charset val="136"/>
    </font>
    <font>
      <sz val="9"/>
      <name val="Calibri"/>
      <family val="2"/>
    </font>
    <font>
      <sz val="14"/>
      <color indexed="8"/>
      <name val="新細明體"/>
      <family val="1"/>
      <charset val="136"/>
    </font>
    <font>
      <sz val="14"/>
      <color indexed="8"/>
      <name val="Times New Roman"/>
      <family val="1"/>
    </font>
    <font>
      <sz val="14"/>
      <color indexed="8"/>
      <name val="PMingLiU"/>
      <family val="1"/>
    </font>
    <font>
      <sz val="14"/>
      <name val="新細明體"/>
      <family val="1"/>
      <charset val="136"/>
    </font>
    <font>
      <sz val="18"/>
      <color indexed="8"/>
      <name val="新細明體"/>
      <family val="1"/>
      <charset val="136"/>
    </font>
    <font>
      <sz val="17"/>
      <color indexed="8"/>
      <name val="新細明體"/>
      <family val="1"/>
      <charset val="136"/>
    </font>
    <font>
      <sz val="14"/>
      <color indexed="8"/>
      <name val="宋体"/>
    </font>
    <font>
      <i/>
      <sz val="14"/>
      <color indexed="8"/>
      <name val="Times New Roman"/>
      <family val="1"/>
    </font>
    <font>
      <i/>
      <sz val="14"/>
      <color indexed="8"/>
      <name val="PMingLiU"/>
      <family val="1"/>
    </font>
    <font>
      <sz val="14"/>
      <color indexed="8"/>
      <name val="標楷體"/>
      <family val="4"/>
      <charset val="136"/>
    </font>
    <font>
      <b/>
      <sz val="24"/>
      <color theme="1"/>
      <name val="新細明體"/>
      <family val="1"/>
      <charset val="136"/>
    </font>
    <font>
      <sz val="10"/>
      <color theme="1"/>
      <name val="新細明體"/>
      <family val="1"/>
      <charset val="136"/>
      <scheme val="minor"/>
    </font>
    <font>
      <b/>
      <sz val="24"/>
      <color theme="1"/>
      <name val="新細明體"/>
      <family val="1"/>
      <charset val="136"/>
      <scheme val="minor"/>
    </font>
    <font>
      <b/>
      <i/>
      <sz val="18"/>
      <color indexed="8"/>
      <name val="Arial Unicode MS"/>
      <family val="2"/>
      <charset val="136"/>
    </font>
    <font>
      <b/>
      <sz val="12"/>
      <color indexed="10"/>
      <name val="新細明體"/>
      <family val="1"/>
      <charset val="136"/>
      <scheme val="minor"/>
    </font>
    <font>
      <b/>
      <i/>
      <sz val="12"/>
      <color indexed="10"/>
      <name val="新細明體"/>
      <family val="1"/>
      <charset val="136"/>
      <scheme val="minor"/>
    </font>
    <font>
      <sz val="9"/>
      <color indexed="8"/>
      <name val="新細明體"/>
      <family val="1"/>
      <charset val="136"/>
      <scheme val="minor"/>
    </font>
    <font>
      <sz val="14"/>
      <color rgb="FFFF0000"/>
      <name val="新細明體"/>
      <family val="1"/>
      <charset val="136"/>
      <scheme val="minor"/>
    </font>
    <font>
      <sz val="15"/>
      <color theme="1"/>
      <name val="標楷體"/>
      <family val="4"/>
      <charset val="136"/>
    </font>
    <font>
      <b/>
      <sz val="16"/>
      <color indexed="10"/>
      <name val="Arial Unicode MS"/>
      <family val="2"/>
      <charset val="136"/>
    </font>
    <font>
      <sz val="14"/>
      <color theme="1"/>
      <name val="宋体"/>
    </font>
    <font>
      <u/>
      <sz val="8.4"/>
      <color theme="10"/>
      <name val="新細明體"/>
      <family val="1"/>
      <charset val="136"/>
    </font>
    <font>
      <sz val="30"/>
      <color theme="5" tint="-0.249977111117893"/>
      <name val="標楷體"/>
      <family val="4"/>
      <charset val="136"/>
    </font>
    <font>
      <sz val="32"/>
      <color theme="5" tint="-0.249977111117893"/>
      <name val="標楷體"/>
      <family val="4"/>
      <charset val="136"/>
    </font>
    <font>
      <sz val="20"/>
      <color indexed="10"/>
      <name val="標楷體"/>
      <family val="4"/>
      <charset val="136"/>
    </font>
    <font>
      <sz val="16"/>
      <color theme="1"/>
      <name val="標楷體"/>
      <family val="4"/>
      <charset val="136"/>
    </font>
    <font>
      <sz val="22"/>
      <color theme="1"/>
      <name val="標楷體"/>
      <family val="4"/>
      <charset val="136"/>
    </font>
    <font>
      <i/>
      <sz val="30"/>
      <color rgb="FFFF0000"/>
      <name val="標楷體"/>
      <family val="4"/>
      <charset val="136"/>
    </font>
    <font>
      <sz val="14"/>
      <color indexed="8"/>
      <name val="Arial Unicode MS"/>
      <family val="2"/>
      <charset val="136"/>
    </font>
    <font>
      <sz val="14"/>
      <color rgb="FFFF0000"/>
      <name val="Arial Unicode MS"/>
      <family val="2"/>
      <charset val="136"/>
    </font>
    <font>
      <sz val="14"/>
      <color theme="1"/>
      <name val="Arial Unicode MS"/>
      <family val="2"/>
      <charset val="136"/>
    </font>
    <font>
      <b/>
      <sz val="14"/>
      <color indexed="10"/>
      <name val="Arial Unicode MS"/>
      <family val="2"/>
      <charset val="136"/>
    </font>
    <font>
      <sz val="16"/>
      <color indexed="8"/>
      <name val="新細明體"/>
      <family val="1"/>
      <charset val="136"/>
      <scheme val="minor"/>
    </font>
    <font>
      <sz val="14"/>
      <color indexed="8"/>
      <name val="新細明體"/>
      <family val="1"/>
      <charset val="136"/>
      <scheme val="minor"/>
    </font>
    <font>
      <sz val="16"/>
      <color theme="1"/>
      <name val="新細明體"/>
      <family val="1"/>
      <charset val="136"/>
      <scheme val="minor"/>
    </font>
    <font>
      <sz val="14"/>
      <color theme="1"/>
      <name val="新細明體"/>
      <family val="1"/>
      <charset val="136"/>
      <scheme val="minor"/>
    </font>
    <font>
      <sz val="24"/>
      <color theme="1"/>
      <name val="Arial Unicode MS"/>
      <family val="2"/>
      <charset val="136"/>
    </font>
    <font>
      <sz val="11"/>
      <color indexed="8"/>
      <name val="Arial Unicode MS"/>
      <family val="2"/>
      <charset val="136"/>
    </font>
    <font>
      <sz val="22"/>
      <color rgb="FFFF0000"/>
      <name val="標楷體"/>
      <family val="4"/>
      <charset val="136"/>
    </font>
    <font>
      <b/>
      <sz val="40"/>
      <color indexed="8"/>
      <name val="Arial Unicode MS"/>
      <family val="2"/>
      <charset val="136"/>
    </font>
  </fonts>
  <fills count="11">
    <fill>
      <patternFill patternType="none"/>
    </fill>
    <fill>
      <patternFill patternType="gray125"/>
    </fill>
    <fill>
      <patternFill patternType="solid">
        <fgColor indexed="51"/>
        <bgColor indexed="64"/>
      </patternFill>
    </fill>
    <fill>
      <patternFill patternType="solid">
        <fgColor indexed="47"/>
        <bgColor indexed="64"/>
      </patternFill>
    </fill>
    <fill>
      <patternFill patternType="solid">
        <fgColor indexed="49"/>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3">
    <xf numFmtId="0" fontId="0" fillId="0" borderId="0">
      <alignment vertical="center"/>
    </xf>
    <xf numFmtId="43" fontId="1" fillId="0" borderId="0" applyFont="0" applyFill="0" applyBorder="0" applyAlignment="0" applyProtection="0">
      <alignment vertical="center"/>
    </xf>
    <xf numFmtId="0" fontId="29" fillId="0" borderId="0" applyNumberFormat="0" applyFill="0" applyBorder="0" applyAlignment="0" applyProtection="0">
      <alignment vertical="top"/>
      <protection locked="0"/>
    </xf>
  </cellStyleXfs>
  <cellXfs count="71">
    <xf numFmtId="0" fontId="0" fillId="0" borderId="0" xfId="0">
      <alignment vertical="center"/>
    </xf>
    <xf numFmtId="0" fontId="0" fillId="0" borderId="0" xfId="0" applyNumberFormat="1">
      <alignment vertical="center"/>
    </xf>
    <xf numFmtId="0" fontId="4" fillId="0" borderId="0" xfId="0" applyFont="1">
      <alignment vertical="center"/>
    </xf>
    <xf numFmtId="0" fontId="0" fillId="3" borderId="1" xfId="0" applyFill="1" applyBorder="1" applyAlignment="1">
      <alignment horizontal="center" vertical="center" wrapText="1"/>
    </xf>
    <xf numFmtId="0" fontId="3" fillId="4" borderId="1" xfId="0" applyFont="1" applyFill="1" applyBorder="1" applyAlignment="1">
      <alignment horizontal="center" vertical="center" wrapText="1"/>
    </xf>
    <xf numFmtId="183" fontId="0" fillId="0" borderId="0" xfId="0" applyNumberFormat="1">
      <alignment vertical="center"/>
    </xf>
    <xf numFmtId="0" fontId="0" fillId="0" borderId="0" xfId="0" applyFont="1">
      <alignment vertical="center"/>
    </xf>
    <xf numFmtId="176" fontId="0" fillId="0" borderId="0" xfId="0" applyNumberFormat="1">
      <alignment vertical="center"/>
    </xf>
    <xf numFmtId="177" fontId="0" fillId="0" borderId="0" xfId="0" applyNumberFormat="1">
      <alignment vertical="center"/>
    </xf>
    <xf numFmtId="0" fontId="8" fillId="0" borderId="0" xfId="0" applyFont="1">
      <alignment vertical="center"/>
    </xf>
    <xf numFmtId="180" fontId="11" fillId="0" borderId="0" xfId="0" applyNumberFormat="1" applyFont="1" applyAlignment="1">
      <alignment horizontal="center" vertical="center"/>
    </xf>
    <xf numFmtId="0" fontId="12" fillId="0" borderId="0" xfId="0" applyFont="1">
      <alignment vertical="center"/>
    </xf>
    <xf numFmtId="0" fontId="13" fillId="0" borderId="0" xfId="0" applyFont="1">
      <alignment vertical="center"/>
    </xf>
    <xf numFmtId="182" fontId="11" fillId="0" borderId="0" xfId="1" applyNumberFormat="1" applyFont="1" applyBorder="1" applyAlignment="1">
      <alignment horizontal="center" vertical="center"/>
    </xf>
    <xf numFmtId="0" fontId="0" fillId="0" borderId="1" xfId="0" applyBorder="1" applyAlignment="1">
      <alignment horizontal="center" vertical="center"/>
    </xf>
    <xf numFmtId="0" fontId="17" fillId="0" borderId="0" xfId="0" applyFont="1">
      <alignment vertical="center"/>
    </xf>
    <xf numFmtId="186" fontId="0" fillId="0" borderId="0" xfId="0" applyNumberFormat="1">
      <alignment vertical="center"/>
    </xf>
    <xf numFmtId="0" fontId="20" fillId="3" borderId="1" xfId="0" applyFont="1" applyFill="1" applyBorder="1" applyAlignment="1">
      <alignment horizontal="center" vertical="center" wrapText="1"/>
    </xf>
    <xf numFmtId="179" fontId="0" fillId="0" borderId="0" xfId="0" applyNumberFormat="1">
      <alignment vertical="center"/>
    </xf>
    <xf numFmtId="184" fontId="0" fillId="0" borderId="0" xfId="0" applyNumberFormat="1" applyFill="1">
      <alignment vertical="center"/>
    </xf>
    <xf numFmtId="0" fontId="0" fillId="0" borderId="0" xfId="0" applyBorder="1">
      <alignment vertical="center"/>
    </xf>
    <xf numFmtId="0" fontId="0" fillId="0" borderId="0" xfId="0" quotePrefix="1">
      <alignment vertical="center"/>
    </xf>
    <xf numFmtId="0" fontId="24" fillId="7" borderId="1" xfId="0" applyFont="1" applyFill="1" applyBorder="1" applyAlignment="1">
      <alignment horizontal="center" vertical="center" wrapText="1"/>
    </xf>
    <xf numFmtId="0" fontId="23" fillId="7"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8" borderId="1" xfId="0" applyFill="1" applyBorder="1">
      <alignment vertical="center"/>
    </xf>
    <xf numFmtId="0" fontId="19" fillId="8" borderId="1" xfId="0" applyFont="1" applyFill="1" applyBorder="1">
      <alignment vertical="center"/>
    </xf>
    <xf numFmtId="0" fontId="0" fillId="0" borderId="2" xfId="0" applyFont="1" applyFill="1" applyBorder="1" applyAlignment="1">
      <alignment horizontal="center" vertical="center"/>
    </xf>
    <xf numFmtId="0" fontId="0" fillId="0" borderId="0" xfId="0" applyFont="1" applyFill="1" applyBorder="1" applyAlignment="1">
      <alignment horizontal="center" vertical="center"/>
    </xf>
    <xf numFmtId="0" fontId="0" fillId="7" borderId="1" xfId="0" applyFont="1" applyFill="1" applyBorder="1" applyAlignment="1">
      <alignment horizontal="center" vertical="center"/>
    </xf>
    <xf numFmtId="0" fontId="21" fillId="9" borderId="1" xfId="0" applyFont="1" applyFill="1" applyBorder="1" applyAlignment="1">
      <alignment horizontal="center" vertical="center"/>
    </xf>
    <xf numFmtId="0" fontId="6" fillId="0" borderId="0" xfId="0" applyNumberFormat="1" applyFont="1" applyBorder="1" applyAlignment="1">
      <alignment vertical="center"/>
    </xf>
    <xf numFmtId="180" fontId="0" fillId="0" borderId="0" xfId="0" applyNumberFormat="1">
      <alignment vertical="center"/>
    </xf>
    <xf numFmtId="0" fontId="25" fillId="6" borderId="1" xfId="0" applyFont="1" applyFill="1" applyBorder="1" applyAlignment="1">
      <alignment horizontal="center" vertical="center"/>
    </xf>
    <xf numFmtId="0" fontId="26" fillId="7" borderId="1" xfId="0" applyFont="1" applyFill="1" applyBorder="1" applyAlignment="1">
      <alignment horizontal="center" vertical="center"/>
    </xf>
    <xf numFmtId="177" fontId="0" fillId="0" borderId="0" xfId="0" applyNumberFormat="1" applyAlignment="1">
      <alignment horizontal="right" vertical="center"/>
    </xf>
    <xf numFmtId="187" fontId="0" fillId="0" borderId="0" xfId="0" applyNumberFormat="1">
      <alignment vertical="center"/>
    </xf>
    <xf numFmtId="188" fontId="0" fillId="0" borderId="0" xfId="0" applyNumberFormat="1">
      <alignment vertical="center"/>
    </xf>
    <xf numFmtId="189" fontId="5" fillId="4" borderId="1" xfId="0" applyNumberFormat="1" applyFont="1" applyFill="1" applyBorder="1" applyAlignment="1">
      <alignment horizontal="center" vertical="center"/>
    </xf>
    <xf numFmtId="190" fontId="0" fillId="0" borderId="0" xfId="0" applyNumberFormat="1">
      <alignment vertical="center"/>
    </xf>
    <xf numFmtId="185" fontId="0" fillId="0" borderId="0" xfId="0" applyNumberFormat="1">
      <alignment vertical="center"/>
    </xf>
    <xf numFmtId="191" fontId="27" fillId="2" borderId="1" xfId="0" applyNumberFormat="1" applyFont="1" applyFill="1" applyBorder="1" applyAlignment="1">
      <alignment horizontal="center" vertical="center"/>
    </xf>
    <xf numFmtId="0" fontId="28" fillId="0" borderId="0" xfId="0" applyFont="1">
      <alignment vertical="center"/>
    </xf>
    <xf numFmtId="191" fontId="32" fillId="2" borderId="1" xfId="0" applyNumberFormat="1" applyFont="1" applyFill="1" applyBorder="1" applyAlignment="1">
      <alignment horizontal="center" vertical="center"/>
    </xf>
    <xf numFmtId="0" fontId="33" fillId="3" borderId="1" xfId="0" applyFont="1" applyFill="1" applyBorder="1" applyAlignment="1">
      <alignment horizontal="center" vertical="center" wrapText="1"/>
    </xf>
    <xf numFmtId="0" fontId="8" fillId="0" borderId="0" xfId="0" applyFont="1" applyAlignment="1">
      <alignment horizontal="left" vertical="center" wrapText="1"/>
    </xf>
    <xf numFmtId="0" fontId="31" fillId="0" borderId="0" xfId="2" applyFont="1" applyAlignment="1" applyProtection="1">
      <alignment horizontal="center" vertical="center"/>
    </xf>
    <xf numFmtId="0" fontId="0" fillId="0" borderId="0" xfId="0" applyFont="1" applyAlignment="1">
      <alignment horizontal="center" vertical="center" wrapText="1"/>
    </xf>
    <xf numFmtId="0" fontId="30" fillId="0" borderId="0" xfId="2" applyFont="1" applyAlignment="1" applyProtection="1">
      <alignment horizontal="left" vertical="center"/>
    </xf>
    <xf numFmtId="192" fontId="5" fillId="3" borderId="1" xfId="0" applyNumberFormat="1" applyFont="1" applyFill="1" applyBorder="1" applyAlignment="1">
      <alignment horizontal="center" vertical="center"/>
    </xf>
    <xf numFmtId="187" fontId="5" fillId="3" borderId="1" xfId="0" applyNumberFormat="1" applyFont="1" applyFill="1" applyBorder="1" applyAlignment="1">
      <alignment horizontal="center" vertical="center"/>
    </xf>
    <xf numFmtId="197" fontId="5" fillId="3" borderId="1" xfId="0" applyNumberFormat="1" applyFont="1" applyFill="1" applyBorder="1" applyAlignment="1">
      <alignment horizontal="center" vertical="center"/>
    </xf>
    <xf numFmtId="0" fontId="34" fillId="0" borderId="0" xfId="0" applyFont="1">
      <alignment vertical="center"/>
    </xf>
    <xf numFmtId="0" fontId="35" fillId="10" borderId="0" xfId="2" applyFont="1" applyFill="1" applyAlignment="1" applyProtection="1">
      <alignment horizontal="left" vertical="center"/>
    </xf>
    <xf numFmtId="200" fontId="36" fillId="6" borderId="1" xfId="0" applyNumberFormat="1" applyFont="1" applyFill="1" applyBorder="1">
      <alignment vertical="center"/>
    </xf>
    <xf numFmtId="177" fontId="36" fillId="6" borderId="1" xfId="0" applyNumberFormat="1" applyFont="1" applyFill="1" applyBorder="1">
      <alignment vertical="center"/>
    </xf>
    <xf numFmtId="176" fontId="36" fillId="6" borderId="1" xfId="0" applyNumberFormat="1" applyFont="1" applyFill="1" applyBorder="1">
      <alignment vertical="center"/>
    </xf>
    <xf numFmtId="176" fontId="37" fillId="6" borderId="1" xfId="0" applyNumberFormat="1" applyFont="1" applyFill="1" applyBorder="1" applyAlignment="1">
      <alignment horizontal="center" vertical="center"/>
    </xf>
    <xf numFmtId="180" fontId="38" fillId="6" borderId="1" xfId="0" applyNumberFormat="1" applyFont="1" applyFill="1" applyBorder="1">
      <alignment vertical="center"/>
    </xf>
    <xf numFmtId="202" fontId="39" fillId="2" borderId="1" xfId="0" applyNumberFormat="1" applyFont="1" applyFill="1" applyBorder="1" applyAlignment="1">
      <alignment horizontal="center" vertical="center"/>
    </xf>
    <xf numFmtId="0" fontId="40" fillId="6" borderId="1" xfId="0" applyFont="1" applyFill="1" applyBorder="1" applyAlignment="1">
      <alignment horizontal="center" vertical="center"/>
    </xf>
    <xf numFmtId="0" fontId="41" fillId="6" borderId="1" xfId="0" applyFont="1" applyFill="1" applyBorder="1" applyAlignment="1">
      <alignment horizontal="center" vertical="center"/>
    </xf>
    <xf numFmtId="0" fontId="43" fillId="6" borderId="1" xfId="0" applyFont="1" applyFill="1" applyBorder="1" applyAlignment="1">
      <alignment horizontal="center" vertical="center"/>
    </xf>
    <xf numFmtId="0" fontId="44" fillId="6" borderId="1" xfId="0" applyFont="1" applyFill="1" applyBorder="1" applyAlignment="1">
      <alignment horizontal="center" vertical="center"/>
    </xf>
    <xf numFmtId="197" fontId="4" fillId="3" borderId="1" xfId="0" applyNumberFormat="1" applyFont="1" applyFill="1" applyBorder="1" applyAlignment="1">
      <alignment horizontal="right" vertical="center"/>
    </xf>
    <xf numFmtId="0" fontId="45" fillId="9" borderId="1" xfId="0" applyFont="1" applyFill="1" applyBorder="1" applyAlignment="1">
      <alignment horizontal="right" vertical="center"/>
    </xf>
    <xf numFmtId="0" fontId="45" fillId="3" borderId="1" xfId="0" applyFont="1" applyFill="1" applyBorder="1" applyAlignment="1">
      <alignment horizontal="right" vertical="center"/>
    </xf>
    <xf numFmtId="0" fontId="22" fillId="0" borderId="1" xfId="0" applyFont="1" applyBorder="1" applyAlignment="1">
      <alignment horizontal="right" vertical="center"/>
    </xf>
    <xf numFmtId="0" fontId="0" fillId="0" borderId="1" xfId="0" applyFont="1" applyBorder="1" applyAlignment="1">
      <alignment horizontal="right" vertical="center"/>
    </xf>
    <xf numFmtId="0" fontId="3" fillId="6" borderId="1" xfId="0" applyFont="1" applyFill="1" applyBorder="1" applyAlignment="1">
      <alignment horizontal="center" vertical="center"/>
    </xf>
    <xf numFmtId="0" fontId="47" fillId="2" borderId="1" xfId="0" applyFont="1" applyFill="1" applyBorder="1" applyAlignment="1" applyProtection="1">
      <alignment horizontal="center" vertical="center"/>
      <protection locked="0"/>
    </xf>
  </cellXfs>
  <cellStyles count="3">
    <cellStyle name="一般" xfId="0" builtinId="0"/>
    <cellStyle name="千分位" xfId="1" builtinId="3"/>
    <cellStyle name="超連結" xfId="2" builtinId="8"/>
  </cellStyles>
  <dxfs count="0"/>
  <tableStyles count="0" defaultTableStyle="TableStyleMedium9" defaultPivotStyle="PivotStyleLight16"/>
  <colors>
    <mruColors>
      <color rgb="FFB313B7"/>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wmf"/><Relationship Id="rId18" Type="http://schemas.openxmlformats.org/officeDocument/2006/relationships/image" Target="../media/image18.wmf"/><Relationship Id="rId3" Type="http://schemas.openxmlformats.org/officeDocument/2006/relationships/image" Target="../media/image3.wmf"/><Relationship Id="rId7" Type="http://schemas.openxmlformats.org/officeDocument/2006/relationships/image" Target="../media/image7.wmf"/><Relationship Id="rId12" Type="http://schemas.openxmlformats.org/officeDocument/2006/relationships/image" Target="../media/image12.wmf"/><Relationship Id="rId17" Type="http://schemas.openxmlformats.org/officeDocument/2006/relationships/image" Target="../media/image17.wmf"/><Relationship Id="rId2" Type="http://schemas.openxmlformats.org/officeDocument/2006/relationships/image" Target="../media/image2.jpeg"/><Relationship Id="rId16" Type="http://schemas.openxmlformats.org/officeDocument/2006/relationships/image" Target="../media/image16.wmf"/><Relationship Id="rId1" Type="http://schemas.openxmlformats.org/officeDocument/2006/relationships/image" Target="../media/image1.jpeg"/><Relationship Id="rId6" Type="http://schemas.openxmlformats.org/officeDocument/2006/relationships/image" Target="../media/image6.wmf"/><Relationship Id="rId11" Type="http://schemas.openxmlformats.org/officeDocument/2006/relationships/image" Target="../media/image11.wmf"/><Relationship Id="rId5" Type="http://schemas.openxmlformats.org/officeDocument/2006/relationships/image" Target="../media/image5.wmf"/><Relationship Id="rId15" Type="http://schemas.openxmlformats.org/officeDocument/2006/relationships/image" Target="../media/image15.wmf"/><Relationship Id="rId10" Type="http://schemas.openxmlformats.org/officeDocument/2006/relationships/image" Target="../media/image10.wmf"/><Relationship Id="rId4" Type="http://schemas.openxmlformats.org/officeDocument/2006/relationships/image" Target="../media/image4.wmf"/><Relationship Id="rId9" Type="http://schemas.openxmlformats.org/officeDocument/2006/relationships/image" Target="../media/image9.wmf"/><Relationship Id="rId14" Type="http://schemas.openxmlformats.org/officeDocument/2006/relationships/image" Target="../media/image14.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9.emf"/></Relationships>
</file>

<file path=xl/drawings/drawing1.xml><?xml version="1.0" encoding="utf-8"?>
<xdr:wsDr xmlns:xdr="http://schemas.openxmlformats.org/drawingml/2006/spreadsheetDrawing" xmlns:a="http://schemas.openxmlformats.org/drawingml/2006/main">
  <xdr:twoCellAnchor>
    <xdr:from>
      <xdr:col>92</xdr:col>
      <xdr:colOff>45720</xdr:colOff>
      <xdr:row>2</xdr:row>
      <xdr:rowOff>76200</xdr:rowOff>
    </xdr:from>
    <xdr:to>
      <xdr:col>101</xdr:col>
      <xdr:colOff>510540</xdr:colOff>
      <xdr:row>7</xdr:row>
      <xdr:rowOff>15240</xdr:rowOff>
    </xdr:to>
    <xdr:pic>
      <xdr:nvPicPr>
        <xdr:cNvPr id="2597" name="Picture 192" descr="2010c"/>
        <xdr:cNvPicPr>
          <a:picLocks noChangeAspect="1" noChangeArrowheads="1"/>
        </xdr:cNvPicPr>
      </xdr:nvPicPr>
      <xdr:blipFill>
        <a:blip xmlns:r="http://schemas.openxmlformats.org/officeDocument/2006/relationships" r:embed="rId1" cstate="print"/>
        <a:srcRect/>
        <a:stretch>
          <a:fillRect/>
        </a:stretch>
      </xdr:blipFill>
      <xdr:spPr bwMode="auto">
        <a:xfrm>
          <a:off x="25214580" y="1386840"/>
          <a:ext cx="5951220" cy="3215640"/>
        </a:xfrm>
        <a:prstGeom prst="rect">
          <a:avLst/>
        </a:prstGeom>
        <a:noFill/>
        <a:ln w="9525">
          <a:noFill/>
          <a:miter lim="800000"/>
          <a:headEnd/>
          <a:tailEnd/>
        </a:ln>
      </xdr:spPr>
    </xdr:pic>
    <xdr:clientData/>
  </xdr:twoCellAnchor>
  <xdr:twoCellAnchor>
    <xdr:from>
      <xdr:col>93</xdr:col>
      <xdr:colOff>388620</xdr:colOff>
      <xdr:row>7</xdr:row>
      <xdr:rowOff>571500</xdr:rowOff>
    </xdr:from>
    <xdr:to>
      <xdr:col>101</xdr:col>
      <xdr:colOff>190500</xdr:colOff>
      <xdr:row>10</xdr:row>
      <xdr:rowOff>594360</xdr:rowOff>
    </xdr:to>
    <xdr:pic>
      <xdr:nvPicPr>
        <xdr:cNvPr id="2598" name="Picture 191" descr="areatheory"/>
        <xdr:cNvPicPr>
          <a:picLocks noChangeAspect="1" noChangeArrowheads="1"/>
        </xdr:cNvPicPr>
      </xdr:nvPicPr>
      <xdr:blipFill>
        <a:blip xmlns:r="http://schemas.openxmlformats.org/officeDocument/2006/relationships" r:embed="rId2" cstate="print"/>
        <a:srcRect t="21558" r="4102" b="24156"/>
        <a:stretch>
          <a:fillRect/>
        </a:stretch>
      </xdr:blipFill>
      <xdr:spPr bwMode="auto">
        <a:xfrm>
          <a:off x="26167080" y="5158740"/>
          <a:ext cx="4678680" cy="1988820"/>
        </a:xfrm>
        <a:prstGeom prst="rect">
          <a:avLst/>
        </a:prstGeom>
        <a:noFill/>
        <a:ln w="9525">
          <a:noFill/>
          <a:miter lim="800000"/>
          <a:headEnd/>
          <a:tailEnd/>
        </a:ln>
      </xdr:spPr>
    </xdr:pic>
    <xdr:clientData/>
  </xdr:twoCellAnchor>
  <xdr:twoCellAnchor>
    <xdr:from>
      <xdr:col>92</xdr:col>
      <xdr:colOff>160020</xdr:colOff>
      <xdr:row>17</xdr:row>
      <xdr:rowOff>91440</xdr:rowOff>
    </xdr:from>
    <xdr:to>
      <xdr:col>94</xdr:col>
      <xdr:colOff>426720</xdr:colOff>
      <xdr:row>18</xdr:row>
      <xdr:rowOff>312420</xdr:rowOff>
    </xdr:to>
    <xdr:pic>
      <xdr:nvPicPr>
        <xdr:cNvPr id="2599" name="Picture 190"/>
        <xdr:cNvPicPr>
          <a:picLocks noChangeAspect="1" noChangeArrowheads="1"/>
        </xdr:cNvPicPr>
      </xdr:nvPicPr>
      <xdr:blipFill>
        <a:blip xmlns:r="http://schemas.openxmlformats.org/officeDocument/2006/relationships" r:embed="rId3" cstate="print"/>
        <a:srcRect/>
        <a:stretch>
          <a:fillRect/>
        </a:stretch>
      </xdr:blipFill>
      <xdr:spPr bwMode="auto">
        <a:xfrm>
          <a:off x="25328880" y="9669780"/>
          <a:ext cx="1485900" cy="563880"/>
        </a:xfrm>
        <a:prstGeom prst="rect">
          <a:avLst/>
        </a:prstGeom>
        <a:noFill/>
        <a:ln w="9525">
          <a:noFill/>
          <a:miter lim="800000"/>
          <a:headEnd/>
          <a:tailEnd/>
        </a:ln>
      </xdr:spPr>
    </xdr:pic>
    <xdr:clientData/>
  </xdr:twoCellAnchor>
  <xdr:twoCellAnchor>
    <xdr:from>
      <xdr:col>92</xdr:col>
      <xdr:colOff>0</xdr:colOff>
      <xdr:row>27</xdr:row>
      <xdr:rowOff>0</xdr:rowOff>
    </xdr:from>
    <xdr:to>
      <xdr:col>92</xdr:col>
      <xdr:colOff>114300</xdr:colOff>
      <xdr:row>27</xdr:row>
      <xdr:rowOff>220980</xdr:rowOff>
    </xdr:to>
    <xdr:pic>
      <xdr:nvPicPr>
        <xdr:cNvPr id="2600" name="Picture 189"/>
        <xdr:cNvPicPr>
          <a:picLocks noChangeAspect="1" noChangeArrowheads="1"/>
        </xdr:cNvPicPr>
      </xdr:nvPicPr>
      <xdr:blipFill>
        <a:blip xmlns:r="http://schemas.openxmlformats.org/officeDocument/2006/relationships" r:embed="rId4" cstate="print"/>
        <a:srcRect/>
        <a:stretch>
          <a:fillRect/>
        </a:stretch>
      </xdr:blipFill>
      <xdr:spPr bwMode="auto">
        <a:xfrm>
          <a:off x="25168860" y="13007340"/>
          <a:ext cx="114300" cy="220980"/>
        </a:xfrm>
        <a:prstGeom prst="rect">
          <a:avLst/>
        </a:prstGeom>
        <a:noFill/>
        <a:ln w="9525">
          <a:noFill/>
          <a:miter lim="800000"/>
          <a:headEnd/>
          <a:tailEnd/>
        </a:ln>
      </xdr:spPr>
    </xdr:pic>
    <xdr:clientData/>
  </xdr:twoCellAnchor>
  <xdr:twoCellAnchor>
    <xdr:from>
      <xdr:col>92</xdr:col>
      <xdr:colOff>259080</xdr:colOff>
      <xdr:row>22</xdr:row>
      <xdr:rowOff>152400</xdr:rowOff>
    </xdr:from>
    <xdr:to>
      <xdr:col>93</xdr:col>
      <xdr:colOff>586740</xdr:colOff>
      <xdr:row>24</xdr:row>
      <xdr:rowOff>213360</xdr:rowOff>
    </xdr:to>
    <xdr:pic>
      <xdr:nvPicPr>
        <xdr:cNvPr id="2601" name="Picture 188"/>
        <xdr:cNvPicPr>
          <a:picLocks noChangeAspect="1" noChangeArrowheads="1"/>
        </xdr:cNvPicPr>
      </xdr:nvPicPr>
      <xdr:blipFill>
        <a:blip xmlns:r="http://schemas.openxmlformats.org/officeDocument/2006/relationships" r:embed="rId5" cstate="print"/>
        <a:srcRect/>
        <a:stretch>
          <a:fillRect/>
        </a:stretch>
      </xdr:blipFill>
      <xdr:spPr bwMode="auto">
        <a:xfrm>
          <a:off x="25427940" y="11445240"/>
          <a:ext cx="937260" cy="746760"/>
        </a:xfrm>
        <a:prstGeom prst="rect">
          <a:avLst/>
        </a:prstGeom>
        <a:noFill/>
        <a:ln w="9525">
          <a:noFill/>
          <a:miter lim="800000"/>
          <a:headEnd/>
          <a:tailEnd/>
        </a:ln>
      </xdr:spPr>
    </xdr:pic>
    <xdr:clientData/>
  </xdr:twoCellAnchor>
  <xdr:twoCellAnchor>
    <xdr:from>
      <xdr:col>92</xdr:col>
      <xdr:colOff>175260</xdr:colOff>
      <xdr:row>26</xdr:row>
      <xdr:rowOff>160020</xdr:rowOff>
    </xdr:from>
    <xdr:to>
      <xdr:col>94</xdr:col>
      <xdr:colOff>266700</xdr:colOff>
      <xdr:row>27</xdr:row>
      <xdr:rowOff>320040</xdr:rowOff>
    </xdr:to>
    <xdr:pic>
      <xdr:nvPicPr>
        <xdr:cNvPr id="2602" name="Picture 187"/>
        <xdr:cNvPicPr>
          <a:picLocks noChangeAspect="1" noChangeArrowheads="1"/>
        </xdr:cNvPicPr>
      </xdr:nvPicPr>
      <xdr:blipFill>
        <a:blip xmlns:r="http://schemas.openxmlformats.org/officeDocument/2006/relationships" r:embed="rId6" cstate="print"/>
        <a:srcRect/>
        <a:stretch>
          <a:fillRect/>
        </a:stretch>
      </xdr:blipFill>
      <xdr:spPr bwMode="auto">
        <a:xfrm>
          <a:off x="25344120" y="12824460"/>
          <a:ext cx="1310640" cy="502920"/>
        </a:xfrm>
        <a:prstGeom prst="rect">
          <a:avLst/>
        </a:prstGeom>
        <a:noFill/>
        <a:ln w="9525">
          <a:noFill/>
          <a:miter lim="800000"/>
          <a:headEnd/>
          <a:tailEnd/>
        </a:ln>
      </xdr:spPr>
    </xdr:pic>
    <xdr:clientData/>
  </xdr:twoCellAnchor>
  <xdr:twoCellAnchor>
    <xdr:from>
      <xdr:col>92</xdr:col>
      <xdr:colOff>99060</xdr:colOff>
      <xdr:row>29</xdr:row>
      <xdr:rowOff>76200</xdr:rowOff>
    </xdr:from>
    <xdr:to>
      <xdr:col>93</xdr:col>
      <xdr:colOff>594360</xdr:colOff>
      <xdr:row>30</xdr:row>
      <xdr:rowOff>266700</xdr:rowOff>
    </xdr:to>
    <xdr:pic>
      <xdr:nvPicPr>
        <xdr:cNvPr id="2603" name="Picture 186"/>
        <xdr:cNvPicPr>
          <a:picLocks noChangeAspect="1" noChangeArrowheads="1"/>
        </xdr:cNvPicPr>
      </xdr:nvPicPr>
      <xdr:blipFill>
        <a:blip xmlns:r="http://schemas.openxmlformats.org/officeDocument/2006/relationships" r:embed="rId7" cstate="print"/>
        <a:srcRect/>
        <a:stretch>
          <a:fillRect/>
        </a:stretch>
      </xdr:blipFill>
      <xdr:spPr bwMode="auto">
        <a:xfrm>
          <a:off x="25267920" y="13769340"/>
          <a:ext cx="1104900" cy="533400"/>
        </a:xfrm>
        <a:prstGeom prst="rect">
          <a:avLst/>
        </a:prstGeom>
        <a:noFill/>
        <a:ln w="9525">
          <a:noFill/>
          <a:miter lim="800000"/>
          <a:headEnd/>
          <a:tailEnd/>
        </a:ln>
      </xdr:spPr>
    </xdr:pic>
    <xdr:clientData/>
  </xdr:twoCellAnchor>
  <xdr:twoCellAnchor>
    <xdr:from>
      <xdr:col>95</xdr:col>
      <xdr:colOff>304800</xdr:colOff>
      <xdr:row>25</xdr:row>
      <xdr:rowOff>304800</xdr:rowOff>
    </xdr:from>
    <xdr:to>
      <xdr:col>103</xdr:col>
      <xdr:colOff>152400</xdr:colOff>
      <xdr:row>32</xdr:row>
      <xdr:rowOff>144780</xdr:rowOff>
    </xdr:to>
    <xdr:pic>
      <xdr:nvPicPr>
        <xdr:cNvPr id="2604" name="Picture 185" descr="areadrv"/>
        <xdr:cNvPicPr>
          <a:picLocks noChangeAspect="1" noChangeArrowheads="1"/>
        </xdr:cNvPicPr>
      </xdr:nvPicPr>
      <xdr:blipFill>
        <a:blip xmlns:r="http://schemas.openxmlformats.org/officeDocument/2006/relationships" r:embed="rId8" cstate="print"/>
        <a:srcRect l="10278" t="8791" r="4723" b="12637"/>
        <a:stretch>
          <a:fillRect/>
        </a:stretch>
      </xdr:blipFill>
      <xdr:spPr bwMode="auto">
        <a:xfrm>
          <a:off x="27302460" y="12626340"/>
          <a:ext cx="4724400" cy="2240280"/>
        </a:xfrm>
        <a:prstGeom prst="rect">
          <a:avLst/>
        </a:prstGeom>
        <a:noFill/>
        <a:ln w="9525">
          <a:noFill/>
          <a:miter lim="800000"/>
          <a:headEnd/>
          <a:tailEnd/>
        </a:ln>
      </xdr:spPr>
    </xdr:pic>
    <xdr:clientData/>
  </xdr:twoCellAnchor>
  <xdr:twoCellAnchor>
    <xdr:from>
      <xdr:col>92</xdr:col>
      <xdr:colOff>182880</xdr:colOff>
      <xdr:row>33</xdr:row>
      <xdr:rowOff>236220</xdr:rowOff>
    </xdr:from>
    <xdr:to>
      <xdr:col>95</xdr:col>
      <xdr:colOff>38100</xdr:colOff>
      <xdr:row>35</xdr:row>
      <xdr:rowOff>175260</xdr:rowOff>
    </xdr:to>
    <xdr:pic>
      <xdr:nvPicPr>
        <xdr:cNvPr id="2605" name="Picture 184"/>
        <xdr:cNvPicPr>
          <a:picLocks noChangeAspect="1" noChangeArrowheads="1"/>
        </xdr:cNvPicPr>
      </xdr:nvPicPr>
      <xdr:blipFill>
        <a:blip xmlns:r="http://schemas.openxmlformats.org/officeDocument/2006/relationships" r:embed="rId9" cstate="print"/>
        <a:srcRect/>
        <a:stretch>
          <a:fillRect/>
        </a:stretch>
      </xdr:blipFill>
      <xdr:spPr bwMode="auto">
        <a:xfrm>
          <a:off x="25351740" y="15300960"/>
          <a:ext cx="1684020" cy="624840"/>
        </a:xfrm>
        <a:prstGeom prst="rect">
          <a:avLst/>
        </a:prstGeom>
        <a:noFill/>
        <a:ln w="9525">
          <a:noFill/>
          <a:miter lim="800000"/>
          <a:headEnd/>
          <a:tailEnd/>
        </a:ln>
      </xdr:spPr>
    </xdr:pic>
    <xdr:clientData/>
  </xdr:twoCellAnchor>
  <xdr:twoCellAnchor>
    <xdr:from>
      <xdr:col>92</xdr:col>
      <xdr:colOff>83820</xdr:colOff>
      <xdr:row>37</xdr:row>
      <xdr:rowOff>144780</xdr:rowOff>
    </xdr:from>
    <xdr:to>
      <xdr:col>94</xdr:col>
      <xdr:colOff>365760</xdr:colOff>
      <xdr:row>39</xdr:row>
      <xdr:rowOff>129540</xdr:rowOff>
    </xdr:to>
    <xdr:pic>
      <xdr:nvPicPr>
        <xdr:cNvPr id="2606" name="Picture 183"/>
        <xdr:cNvPicPr>
          <a:picLocks noChangeAspect="1" noChangeArrowheads="1"/>
        </xdr:cNvPicPr>
      </xdr:nvPicPr>
      <xdr:blipFill>
        <a:blip xmlns:r="http://schemas.openxmlformats.org/officeDocument/2006/relationships" r:embed="rId3" cstate="print"/>
        <a:srcRect/>
        <a:stretch>
          <a:fillRect/>
        </a:stretch>
      </xdr:blipFill>
      <xdr:spPr bwMode="auto">
        <a:xfrm>
          <a:off x="25252680" y="16581120"/>
          <a:ext cx="1501140" cy="487680"/>
        </a:xfrm>
        <a:prstGeom prst="rect">
          <a:avLst/>
        </a:prstGeom>
        <a:noFill/>
        <a:ln w="9525">
          <a:noFill/>
          <a:miter lim="800000"/>
          <a:headEnd/>
          <a:tailEnd/>
        </a:ln>
      </xdr:spPr>
    </xdr:pic>
    <xdr:clientData/>
  </xdr:twoCellAnchor>
  <xdr:twoCellAnchor>
    <xdr:from>
      <xdr:col>92</xdr:col>
      <xdr:colOff>83820</xdr:colOff>
      <xdr:row>41</xdr:row>
      <xdr:rowOff>205740</xdr:rowOff>
    </xdr:from>
    <xdr:to>
      <xdr:col>102</xdr:col>
      <xdr:colOff>137160</xdr:colOff>
      <xdr:row>44</xdr:row>
      <xdr:rowOff>182880</xdr:rowOff>
    </xdr:to>
    <xdr:pic>
      <xdr:nvPicPr>
        <xdr:cNvPr id="2607" name="Picture 182"/>
        <xdr:cNvPicPr>
          <a:picLocks noChangeAspect="1" noChangeArrowheads="1"/>
        </xdr:cNvPicPr>
      </xdr:nvPicPr>
      <xdr:blipFill>
        <a:blip xmlns:r="http://schemas.openxmlformats.org/officeDocument/2006/relationships" r:embed="rId10" cstate="print"/>
        <a:srcRect/>
        <a:stretch>
          <a:fillRect/>
        </a:stretch>
      </xdr:blipFill>
      <xdr:spPr bwMode="auto">
        <a:xfrm>
          <a:off x="25252680" y="17647920"/>
          <a:ext cx="6149340" cy="731520"/>
        </a:xfrm>
        <a:prstGeom prst="rect">
          <a:avLst/>
        </a:prstGeom>
        <a:noFill/>
        <a:ln w="9525">
          <a:noFill/>
          <a:miter lim="800000"/>
          <a:headEnd/>
          <a:tailEnd/>
        </a:ln>
      </xdr:spPr>
    </xdr:pic>
    <xdr:clientData/>
  </xdr:twoCellAnchor>
  <xdr:twoCellAnchor>
    <xdr:from>
      <xdr:col>92</xdr:col>
      <xdr:colOff>91440</xdr:colOff>
      <xdr:row>46</xdr:row>
      <xdr:rowOff>198120</xdr:rowOff>
    </xdr:from>
    <xdr:to>
      <xdr:col>102</xdr:col>
      <xdr:colOff>114300</xdr:colOff>
      <xdr:row>48</xdr:row>
      <xdr:rowOff>243840</xdr:rowOff>
    </xdr:to>
    <xdr:pic>
      <xdr:nvPicPr>
        <xdr:cNvPr id="2608" name="Picture 181"/>
        <xdr:cNvPicPr>
          <a:picLocks noChangeAspect="1" noChangeArrowheads="1"/>
        </xdr:cNvPicPr>
      </xdr:nvPicPr>
      <xdr:blipFill>
        <a:blip xmlns:r="http://schemas.openxmlformats.org/officeDocument/2006/relationships" r:embed="rId11" cstate="print"/>
        <a:srcRect/>
        <a:stretch>
          <a:fillRect/>
        </a:stretch>
      </xdr:blipFill>
      <xdr:spPr bwMode="auto">
        <a:xfrm>
          <a:off x="25260300" y="18897600"/>
          <a:ext cx="6118860" cy="548640"/>
        </a:xfrm>
        <a:prstGeom prst="rect">
          <a:avLst/>
        </a:prstGeom>
        <a:noFill/>
        <a:ln w="9525">
          <a:noFill/>
          <a:miter lim="800000"/>
          <a:headEnd/>
          <a:tailEnd/>
        </a:ln>
      </xdr:spPr>
    </xdr:pic>
    <xdr:clientData/>
  </xdr:twoCellAnchor>
  <xdr:twoCellAnchor>
    <xdr:from>
      <xdr:col>93</xdr:col>
      <xdr:colOff>251460</xdr:colOff>
      <xdr:row>50</xdr:row>
      <xdr:rowOff>68580</xdr:rowOff>
    </xdr:from>
    <xdr:to>
      <xdr:col>94</xdr:col>
      <xdr:colOff>30480</xdr:colOff>
      <xdr:row>51</xdr:row>
      <xdr:rowOff>0</xdr:rowOff>
    </xdr:to>
    <xdr:pic>
      <xdr:nvPicPr>
        <xdr:cNvPr id="2609" name="Picture 180"/>
        <xdr:cNvPicPr>
          <a:picLocks noChangeAspect="1" noChangeArrowheads="1"/>
        </xdr:cNvPicPr>
      </xdr:nvPicPr>
      <xdr:blipFill>
        <a:blip xmlns:r="http://schemas.openxmlformats.org/officeDocument/2006/relationships" r:embed="rId12" cstate="print"/>
        <a:srcRect/>
        <a:stretch>
          <a:fillRect/>
        </a:stretch>
      </xdr:blipFill>
      <xdr:spPr bwMode="auto">
        <a:xfrm>
          <a:off x="26029920" y="19773900"/>
          <a:ext cx="388620" cy="182880"/>
        </a:xfrm>
        <a:prstGeom prst="rect">
          <a:avLst/>
        </a:prstGeom>
        <a:noFill/>
        <a:ln w="9525">
          <a:noFill/>
          <a:miter lim="800000"/>
          <a:headEnd/>
          <a:tailEnd/>
        </a:ln>
      </xdr:spPr>
    </xdr:pic>
    <xdr:clientData/>
  </xdr:twoCellAnchor>
  <xdr:twoCellAnchor>
    <xdr:from>
      <xdr:col>100</xdr:col>
      <xdr:colOff>0</xdr:colOff>
      <xdr:row>49</xdr:row>
      <xdr:rowOff>106680</xdr:rowOff>
    </xdr:from>
    <xdr:to>
      <xdr:col>101</xdr:col>
      <xdr:colOff>22860</xdr:colOff>
      <xdr:row>51</xdr:row>
      <xdr:rowOff>152400</xdr:rowOff>
    </xdr:to>
    <xdr:pic>
      <xdr:nvPicPr>
        <xdr:cNvPr id="2610" name="Picture 179"/>
        <xdr:cNvPicPr>
          <a:picLocks noChangeAspect="1" noChangeArrowheads="1"/>
        </xdr:cNvPicPr>
      </xdr:nvPicPr>
      <xdr:blipFill>
        <a:blip xmlns:r="http://schemas.openxmlformats.org/officeDocument/2006/relationships" r:embed="rId13" cstate="print"/>
        <a:srcRect/>
        <a:stretch>
          <a:fillRect/>
        </a:stretch>
      </xdr:blipFill>
      <xdr:spPr bwMode="auto">
        <a:xfrm>
          <a:off x="30045660" y="19560540"/>
          <a:ext cx="632460" cy="548640"/>
        </a:xfrm>
        <a:prstGeom prst="rect">
          <a:avLst/>
        </a:prstGeom>
        <a:noFill/>
        <a:ln w="9525">
          <a:noFill/>
          <a:miter lim="800000"/>
          <a:headEnd/>
          <a:tailEnd/>
        </a:ln>
      </xdr:spPr>
    </xdr:pic>
    <xdr:clientData/>
  </xdr:twoCellAnchor>
  <xdr:twoCellAnchor>
    <xdr:from>
      <xdr:col>92</xdr:col>
      <xdr:colOff>167640</xdr:colOff>
      <xdr:row>52</xdr:row>
      <xdr:rowOff>0</xdr:rowOff>
    </xdr:from>
    <xdr:to>
      <xdr:col>100</xdr:col>
      <xdr:colOff>228600</xdr:colOff>
      <xdr:row>54</xdr:row>
      <xdr:rowOff>22860</xdr:rowOff>
    </xdr:to>
    <xdr:pic>
      <xdr:nvPicPr>
        <xdr:cNvPr id="2611" name="Picture 178"/>
        <xdr:cNvPicPr>
          <a:picLocks noChangeAspect="1" noChangeArrowheads="1"/>
        </xdr:cNvPicPr>
      </xdr:nvPicPr>
      <xdr:blipFill>
        <a:blip xmlns:r="http://schemas.openxmlformats.org/officeDocument/2006/relationships" r:embed="rId14" cstate="print"/>
        <a:srcRect/>
        <a:stretch>
          <a:fillRect/>
        </a:stretch>
      </xdr:blipFill>
      <xdr:spPr bwMode="auto">
        <a:xfrm>
          <a:off x="25336500" y="20208240"/>
          <a:ext cx="4937760" cy="525780"/>
        </a:xfrm>
        <a:prstGeom prst="rect">
          <a:avLst/>
        </a:prstGeom>
        <a:noFill/>
        <a:ln w="9525">
          <a:noFill/>
          <a:miter lim="800000"/>
          <a:headEnd/>
          <a:tailEnd/>
        </a:ln>
      </xdr:spPr>
    </xdr:pic>
    <xdr:clientData/>
  </xdr:twoCellAnchor>
  <xdr:twoCellAnchor>
    <xdr:from>
      <xdr:col>92</xdr:col>
      <xdr:colOff>106680</xdr:colOff>
      <xdr:row>54</xdr:row>
      <xdr:rowOff>243840</xdr:rowOff>
    </xdr:from>
    <xdr:to>
      <xdr:col>100</xdr:col>
      <xdr:colOff>182880</xdr:colOff>
      <xdr:row>59</xdr:row>
      <xdr:rowOff>152400</xdr:rowOff>
    </xdr:to>
    <xdr:pic>
      <xdr:nvPicPr>
        <xdr:cNvPr id="2612" name="Picture 177"/>
        <xdr:cNvPicPr>
          <a:picLocks noChangeAspect="1" noChangeArrowheads="1"/>
        </xdr:cNvPicPr>
      </xdr:nvPicPr>
      <xdr:blipFill>
        <a:blip xmlns:r="http://schemas.openxmlformats.org/officeDocument/2006/relationships" r:embed="rId15" cstate="print"/>
        <a:srcRect/>
        <a:stretch>
          <a:fillRect/>
        </a:stretch>
      </xdr:blipFill>
      <xdr:spPr bwMode="auto">
        <a:xfrm>
          <a:off x="25275540" y="20955000"/>
          <a:ext cx="4953000" cy="1165860"/>
        </a:xfrm>
        <a:prstGeom prst="rect">
          <a:avLst/>
        </a:prstGeom>
        <a:noFill/>
        <a:ln w="9525">
          <a:noFill/>
          <a:miter lim="800000"/>
          <a:headEnd/>
          <a:tailEnd/>
        </a:ln>
      </xdr:spPr>
    </xdr:pic>
    <xdr:clientData/>
  </xdr:twoCellAnchor>
  <xdr:twoCellAnchor>
    <xdr:from>
      <xdr:col>92</xdr:col>
      <xdr:colOff>0</xdr:colOff>
      <xdr:row>60</xdr:row>
      <xdr:rowOff>68580</xdr:rowOff>
    </xdr:from>
    <xdr:to>
      <xdr:col>101</xdr:col>
      <xdr:colOff>289560</xdr:colOff>
      <xdr:row>62</xdr:row>
      <xdr:rowOff>205740</xdr:rowOff>
    </xdr:to>
    <xdr:pic>
      <xdr:nvPicPr>
        <xdr:cNvPr id="2613" name="Picture 176"/>
        <xdr:cNvPicPr>
          <a:picLocks noChangeAspect="1" noChangeArrowheads="1"/>
        </xdr:cNvPicPr>
      </xdr:nvPicPr>
      <xdr:blipFill>
        <a:blip xmlns:r="http://schemas.openxmlformats.org/officeDocument/2006/relationships" r:embed="rId16" cstate="print"/>
        <a:srcRect/>
        <a:stretch>
          <a:fillRect/>
        </a:stretch>
      </xdr:blipFill>
      <xdr:spPr bwMode="auto">
        <a:xfrm>
          <a:off x="25138380" y="22288500"/>
          <a:ext cx="5806440" cy="640080"/>
        </a:xfrm>
        <a:prstGeom prst="rect">
          <a:avLst/>
        </a:prstGeom>
        <a:noFill/>
        <a:ln w="9525">
          <a:noFill/>
          <a:miter lim="800000"/>
          <a:headEnd/>
          <a:tailEnd/>
        </a:ln>
      </xdr:spPr>
    </xdr:pic>
    <xdr:clientData/>
  </xdr:twoCellAnchor>
  <xdr:twoCellAnchor>
    <xdr:from>
      <xdr:col>92</xdr:col>
      <xdr:colOff>38100</xdr:colOff>
      <xdr:row>65</xdr:row>
      <xdr:rowOff>175260</xdr:rowOff>
    </xdr:from>
    <xdr:to>
      <xdr:col>100</xdr:col>
      <xdr:colOff>441960</xdr:colOff>
      <xdr:row>68</xdr:row>
      <xdr:rowOff>190500</xdr:rowOff>
    </xdr:to>
    <xdr:pic>
      <xdr:nvPicPr>
        <xdr:cNvPr id="2614" name="Picture 175"/>
        <xdr:cNvPicPr>
          <a:picLocks noChangeAspect="1" noChangeArrowheads="1"/>
        </xdr:cNvPicPr>
      </xdr:nvPicPr>
      <xdr:blipFill>
        <a:blip xmlns:r="http://schemas.openxmlformats.org/officeDocument/2006/relationships" r:embed="rId17" cstate="print"/>
        <a:srcRect/>
        <a:stretch>
          <a:fillRect/>
        </a:stretch>
      </xdr:blipFill>
      <xdr:spPr bwMode="auto">
        <a:xfrm>
          <a:off x="25206960" y="23652480"/>
          <a:ext cx="5280660" cy="769620"/>
        </a:xfrm>
        <a:prstGeom prst="rect">
          <a:avLst/>
        </a:prstGeom>
        <a:noFill/>
        <a:ln w="9525">
          <a:noFill/>
          <a:miter lim="800000"/>
          <a:headEnd/>
          <a:tailEnd/>
        </a:ln>
      </xdr:spPr>
    </xdr:pic>
    <xdr:clientData/>
  </xdr:twoCellAnchor>
  <xdr:twoCellAnchor>
    <xdr:from>
      <xdr:col>92</xdr:col>
      <xdr:colOff>121920</xdr:colOff>
      <xdr:row>70</xdr:row>
      <xdr:rowOff>182880</xdr:rowOff>
    </xdr:from>
    <xdr:to>
      <xdr:col>101</xdr:col>
      <xdr:colOff>121920</xdr:colOff>
      <xdr:row>73</xdr:row>
      <xdr:rowOff>190500</xdr:rowOff>
    </xdr:to>
    <xdr:pic>
      <xdr:nvPicPr>
        <xdr:cNvPr id="2615" name="Picture 174"/>
        <xdr:cNvPicPr>
          <a:picLocks noChangeAspect="1" noChangeArrowheads="1"/>
        </xdr:cNvPicPr>
      </xdr:nvPicPr>
      <xdr:blipFill>
        <a:blip xmlns:r="http://schemas.openxmlformats.org/officeDocument/2006/relationships" r:embed="rId18" cstate="print"/>
        <a:srcRect/>
        <a:stretch>
          <a:fillRect/>
        </a:stretch>
      </xdr:blipFill>
      <xdr:spPr bwMode="auto">
        <a:xfrm>
          <a:off x="25290780" y="24917400"/>
          <a:ext cx="5486400" cy="762000"/>
        </a:xfrm>
        <a:prstGeom prst="rect">
          <a:avLst/>
        </a:prstGeom>
        <a:noFill/>
        <a:ln w="9525">
          <a:noFill/>
          <a:miter lim="800000"/>
          <a:headEnd/>
          <a:tailEnd/>
        </a:ln>
      </xdr:spPr>
    </xdr:pic>
    <xdr:clientData/>
  </xdr:twoCellAnchor>
  <xdr:twoCellAnchor>
    <xdr:from>
      <xdr:col>2</xdr:col>
      <xdr:colOff>4478</xdr:colOff>
      <xdr:row>0</xdr:row>
      <xdr:rowOff>99875</xdr:rowOff>
    </xdr:from>
    <xdr:to>
      <xdr:col>3</xdr:col>
      <xdr:colOff>185057</xdr:colOff>
      <xdr:row>0</xdr:row>
      <xdr:rowOff>805542</xdr:rowOff>
    </xdr:to>
    <xdr:sp macro="" textlink="">
      <xdr:nvSpPr>
        <xdr:cNvPr id="2329" name="AutoShape 281"/>
        <xdr:cNvSpPr>
          <a:spLocks noChangeArrowheads="1"/>
        </xdr:cNvSpPr>
      </xdr:nvSpPr>
      <xdr:spPr bwMode="auto">
        <a:xfrm flipH="1">
          <a:off x="2584392" y="99875"/>
          <a:ext cx="2510122" cy="705667"/>
        </a:xfrm>
        <a:prstGeom prst="rightArrow">
          <a:avLst>
            <a:gd name="adj1" fmla="val 50769"/>
            <a:gd name="adj2" fmla="val 122014"/>
          </a:avLst>
        </a:prstGeom>
        <a:solidFill>
          <a:srgbClr val="CCFFCC"/>
        </a:solidFill>
        <a:ln w="9525">
          <a:solidFill>
            <a:srgbClr val="000000"/>
          </a:solidFill>
          <a:miter lim="800000"/>
          <a:headEnd/>
          <a:tailEnd/>
        </a:ln>
      </xdr:spPr>
      <xdr:txBody>
        <a:bodyPr vertOverflow="clip" wrap="square" lIns="45720" tIns="41148" rIns="0" bIns="0" anchor="t" upright="1"/>
        <a:lstStyle/>
        <a:p>
          <a:pPr algn="l" rtl="0">
            <a:defRPr sz="1000"/>
          </a:pPr>
          <a:r>
            <a:rPr lang="zh-TW" altLang="en-US" sz="1800" b="1" i="1" u="none" strike="noStrike" baseline="0">
              <a:solidFill>
                <a:srgbClr val="FF0000"/>
              </a:solidFill>
              <a:latin typeface="標楷體"/>
              <a:ea typeface="標楷體"/>
            </a:rPr>
            <a:t>請於此格輸入年分</a:t>
          </a:r>
        </a:p>
      </xdr:txBody>
    </xdr:sp>
    <xdr:clientData/>
  </xdr:twoCellAnchor>
  <xdr:oneCellAnchor>
    <xdr:from>
      <xdr:col>109</xdr:col>
      <xdr:colOff>30480</xdr:colOff>
      <xdr:row>82</xdr:row>
      <xdr:rowOff>30481</xdr:rowOff>
    </xdr:from>
    <xdr:ext cx="9326655" cy="1737360"/>
    <xdr:sp macro="" textlink="">
      <xdr:nvSpPr>
        <xdr:cNvPr id="25" name="Rectangle 24"/>
        <xdr:cNvSpPr/>
      </xdr:nvSpPr>
      <xdr:spPr>
        <a:xfrm>
          <a:off x="106382820" y="30548581"/>
          <a:ext cx="9326655" cy="1737360"/>
        </a:xfrm>
        <a:prstGeom prst="rect">
          <a:avLst/>
        </a:prstGeom>
      </xdr:spPr>
      <xdr:style>
        <a:lnRef idx="1">
          <a:schemeClr val="accent5"/>
        </a:lnRef>
        <a:fillRef idx="2">
          <a:schemeClr val="accent5"/>
        </a:fillRef>
        <a:effectRef idx="1">
          <a:schemeClr val="accent5"/>
        </a:effectRef>
        <a:fontRef idx="minor">
          <a:schemeClr val="dk1"/>
        </a:fontRef>
      </xdr:style>
      <xdr:txBody>
        <a:bodyPr wrap="square" lIns="91440" tIns="45720" rIns="91440" bIns="45720">
          <a:no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zh-TW" altLang="en-US" sz="52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rPr>
            <a:t>適用於西元 </a:t>
          </a:r>
          <a:r>
            <a:rPr lang="en-US" altLang="zh-TW" sz="52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rPr>
            <a:t>-1000  ~  3000 </a:t>
          </a:r>
          <a:r>
            <a:rPr lang="zh-TW" altLang="en-US" sz="52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rPr>
            <a:t>年間超出此範圍誤差會較大</a:t>
          </a:r>
          <a:endParaRPr lang="en-US" sz="52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endParaRPr>
        </a:p>
      </xdr:txBody>
    </xdr:sp>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bieyu.com/" TargetMode="External"/><Relationship Id="rId7" Type="http://schemas.openxmlformats.org/officeDocument/2006/relationships/printerSettings" Target="../printerSettings/printerSettings1.bin"/><Relationship Id="rId2" Type="http://schemas.openxmlformats.org/officeDocument/2006/relationships/hyperlink" Target="http://bieyu.com/" TargetMode="External"/><Relationship Id="rId1" Type="http://schemas.openxmlformats.org/officeDocument/2006/relationships/hyperlink" Target="http://jieqi.911cha.com/" TargetMode="External"/><Relationship Id="rId6" Type="http://schemas.openxmlformats.org/officeDocument/2006/relationships/hyperlink" Target="http://bieyu.com/" TargetMode="External"/><Relationship Id="rId5" Type="http://schemas.openxmlformats.org/officeDocument/2006/relationships/hyperlink" Target="http://tw.myblog.yahoo.com/jdwang-blog/" TargetMode="External"/><Relationship Id="rId4" Type="http://schemas.openxmlformats.org/officeDocument/2006/relationships/hyperlink" Target="http://www.fjptsz.com/xxjs/xjw/sxwnl.rar"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codeName="Sheet1"/>
  <dimension ref="A1:DD85"/>
  <sheetViews>
    <sheetView tabSelected="1" zoomScale="70" zoomScaleNormal="70" workbookViewId="0">
      <selection activeCell="C11" sqref="C11"/>
    </sheetView>
  </sheetViews>
  <sheetFormatPr defaultRowHeight="19.8"/>
  <cols>
    <col min="1" max="1" width="3" customWidth="1"/>
    <col min="2" max="2" width="34.6640625" customWidth="1"/>
    <col min="3" max="3" width="33.88671875" customWidth="1"/>
    <col min="4" max="4" width="12.44140625" customWidth="1"/>
    <col min="5" max="5" width="45.77734375" customWidth="1"/>
    <col min="6" max="6" width="3" customWidth="1"/>
    <col min="7" max="7" width="31.77734375" customWidth="1"/>
    <col min="8" max="8" width="9.109375" customWidth="1"/>
    <col min="9" max="9" width="32" customWidth="1"/>
    <col min="10" max="10" width="26.77734375" customWidth="1"/>
    <col min="11" max="11" width="29.77734375" customWidth="1"/>
    <col min="12" max="12" width="30.6640625" customWidth="1"/>
    <col min="13" max="13" width="21.109375" customWidth="1"/>
    <col min="14" max="14" width="24.44140625" customWidth="1"/>
    <col min="15" max="15" width="32" style="1" customWidth="1"/>
    <col min="16" max="16" width="27.109375" customWidth="1"/>
    <col min="17" max="40" width="10.77734375" customWidth="1"/>
    <col min="41" max="41" width="5.77734375" customWidth="1"/>
    <col min="42" max="42" width="10.44140625" customWidth="1"/>
    <col min="43" max="43" width="21.109375" customWidth="1"/>
    <col min="44" max="67" width="16.77734375" customWidth="1"/>
    <col min="68" max="91" width="12.77734375" customWidth="1"/>
    <col min="92" max="92" width="4.21875" customWidth="1"/>
    <col min="93" max="93" width="8.88671875" style="9"/>
    <col min="110" max="110" width="137.109375" customWidth="1"/>
  </cols>
  <sheetData>
    <row r="1" spans="1:108" ht="66.75" customHeight="1">
      <c r="A1" s="15"/>
      <c r="B1" s="70">
        <v>4512</v>
      </c>
      <c r="E1" s="39"/>
      <c r="G1" s="53" t="s">
        <v>90</v>
      </c>
      <c r="H1" s="53"/>
      <c r="I1" s="53"/>
      <c r="J1" s="53"/>
      <c r="K1" s="53"/>
      <c r="L1" s="53"/>
      <c r="M1" s="5"/>
      <c r="N1" s="5"/>
      <c r="O1" s="32"/>
      <c r="P1" s="32"/>
      <c r="Q1" s="32"/>
      <c r="R1" s="32"/>
      <c r="S1" s="32"/>
      <c r="T1" s="32"/>
      <c r="U1" s="32"/>
      <c r="V1" s="32"/>
      <c r="W1" s="32"/>
      <c r="X1" s="32"/>
      <c r="Y1" s="32"/>
      <c r="Z1" s="32"/>
      <c r="AA1" s="32"/>
      <c r="AB1" s="32"/>
      <c r="AC1" s="32"/>
      <c r="AD1" s="32"/>
      <c r="AE1" s="32"/>
      <c r="AF1" s="32"/>
      <c r="AG1" s="32"/>
      <c r="AH1" s="32"/>
      <c r="AI1" s="32"/>
      <c r="AJ1" s="32"/>
      <c r="AK1" s="32"/>
      <c r="AL1" s="32"/>
      <c r="CO1" s="46" t="s">
        <v>19</v>
      </c>
      <c r="CP1" s="46"/>
      <c r="CQ1" s="46"/>
      <c r="CR1" s="46"/>
      <c r="CS1" s="46"/>
      <c r="CT1" s="46"/>
      <c r="CU1" s="46"/>
      <c r="CV1" s="46"/>
      <c r="CW1" s="46"/>
      <c r="CX1" s="46"/>
      <c r="CY1" s="46"/>
      <c r="CZ1" s="46"/>
      <c r="DA1" s="46"/>
      <c r="DB1" s="46"/>
      <c r="DC1" s="46"/>
    </row>
    <row r="2" spans="1:108" ht="40.049999999999997" customHeight="1">
      <c r="B2" s="38">
        <f>111.25586939-(17.0119934518333*m_1000)-(0.044091890166673*m_1000^2)-(0.000437356166661345*m_1000^3)+(8.16716666602386E-06*m_1000^4)</f>
        <v>33.563337036889138</v>
      </c>
      <c r="C2" s="4" t="s">
        <v>85</v>
      </c>
      <c r="D2" s="43" t="str">
        <f>H14</f>
        <v>春分</v>
      </c>
      <c r="E2" s="41">
        <f ca="1">O14</f>
        <v>954094.46181276953</v>
      </c>
      <c r="F2" s="16"/>
      <c r="G2" s="48" t="s">
        <v>79</v>
      </c>
      <c r="H2" s="48"/>
      <c r="I2" s="48"/>
      <c r="J2" s="48"/>
      <c r="K2" s="48"/>
      <c r="L2" s="48"/>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5" t="s">
        <v>20</v>
      </c>
      <c r="CP2" s="45"/>
      <c r="CQ2" s="45"/>
      <c r="CR2" s="45"/>
      <c r="CS2" s="45"/>
      <c r="CT2" s="45"/>
      <c r="CU2" s="45"/>
      <c r="CV2" s="45"/>
      <c r="CW2" s="45"/>
      <c r="CX2" s="45"/>
      <c r="CY2" s="45"/>
      <c r="CZ2" s="45"/>
      <c r="DA2" s="45"/>
      <c r="DB2" s="45"/>
      <c r="DC2" s="45"/>
      <c r="DD2" s="45"/>
    </row>
    <row r="3" spans="1:108" ht="40.049999999999997" customHeight="1">
      <c r="B3" s="50">
        <f>IF($B$1&gt;=1000,2451623.80984+365242.37404*m_3000+0.05169*m_3000^2-0.00411*m_3000^3-0.00057*m_3000^4,1721139.29189+365242.1374*m_1000+0.06134*m_1000^2+0.00111*m_1000^3-0.00071*m_1000^4)</f>
        <v>3369112.8917556643</v>
      </c>
      <c r="C3" s="44" t="s">
        <v>86</v>
      </c>
      <c r="D3" s="43" t="str">
        <f t="shared" ref="D3:D22" si="0">H15</f>
        <v>清明</v>
      </c>
      <c r="E3" s="41">
        <f t="shared" ref="E3:E22" ca="1" si="1">O15</f>
        <v>954109.32161555719</v>
      </c>
      <c r="G3" s="48" t="s">
        <v>77</v>
      </c>
      <c r="H3" s="48"/>
      <c r="I3" s="48"/>
      <c r="J3" s="48"/>
      <c r="K3" s="48"/>
      <c r="L3" s="48"/>
    </row>
    <row r="4" spans="1:108" ht="40.049999999999997" customHeight="1">
      <c r="B4" s="50">
        <f>IF($B$1&gt;=1000,2451716.56767+365241.62603*m_3000+0.00325*m_3000^2+0.00888*m_3000^3-0.0003*m_3000^4,1721233.25401+365241.72562*m_1000-0.05323*m_1000^2+0.00111*m_1000^3+0.00025*m_1000^4)</f>
        <v>3369203.6815775582</v>
      </c>
      <c r="C4" s="44" t="s">
        <v>87</v>
      </c>
      <c r="D4" s="43" t="str">
        <f t="shared" si="0"/>
        <v>穀雨</v>
      </c>
      <c r="E4" s="41">
        <f t="shared" ca="1" si="1"/>
        <v>954124.27568558324</v>
      </c>
      <c r="G4" s="48" t="s">
        <v>78</v>
      </c>
      <c r="H4" s="48"/>
      <c r="I4" s="48"/>
      <c r="J4" s="48"/>
      <c r="K4" s="48"/>
      <c r="L4" s="48"/>
      <c r="V4" s="6"/>
    </row>
    <row r="5" spans="1:108" ht="40.049999999999997" customHeight="1">
      <c r="B5" s="50">
        <f>IF($B$1&gt;=1000, 2451810.21715+365242.01767*m_3000-0.11575*m_3000^2+0.00337*m_3000^3-0.00078*m_3000^4,1721325.70455+365242.49558*m_1000-0.11677*m_1000^2-0.00297*m_1000^3+0.00074*m_1000^4)</f>
        <v>3369297.4574980414</v>
      </c>
      <c r="C5" s="44" t="s">
        <v>88</v>
      </c>
      <c r="D5" s="43" t="str">
        <f t="shared" si="0"/>
        <v>立夏</v>
      </c>
      <c r="E5" s="41">
        <f t="shared" ca="1" si="1"/>
        <v>954139.33325250074</v>
      </c>
    </row>
    <row r="6" spans="1:108" ht="40.049999999999997" customHeight="1">
      <c r="B6" s="50">
        <f>IF($B$1&gt;=1000,2451900.05952+365242.74049*m_3000-0.06223*m_3000^2-0.00823*m_3000^3+0.00032*m_3000^4,1721414.39987+365242.88257*m_1000-0.00769*m_1000^2-0.00933*m_1000^3-0.00006*m_1000^4)</f>
        <v>3369389.3132379497</v>
      </c>
      <c r="C6" s="44" t="s">
        <v>89</v>
      </c>
      <c r="D6" s="43" t="str">
        <f t="shared" si="0"/>
        <v>小滿</v>
      </c>
      <c r="E6" s="41">
        <f t="shared" ca="1" si="1"/>
        <v>954154.51591830654</v>
      </c>
      <c r="G6" s="52" t="s">
        <v>80</v>
      </c>
      <c r="J6" s="7"/>
      <c r="V6" s="6"/>
    </row>
    <row r="7" spans="1:108" ht="40.049999999999997" customHeight="1">
      <c r="B7" s="49">
        <f>IF($B$1&gt;=1000,2451623.80984+365242.37404*m_3000_1+0.05169*m_3000_1^2-0.00411*m_3000_1^3-0.00057*m_3000_1^4,1721139.29189+365242.1374*m_1000_1+0.06134*m_1000_1^2+0.00111*m_1000_1^3-0.00071*m_1000_1^4)-B3</f>
        <v>365.24251978565007</v>
      </c>
      <c r="C7" s="3" t="s">
        <v>92</v>
      </c>
      <c r="D7" s="43" t="str">
        <f t="shared" si="0"/>
        <v>芒種</v>
      </c>
      <c r="E7" s="41">
        <f t="shared" ca="1" si="1"/>
        <v>954169.816545323</v>
      </c>
      <c r="G7" s="52" t="s">
        <v>91</v>
      </c>
      <c r="J7" s="10"/>
      <c r="K7" s="11"/>
      <c r="L7" s="11"/>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row>
    <row r="8" spans="1:108" ht="40.049999999999997" customHeight="1">
      <c r="B8" s="51">
        <f>B7/2/PI()</f>
        <v>58.130152451225598</v>
      </c>
      <c r="C8" s="17" t="s">
        <v>66</v>
      </c>
      <c r="D8" s="43" t="str">
        <f t="shared" si="0"/>
        <v>夏至</v>
      </c>
      <c r="E8" s="41">
        <f t="shared" ca="1" si="1"/>
        <v>954185.24215018423</v>
      </c>
      <c r="G8" s="52" t="s">
        <v>81</v>
      </c>
      <c r="J8" s="13"/>
      <c r="K8" s="13"/>
      <c r="L8" s="13"/>
      <c r="CO8" s="45" t="s">
        <v>21</v>
      </c>
      <c r="CP8" s="45"/>
      <c r="CQ8" s="45"/>
      <c r="CR8" s="45"/>
      <c r="CS8" s="45"/>
      <c r="CT8" s="45"/>
      <c r="CU8" s="45"/>
      <c r="CV8" s="45"/>
      <c r="CW8" s="45"/>
      <c r="CX8" s="45"/>
      <c r="CY8" s="45"/>
      <c r="CZ8" s="45"/>
      <c r="DA8" s="45"/>
      <c r="DB8" s="45"/>
      <c r="DC8" s="45"/>
      <c r="DD8" s="45"/>
    </row>
    <row r="9" spans="1:108" ht="40.049999999999997" customHeight="1">
      <c r="D9" s="43" t="str">
        <f t="shared" si="0"/>
        <v>小暑</v>
      </c>
      <c r="E9" s="41">
        <f t="shared" ca="1" si="1"/>
        <v>954200.76659994945</v>
      </c>
      <c r="G9" s="52" t="s">
        <v>82</v>
      </c>
      <c r="H9" s="18"/>
      <c r="P9" s="21"/>
      <c r="Q9" s="20"/>
      <c r="AP9" s="21"/>
    </row>
    <row r="10" spans="1:108" ht="40.049999999999997" customHeight="1">
      <c r="D10" s="43" t="str">
        <f t="shared" si="0"/>
        <v>大暑</v>
      </c>
      <c r="E10" s="41">
        <f t="shared" ca="1" si="1"/>
        <v>954216.38281690003</v>
      </c>
      <c r="G10" s="52" t="s">
        <v>83</v>
      </c>
      <c r="H10" s="18"/>
      <c r="I10" s="40"/>
      <c r="J10" s="40"/>
      <c r="K10" s="40"/>
      <c r="P10" s="30" t="s">
        <v>0</v>
      </c>
      <c r="Q10" s="65">
        <v>1</v>
      </c>
      <c r="R10" s="65">
        <v>2</v>
      </c>
      <c r="S10" s="65">
        <v>3</v>
      </c>
      <c r="T10" s="65">
        <v>4</v>
      </c>
      <c r="U10" s="65">
        <v>5</v>
      </c>
      <c r="V10" s="65">
        <v>6</v>
      </c>
      <c r="W10" s="65">
        <v>7</v>
      </c>
      <c r="X10" s="65">
        <v>8</v>
      </c>
      <c r="Y10" s="65">
        <v>9</v>
      </c>
      <c r="Z10" s="65">
        <v>10</v>
      </c>
      <c r="AA10" s="65">
        <v>11</v>
      </c>
      <c r="AB10" s="65">
        <v>12</v>
      </c>
      <c r="AC10" s="65">
        <v>13</v>
      </c>
      <c r="AD10" s="65">
        <v>14</v>
      </c>
      <c r="AE10" s="65">
        <v>15</v>
      </c>
      <c r="AF10" s="65">
        <v>16</v>
      </c>
      <c r="AG10" s="65">
        <v>17</v>
      </c>
      <c r="AH10" s="65">
        <v>18</v>
      </c>
      <c r="AI10" s="65">
        <v>19</v>
      </c>
      <c r="AJ10" s="65">
        <v>20</v>
      </c>
      <c r="AK10" s="65">
        <v>21</v>
      </c>
      <c r="AL10" s="65">
        <v>22</v>
      </c>
      <c r="AM10" s="65">
        <v>23</v>
      </c>
      <c r="AN10" s="65">
        <v>24</v>
      </c>
      <c r="AO10" s="2"/>
    </row>
    <row r="11" spans="1:108" ht="40.049999999999997" customHeight="1">
      <c r="D11" s="43" t="str">
        <f t="shared" si="0"/>
        <v>立秋</v>
      </c>
      <c r="E11" s="41">
        <f t="shared" ca="1" si="1"/>
        <v>954232.04893754609</v>
      </c>
      <c r="G11" s="52" t="s">
        <v>84</v>
      </c>
      <c r="H11" s="18"/>
      <c r="L11" s="31"/>
      <c r="M11" s="31"/>
      <c r="N11" s="31"/>
      <c r="O11" s="31"/>
      <c r="P11" s="30" t="s">
        <v>74</v>
      </c>
      <c r="Q11" s="65">
        <v>485</v>
      </c>
      <c r="R11" s="65">
        <v>203</v>
      </c>
      <c r="S11" s="65">
        <v>199</v>
      </c>
      <c r="T11" s="65">
        <v>182</v>
      </c>
      <c r="U11" s="65">
        <v>156</v>
      </c>
      <c r="V11" s="65">
        <v>136</v>
      </c>
      <c r="W11" s="65">
        <v>77</v>
      </c>
      <c r="X11" s="65">
        <v>74</v>
      </c>
      <c r="Y11" s="65">
        <v>70</v>
      </c>
      <c r="Z11" s="65">
        <v>58</v>
      </c>
      <c r="AA11" s="65">
        <v>52</v>
      </c>
      <c r="AB11" s="65">
        <v>50</v>
      </c>
      <c r="AC11" s="65">
        <v>45</v>
      </c>
      <c r="AD11" s="65">
        <v>44</v>
      </c>
      <c r="AE11" s="65">
        <v>29</v>
      </c>
      <c r="AF11" s="65">
        <v>18</v>
      </c>
      <c r="AG11" s="65">
        <v>17</v>
      </c>
      <c r="AH11" s="65">
        <v>16</v>
      </c>
      <c r="AI11" s="65">
        <v>14</v>
      </c>
      <c r="AJ11" s="65">
        <v>12</v>
      </c>
      <c r="AK11" s="65">
        <v>12</v>
      </c>
      <c r="AL11" s="65">
        <v>12</v>
      </c>
      <c r="AM11" s="65">
        <v>9</v>
      </c>
      <c r="AN11" s="65">
        <v>8</v>
      </c>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row>
    <row r="12" spans="1:108" ht="40.049999999999997" customHeight="1">
      <c r="D12" s="43" t="str">
        <f t="shared" si="0"/>
        <v>處暑</v>
      </c>
      <c r="E12" s="41">
        <f t="shared" ca="1" si="1"/>
        <v>954247.74818630563</v>
      </c>
      <c r="G12" s="42"/>
      <c r="O12" s="31"/>
      <c r="P12" s="30" t="s">
        <v>75</v>
      </c>
      <c r="Q12" s="65">
        <v>324.95999999999998</v>
      </c>
      <c r="R12" s="65">
        <v>337.23</v>
      </c>
      <c r="S12" s="65">
        <v>342.08</v>
      </c>
      <c r="T12" s="65">
        <v>27.85</v>
      </c>
      <c r="U12" s="65">
        <v>73.14</v>
      </c>
      <c r="V12" s="65">
        <v>171.52</v>
      </c>
      <c r="W12" s="65">
        <v>222.54</v>
      </c>
      <c r="X12" s="65">
        <v>296.72000000000003</v>
      </c>
      <c r="Y12" s="65">
        <v>243.58</v>
      </c>
      <c r="Z12" s="65">
        <v>119.81</v>
      </c>
      <c r="AA12" s="65">
        <v>297.17</v>
      </c>
      <c r="AB12" s="65">
        <v>21.02</v>
      </c>
      <c r="AC12" s="65">
        <v>247.54</v>
      </c>
      <c r="AD12" s="65">
        <v>325.14999999999998</v>
      </c>
      <c r="AE12" s="65">
        <v>60.93</v>
      </c>
      <c r="AF12" s="65">
        <v>155.12</v>
      </c>
      <c r="AG12" s="65">
        <v>288.79000000000002</v>
      </c>
      <c r="AH12" s="65">
        <v>198.04</v>
      </c>
      <c r="AI12" s="65">
        <v>199.76</v>
      </c>
      <c r="AJ12" s="65">
        <v>95.39</v>
      </c>
      <c r="AK12" s="65">
        <v>287.11</v>
      </c>
      <c r="AL12" s="65">
        <v>320.81</v>
      </c>
      <c r="AM12" s="65">
        <v>227.73</v>
      </c>
      <c r="AN12" s="65">
        <v>15.45</v>
      </c>
      <c r="AQ12" s="26" t="s">
        <v>68</v>
      </c>
      <c r="AR12" s="25">
        <f t="shared" ref="AR12:BN12" si="2">Delta_t_Year_修正值</f>
        <v>4512.208333333333</v>
      </c>
      <c r="AS12" s="25">
        <f t="shared" si="2"/>
        <v>4512.291666666667</v>
      </c>
      <c r="AT12" s="25">
        <f t="shared" si="2"/>
        <v>4512.291666666667</v>
      </c>
      <c r="AU12" s="25">
        <f t="shared" si="2"/>
        <v>4512.375</v>
      </c>
      <c r="AV12" s="25">
        <f t="shared" si="2"/>
        <v>4512.375</v>
      </c>
      <c r="AW12" s="25">
        <f t="shared" si="2"/>
        <v>4512.458333333333</v>
      </c>
      <c r="AX12" s="25">
        <f t="shared" si="2"/>
        <v>4512.458333333333</v>
      </c>
      <c r="AY12" s="25">
        <f t="shared" si="2"/>
        <v>4512.541666666667</v>
      </c>
      <c r="AZ12" s="25">
        <f t="shared" si="2"/>
        <v>4512.541666666667</v>
      </c>
      <c r="BA12" s="25">
        <f t="shared" si="2"/>
        <v>4512.625</v>
      </c>
      <c r="BB12" s="25">
        <f t="shared" si="2"/>
        <v>4512.625</v>
      </c>
      <c r="BC12" s="25">
        <f t="shared" si="2"/>
        <v>4512.708333333333</v>
      </c>
      <c r="BD12" s="25">
        <f t="shared" si="2"/>
        <v>4512.708333333333</v>
      </c>
      <c r="BE12" s="25">
        <f t="shared" si="2"/>
        <v>4512.791666666667</v>
      </c>
      <c r="BF12" s="25">
        <f t="shared" si="2"/>
        <v>4512.791666666667</v>
      </c>
      <c r="BG12" s="25">
        <f t="shared" si="2"/>
        <v>4512.875</v>
      </c>
      <c r="BH12" s="25">
        <f t="shared" si="2"/>
        <v>4512.875</v>
      </c>
      <c r="BI12" s="25">
        <f t="shared" si="2"/>
        <v>4512.958333333333</v>
      </c>
      <c r="BJ12" s="25">
        <f t="shared" si="2"/>
        <v>4512.958333333333</v>
      </c>
      <c r="BK12" s="25">
        <f t="shared" si="2"/>
        <v>4513.041666666667</v>
      </c>
      <c r="BL12" s="25">
        <f t="shared" si="2"/>
        <v>4513.041666666667</v>
      </c>
      <c r="BM12" s="25">
        <f t="shared" si="2"/>
        <v>4513.125</v>
      </c>
      <c r="BN12" s="25">
        <f t="shared" si="2"/>
        <v>4513.125</v>
      </c>
      <c r="BO12" s="25">
        <f>Delta_t_Year_修正值</f>
        <v>4513.208333333333</v>
      </c>
      <c r="BP12" s="25">
        <v>7100</v>
      </c>
      <c r="BQ12" s="1"/>
      <c r="BR12" s="1"/>
      <c r="BS12" s="1"/>
      <c r="BT12" s="1"/>
      <c r="BU12" s="1"/>
      <c r="BV12" s="1"/>
      <c r="BW12" s="1"/>
      <c r="BX12" s="1"/>
      <c r="BY12" s="1"/>
      <c r="BZ12" s="1"/>
      <c r="CA12" s="1"/>
      <c r="CB12" s="1"/>
      <c r="CC12" s="1"/>
      <c r="CD12" s="1"/>
      <c r="CE12" s="1"/>
      <c r="CF12" s="1"/>
      <c r="CG12" s="1"/>
      <c r="CH12" s="1"/>
      <c r="CI12" s="1"/>
      <c r="CJ12" s="1"/>
      <c r="CK12" s="1"/>
      <c r="CL12" s="1"/>
      <c r="CM12" s="1"/>
      <c r="CO12" s="45" t="s">
        <v>22</v>
      </c>
      <c r="CP12" s="45"/>
      <c r="CQ12" s="45"/>
      <c r="CR12" s="45"/>
      <c r="CS12" s="45"/>
      <c r="CT12" s="45"/>
      <c r="CU12" s="45"/>
      <c r="CV12" s="45"/>
      <c r="CW12" s="45"/>
      <c r="CX12" s="45"/>
      <c r="CY12" s="45"/>
      <c r="CZ12" s="45"/>
      <c r="DA12" s="45"/>
      <c r="DB12" s="45"/>
      <c r="DC12" s="45"/>
      <c r="DD12" s="45"/>
    </row>
    <row r="13" spans="1:108" ht="40.049999999999997" customHeight="1">
      <c r="B13" s="8"/>
      <c r="D13" s="43" t="str">
        <f t="shared" si="0"/>
        <v>白露</v>
      </c>
      <c r="E13" s="41">
        <f t="shared" ca="1" si="1"/>
        <v>954263.4323799978</v>
      </c>
      <c r="G13" s="42"/>
      <c r="H13" s="19"/>
      <c r="I13" s="60" t="s">
        <v>23</v>
      </c>
      <c r="J13" s="60" t="s">
        <v>24</v>
      </c>
      <c r="K13" s="61" t="s">
        <v>71</v>
      </c>
      <c r="L13" s="33" t="s">
        <v>72</v>
      </c>
      <c r="M13" s="62" t="s">
        <v>67</v>
      </c>
      <c r="N13" s="63" t="s">
        <v>69</v>
      </c>
      <c r="O13" s="34" t="s">
        <v>73</v>
      </c>
      <c r="P13" s="30" t="s">
        <v>76</v>
      </c>
      <c r="Q13" s="65">
        <v>1934.136</v>
      </c>
      <c r="R13" s="65">
        <v>32964.466999999997</v>
      </c>
      <c r="S13" s="65">
        <v>20.186</v>
      </c>
      <c r="T13" s="65">
        <v>445267.11200000002</v>
      </c>
      <c r="U13" s="65">
        <v>45036.885999999999</v>
      </c>
      <c r="V13" s="65">
        <v>22518.442999999999</v>
      </c>
      <c r="W13" s="65">
        <v>65928.933999999994</v>
      </c>
      <c r="X13" s="65">
        <v>3034.9059999999999</v>
      </c>
      <c r="Y13" s="65">
        <v>9037.5130000000008</v>
      </c>
      <c r="Z13" s="65">
        <v>33718.146999999997</v>
      </c>
      <c r="AA13" s="65">
        <v>150.678</v>
      </c>
      <c r="AB13" s="65">
        <v>2281.2260000000001</v>
      </c>
      <c r="AC13" s="65">
        <v>29929.562000000002</v>
      </c>
      <c r="AD13" s="65">
        <v>31555.955999999998</v>
      </c>
      <c r="AE13" s="65">
        <v>4443.4170000000004</v>
      </c>
      <c r="AF13" s="65">
        <v>67555.327999999994</v>
      </c>
      <c r="AG13" s="65">
        <v>4562.4520000000002</v>
      </c>
      <c r="AH13" s="65">
        <v>62894.029000000002</v>
      </c>
      <c r="AI13" s="65">
        <v>31436.920999999998</v>
      </c>
      <c r="AJ13" s="65">
        <v>14577.848</v>
      </c>
      <c r="AK13" s="65">
        <v>31931.756000000001</v>
      </c>
      <c r="AL13" s="65">
        <v>34777.258999999998</v>
      </c>
      <c r="AM13" s="65">
        <v>1222.114</v>
      </c>
      <c r="AN13" s="65">
        <v>16859.074000000001</v>
      </c>
      <c r="AP13" s="24" t="s">
        <v>17</v>
      </c>
      <c r="AQ13" s="24" t="s">
        <v>1</v>
      </c>
      <c r="AR13" s="24" t="str">
        <f>"△t(秒) _ "&amp;COLUMN()-43</f>
        <v>△t(秒) _ 1</v>
      </c>
      <c r="AS13" s="24" t="str">
        <f t="shared" ref="AS13:BO13" si="3">"△t(秒) _ "&amp;COLUMN()-43</f>
        <v>△t(秒) _ 2</v>
      </c>
      <c r="AT13" s="24" t="str">
        <f t="shared" si="3"/>
        <v>△t(秒) _ 3</v>
      </c>
      <c r="AU13" s="24" t="str">
        <f t="shared" si="3"/>
        <v>△t(秒) _ 4</v>
      </c>
      <c r="AV13" s="24" t="str">
        <f t="shared" si="3"/>
        <v>△t(秒) _ 5</v>
      </c>
      <c r="AW13" s="24" t="str">
        <f t="shared" si="3"/>
        <v>△t(秒) _ 6</v>
      </c>
      <c r="AX13" s="24" t="str">
        <f t="shared" si="3"/>
        <v>△t(秒) _ 7</v>
      </c>
      <c r="AY13" s="24" t="str">
        <f t="shared" si="3"/>
        <v>△t(秒) _ 8</v>
      </c>
      <c r="AZ13" s="24" t="str">
        <f t="shared" si="3"/>
        <v>△t(秒) _ 9</v>
      </c>
      <c r="BA13" s="24" t="str">
        <f t="shared" si="3"/>
        <v>△t(秒) _ 10</v>
      </c>
      <c r="BB13" s="24" t="str">
        <f t="shared" si="3"/>
        <v>△t(秒) _ 11</v>
      </c>
      <c r="BC13" s="24" t="str">
        <f t="shared" si="3"/>
        <v>△t(秒) _ 12</v>
      </c>
      <c r="BD13" s="24" t="str">
        <f t="shared" si="3"/>
        <v>△t(秒) _ 13</v>
      </c>
      <c r="BE13" s="24" t="str">
        <f t="shared" si="3"/>
        <v>△t(秒) _ 14</v>
      </c>
      <c r="BF13" s="24" t="str">
        <f t="shared" si="3"/>
        <v>△t(秒) _ 15</v>
      </c>
      <c r="BG13" s="24" t="str">
        <f t="shared" si="3"/>
        <v>△t(秒) _ 16</v>
      </c>
      <c r="BH13" s="24" t="str">
        <f t="shared" si="3"/>
        <v>△t(秒) _ 17</v>
      </c>
      <c r="BI13" s="24" t="str">
        <f t="shared" si="3"/>
        <v>△t(秒) _ 18</v>
      </c>
      <c r="BJ13" s="24" t="str">
        <f t="shared" si="3"/>
        <v>△t(秒) _ 19</v>
      </c>
      <c r="BK13" s="24" t="str">
        <f t="shared" si="3"/>
        <v>△t(秒) _ 20</v>
      </c>
      <c r="BL13" s="24" t="str">
        <f t="shared" si="3"/>
        <v>△t(秒) _ 21</v>
      </c>
      <c r="BM13" s="24" t="str">
        <f t="shared" si="3"/>
        <v>△t(秒) _ 22</v>
      </c>
      <c r="BN13" s="24" t="str">
        <f t="shared" si="3"/>
        <v>△t(秒) _ 23</v>
      </c>
      <c r="BO13" s="24" t="str">
        <f t="shared" si="3"/>
        <v>△t(秒) _ 24</v>
      </c>
      <c r="BP13" s="14" t="str">
        <f>"u &amp; t _ "&amp;COLUMN()-67</f>
        <v>u &amp; t _ 1</v>
      </c>
      <c r="BQ13" s="14" t="str">
        <f t="shared" ref="BQ13:CM13" si="4">"u &amp; t _ "&amp;COLUMN()-67</f>
        <v>u &amp; t _ 2</v>
      </c>
      <c r="BR13" s="14" t="str">
        <f t="shared" si="4"/>
        <v>u &amp; t _ 3</v>
      </c>
      <c r="BS13" s="14" t="str">
        <f t="shared" si="4"/>
        <v>u &amp; t _ 4</v>
      </c>
      <c r="BT13" s="14" t="str">
        <f t="shared" si="4"/>
        <v>u &amp; t _ 5</v>
      </c>
      <c r="BU13" s="14" t="str">
        <f t="shared" si="4"/>
        <v>u &amp; t _ 6</v>
      </c>
      <c r="BV13" s="14" t="str">
        <f t="shared" si="4"/>
        <v>u &amp; t _ 7</v>
      </c>
      <c r="BW13" s="14" t="str">
        <f t="shared" si="4"/>
        <v>u &amp; t _ 8</v>
      </c>
      <c r="BX13" s="14" t="str">
        <f t="shared" si="4"/>
        <v>u &amp; t _ 9</v>
      </c>
      <c r="BY13" s="14" t="str">
        <f t="shared" si="4"/>
        <v>u &amp; t _ 10</v>
      </c>
      <c r="BZ13" s="14" t="str">
        <f t="shared" si="4"/>
        <v>u &amp; t _ 11</v>
      </c>
      <c r="CA13" s="14" t="str">
        <f t="shared" si="4"/>
        <v>u &amp; t _ 12</v>
      </c>
      <c r="CB13" s="14" t="str">
        <f t="shared" si="4"/>
        <v>u &amp; t _ 13</v>
      </c>
      <c r="CC13" s="14" t="str">
        <f t="shared" si="4"/>
        <v>u &amp; t _ 14</v>
      </c>
      <c r="CD13" s="14" t="str">
        <f t="shared" si="4"/>
        <v>u &amp; t _ 15</v>
      </c>
      <c r="CE13" s="14" t="str">
        <f t="shared" si="4"/>
        <v>u &amp; t _ 16</v>
      </c>
      <c r="CF13" s="14" t="str">
        <f t="shared" si="4"/>
        <v>u &amp; t _ 17</v>
      </c>
      <c r="CG13" s="14" t="str">
        <f t="shared" si="4"/>
        <v>u &amp; t _ 18</v>
      </c>
      <c r="CH13" s="14" t="str">
        <f t="shared" si="4"/>
        <v>u &amp; t _ 19</v>
      </c>
      <c r="CI13" s="14" t="str">
        <f t="shared" si="4"/>
        <v>u &amp; t _ 20</v>
      </c>
      <c r="CJ13" s="14" t="str">
        <f t="shared" si="4"/>
        <v>u &amp; t _ 21</v>
      </c>
      <c r="CK13" s="14" t="str">
        <f t="shared" si="4"/>
        <v>u &amp; t _ 22</v>
      </c>
      <c r="CL13" s="14" t="str">
        <f t="shared" si="4"/>
        <v>u &amp; t _ 23</v>
      </c>
      <c r="CM13" s="14" t="str">
        <f t="shared" si="4"/>
        <v>u &amp; t _ 24</v>
      </c>
      <c r="CO13" s="45"/>
      <c r="CP13" s="45"/>
      <c r="CQ13" s="45"/>
      <c r="CR13" s="45"/>
      <c r="CS13" s="45"/>
      <c r="CT13" s="45"/>
      <c r="CU13" s="45"/>
      <c r="CV13" s="45"/>
      <c r="CW13" s="45"/>
      <c r="CX13" s="45"/>
      <c r="CY13" s="45"/>
      <c r="CZ13" s="45"/>
      <c r="DA13" s="45"/>
      <c r="DB13" s="45"/>
      <c r="DC13" s="45"/>
      <c r="DD13" s="45"/>
    </row>
    <row r="14" spans="1:108" ht="40.049999999999997" customHeight="1">
      <c r="B14" s="35"/>
      <c r="D14" s="43" t="str">
        <f t="shared" si="0"/>
        <v>秋分</v>
      </c>
      <c r="E14" s="41">
        <f t="shared" ca="1" si="1"/>
        <v>954279.08230162552</v>
      </c>
      <c r="F14" s="37"/>
      <c r="G14" s="37"/>
      <c r="H14" s="69" t="s">
        <v>47</v>
      </c>
      <c r="I14" s="54">
        <f t="shared" ref="I14:I37" si="5">IF(AND(th_δ&gt;PI(),th_δ&lt;=(3*PI())),2*PI()-th_δ,IF(th_δ&gt;(3*PI()),4*PI()-th_δ,th_δ))</f>
        <v>0.58579073925027292</v>
      </c>
      <c r="J14" s="55">
        <f>IF(m_flag=1,$B$7-callp,IF(m_flag=2,2*$B$7-callp,callp))</f>
        <v>33.060691267262264</v>
      </c>
      <c r="K14" s="56">
        <f t="shared" ref="K14:K37" si="6">$B$3+J14-$J$14</f>
        <v>3369112.8917556643</v>
      </c>
      <c r="L14" s="57">
        <f ca="1">K14+M14-N14/86400+1/3</f>
        <v>3369112.9618127695</v>
      </c>
      <c r="M14" s="58">
        <f t="shared" ref="M14:M37" si="7">二分點_偏移量</f>
        <v>3.957427405067479E-3</v>
      </c>
      <c r="N14" s="58">
        <f t="shared" ref="N14:N37" ca="1" si="8">IF(OR(二分點_Year&lt;1955,二分點_Year&gt;=2005),二分點_△t_原始值+OFFSET($AQ$29,0,ROW()-13),二分點_△t_原始值)</f>
        <v>23088.987857624597</v>
      </c>
      <c r="O14" s="59">
        <f ca="1">IF(Date_y&gt;=1900,DATE(Date_y,Date_m,Date_d)+MOD(Date_d,1),Date_y&amp;"-"&amp;TEXT(Date_m,"00")&amp;"-"&amp;TEXT(INT(Date_d),"00")&amp;"     "&amp;TEXT(MOD(Date_d,1),"hh:mm:ss"))</f>
        <v>954094.46181276953</v>
      </c>
      <c r="P14" s="64">
        <f>SUM(Q14:AN14)</f>
        <v>405.78748100574916</v>
      </c>
      <c r="Q14" s="66">
        <f t="shared" ref="Q14:Z23" si="9">Q$11*COS((Q$12+Q$13*二分點_T)*PI()/180)</f>
        <v>334.6359362690938</v>
      </c>
      <c r="R14" s="66">
        <f t="shared" si="9"/>
        <v>-30.686413259170621</v>
      </c>
      <c r="S14" s="66">
        <f t="shared" si="9"/>
        <v>-125.73458430153715</v>
      </c>
      <c r="T14" s="66">
        <f t="shared" si="9"/>
        <v>111.62137638996768</v>
      </c>
      <c r="U14" s="66">
        <f t="shared" si="9"/>
        <v>155.01727047953108</v>
      </c>
      <c r="V14" s="66">
        <f t="shared" si="9"/>
        <v>90.529279003963779</v>
      </c>
      <c r="W14" s="66">
        <f t="shared" si="9"/>
        <v>-20.53700589296319</v>
      </c>
      <c r="X14" s="66">
        <f t="shared" si="9"/>
        <v>-57.884693546829681</v>
      </c>
      <c r="Y14" s="66">
        <f t="shared" si="9"/>
        <v>-35.765097386162417</v>
      </c>
      <c r="Z14" s="66">
        <f t="shared" si="9"/>
        <v>-5.0064922611711609</v>
      </c>
      <c r="AA14" s="66">
        <f t="shared" ref="AA14:AN23" si="10">AA$11*COS((AA$12+AA$13*二分點_T)*PI()/180)</f>
        <v>-27.900097593099371</v>
      </c>
      <c r="AB14" s="66">
        <f t="shared" si="10"/>
        <v>0.73497245652699228</v>
      </c>
      <c r="AC14" s="66">
        <f t="shared" si="10"/>
        <v>2.1869852121229401</v>
      </c>
      <c r="AD14" s="66">
        <f t="shared" si="10"/>
        <v>41.965508503114805</v>
      </c>
      <c r="AE14" s="66">
        <f t="shared" si="10"/>
        <v>1.5929895604578177</v>
      </c>
      <c r="AF14" s="66">
        <f t="shared" si="10"/>
        <v>-14.611451352011722</v>
      </c>
      <c r="AG14" s="66">
        <f t="shared" si="10"/>
        <v>7.1668905947223429</v>
      </c>
      <c r="AH14" s="66">
        <f t="shared" si="10"/>
        <v>-14.955104464792246</v>
      </c>
      <c r="AI14" s="66">
        <f t="shared" si="10"/>
        <v>-4.0380499798419009</v>
      </c>
      <c r="AJ14" s="66">
        <f t="shared" si="10"/>
        <v>-11.599966240456151</v>
      </c>
      <c r="AK14" s="66">
        <f t="shared" si="10"/>
        <v>10.859643483922326</v>
      </c>
      <c r="AL14" s="66">
        <f t="shared" si="10"/>
        <v>-1.5492891730850173</v>
      </c>
      <c r="AM14" s="66">
        <f t="shared" si="10"/>
        <v>7.7336646568536711</v>
      </c>
      <c r="AN14" s="66">
        <f t="shared" si="10"/>
        <v>-7.9887901534073054</v>
      </c>
      <c r="AP14" s="24">
        <v>-9999</v>
      </c>
      <c r="AQ14" s="24" t="s">
        <v>2</v>
      </c>
      <c r="AR14" s="67">
        <f t="shared" ref="AR14:BO14" si="11">-20+32*BP14^2</f>
        <v>23173.554272222216</v>
      </c>
      <c r="AS14" s="67">
        <f t="shared" si="11"/>
        <v>23174.990138888894</v>
      </c>
      <c r="AT14" s="67">
        <f t="shared" si="11"/>
        <v>23174.990138888894</v>
      </c>
      <c r="AU14" s="67">
        <f t="shared" si="11"/>
        <v>23176.426049999998</v>
      </c>
      <c r="AV14" s="67">
        <f t="shared" si="11"/>
        <v>23176.426049999998</v>
      </c>
      <c r="AW14" s="67">
        <f t="shared" si="11"/>
        <v>23177.862005555551</v>
      </c>
      <c r="AX14" s="67">
        <f t="shared" si="11"/>
        <v>23177.862005555551</v>
      </c>
      <c r="AY14" s="67">
        <f t="shared" si="11"/>
        <v>23179.298005555564</v>
      </c>
      <c r="AZ14" s="67">
        <f t="shared" si="11"/>
        <v>23179.298005555564</v>
      </c>
      <c r="BA14" s="67">
        <f t="shared" si="11"/>
        <v>23180.734049999999</v>
      </c>
      <c r="BB14" s="67">
        <f t="shared" si="11"/>
        <v>23180.734049999999</v>
      </c>
      <c r="BC14" s="67">
        <f t="shared" si="11"/>
        <v>23182.17013888888</v>
      </c>
      <c r="BD14" s="67">
        <f t="shared" si="11"/>
        <v>23182.17013888888</v>
      </c>
      <c r="BE14" s="67">
        <f t="shared" si="11"/>
        <v>23183.606272222223</v>
      </c>
      <c r="BF14" s="67">
        <f t="shared" si="11"/>
        <v>23183.606272222223</v>
      </c>
      <c r="BG14" s="67">
        <f t="shared" si="11"/>
        <v>23185.042450000001</v>
      </c>
      <c r="BH14" s="67">
        <f t="shared" si="11"/>
        <v>23185.042450000001</v>
      </c>
      <c r="BI14" s="67">
        <f t="shared" si="11"/>
        <v>23186.478672222216</v>
      </c>
      <c r="BJ14" s="67">
        <f t="shared" si="11"/>
        <v>23186.478672222216</v>
      </c>
      <c r="BK14" s="67">
        <f t="shared" si="11"/>
        <v>23187.914938888895</v>
      </c>
      <c r="BL14" s="67">
        <f t="shared" si="11"/>
        <v>23187.914938888895</v>
      </c>
      <c r="BM14" s="67">
        <f t="shared" si="11"/>
        <v>23189.351249999996</v>
      </c>
      <c r="BN14" s="67">
        <f t="shared" si="11"/>
        <v>23189.351249999996</v>
      </c>
      <c r="BO14" s="67">
        <f t="shared" si="11"/>
        <v>23190.787605555553</v>
      </c>
      <c r="BP14" s="68">
        <f t="shared" ref="BP14:CM14" si="12">(Delta_t_Year-1820)/100</f>
        <v>26.92208333333333</v>
      </c>
      <c r="BQ14" s="68">
        <f t="shared" si="12"/>
        <v>26.922916666666669</v>
      </c>
      <c r="BR14" s="68">
        <f t="shared" si="12"/>
        <v>26.922916666666669</v>
      </c>
      <c r="BS14" s="68">
        <f t="shared" si="12"/>
        <v>26.923749999999998</v>
      </c>
      <c r="BT14" s="68">
        <f t="shared" si="12"/>
        <v>26.923749999999998</v>
      </c>
      <c r="BU14" s="68">
        <f t="shared" si="12"/>
        <v>26.924583333333331</v>
      </c>
      <c r="BV14" s="68">
        <f t="shared" si="12"/>
        <v>26.924583333333331</v>
      </c>
      <c r="BW14" s="68">
        <f t="shared" si="12"/>
        <v>26.925416666666671</v>
      </c>
      <c r="BX14" s="68">
        <f t="shared" si="12"/>
        <v>26.925416666666671</v>
      </c>
      <c r="BY14" s="68">
        <f t="shared" si="12"/>
        <v>26.92625</v>
      </c>
      <c r="BZ14" s="68">
        <f t="shared" si="12"/>
        <v>26.92625</v>
      </c>
      <c r="CA14" s="68">
        <f t="shared" si="12"/>
        <v>26.927083333333329</v>
      </c>
      <c r="CB14" s="68">
        <f t="shared" si="12"/>
        <v>26.927083333333329</v>
      </c>
      <c r="CC14" s="68">
        <f t="shared" si="12"/>
        <v>26.927916666666668</v>
      </c>
      <c r="CD14" s="68">
        <f t="shared" si="12"/>
        <v>26.927916666666668</v>
      </c>
      <c r="CE14" s="68">
        <f t="shared" si="12"/>
        <v>26.928750000000001</v>
      </c>
      <c r="CF14" s="68">
        <f t="shared" si="12"/>
        <v>26.928750000000001</v>
      </c>
      <c r="CG14" s="68">
        <f t="shared" si="12"/>
        <v>26.92958333333333</v>
      </c>
      <c r="CH14" s="68">
        <f t="shared" si="12"/>
        <v>26.92958333333333</v>
      </c>
      <c r="CI14" s="68">
        <f t="shared" si="12"/>
        <v>26.93041666666667</v>
      </c>
      <c r="CJ14" s="68">
        <f t="shared" si="12"/>
        <v>26.93041666666667</v>
      </c>
      <c r="CK14" s="68">
        <f t="shared" si="12"/>
        <v>26.931249999999999</v>
      </c>
      <c r="CL14" s="68">
        <f t="shared" si="12"/>
        <v>26.931249999999999</v>
      </c>
      <c r="CM14" s="68">
        <f t="shared" si="12"/>
        <v>26.932083333333331</v>
      </c>
      <c r="CN14" s="27"/>
      <c r="CO14" s="45"/>
      <c r="CP14" s="45"/>
      <c r="CQ14" s="45"/>
      <c r="CR14" s="45"/>
      <c r="CS14" s="45"/>
      <c r="CT14" s="45"/>
      <c r="CU14" s="45"/>
      <c r="CV14" s="45"/>
      <c r="CW14" s="45"/>
      <c r="CX14" s="45"/>
      <c r="CY14" s="45"/>
      <c r="CZ14" s="45"/>
      <c r="DA14" s="45"/>
      <c r="DB14" s="45"/>
      <c r="DC14" s="45"/>
      <c r="DD14" s="45"/>
    </row>
    <row r="15" spans="1:108" ht="40.049999999999997" customHeight="1">
      <c r="B15" s="35"/>
      <c r="D15" s="43" t="str">
        <f t="shared" si="0"/>
        <v>寒露</v>
      </c>
      <c r="E15" s="41">
        <f t="shared" ca="1" si="1"/>
        <v>954294.65571111254</v>
      </c>
      <c r="F15" s="37"/>
      <c r="G15" s="37"/>
      <c r="H15" s="69" t="s">
        <v>48</v>
      </c>
      <c r="I15" s="54">
        <f t="shared" si="5"/>
        <v>0.84759012704942238</v>
      </c>
      <c r="J15" s="55">
        <f>IF(m_flag=1,$B$7-callp,IF(m_flag=2,2*$B$7-callp,callp))</f>
        <v>47.923501655835096</v>
      </c>
      <c r="K15" s="56">
        <f t="shared" si="6"/>
        <v>3369127.7545660529</v>
      </c>
      <c r="L15" s="57">
        <f t="shared" ref="L15:L37" ca="1" si="13">K15+M15-N15/86400+1/3</f>
        <v>3369127.8216155572</v>
      </c>
      <c r="M15" s="58">
        <f t="shared" si="7"/>
        <v>9.6638174823856712E-4</v>
      </c>
      <c r="N15" s="58">
        <f t="shared" ca="1" si="8"/>
        <v>23090.41821256511</v>
      </c>
      <c r="O15" s="59">
        <f ca="1">IF(Date_y&gt;=1900,DATE(Date_y,Date_m,Date_d)+MOD(Date_d,1),Date_y&amp;"-"&amp;TEXT(Date_m,"00")&amp;"-"&amp;TEXT(INT(Date_d),"00")&amp;"     "&amp;TEXT(MOD(Date_d,1),"hh:mm:ss"))</f>
        <v>954109.32161555719</v>
      </c>
      <c r="P15" s="64">
        <f t="shared" ref="P15:P37" si="14">SUM(Q15:AN15)</f>
        <v>98.444146034632865</v>
      </c>
      <c r="Q15" s="66">
        <f t="shared" si="9"/>
        <v>339.42655139918566</v>
      </c>
      <c r="R15" s="66">
        <f t="shared" si="9"/>
        <v>-76.401018616773115</v>
      </c>
      <c r="S15" s="66">
        <f t="shared" si="9"/>
        <v>-125.75669623664764</v>
      </c>
      <c r="T15" s="66">
        <f t="shared" si="9"/>
        <v>-114.57975597551598</v>
      </c>
      <c r="U15" s="66">
        <f t="shared" si="9"/>
        <v>152.65195069510696</v>
      </c>
      <c r="V15" s="66">
        <f t="shared" si="9"/>
        <v>105.53624434045858</v>
      </c>
      <c r="W15" s="66">
        <f t="shared" si="9"/>
        <v>-51.818733789778783</v>
      </c>
      <c r="X15" s="66">
        <f t="shared" si="9"/>
        <v>-56.877637329408266</v>
      </c>
      <c r="Y15" s="66">
        <f t="shared" si="9"/>
        <v>-39.551070168317736</v>
      </c>
      <c r="Z15" s="66">
        <f t="shared" si="9"/>
        <v>-18.569191026818864</v>
      </c>
      <c r="AA15" s="66">
        <f t="shared" si="10"/>
        <v>-27.947040650289761</v>
      </c>
      <c r="AB15" s="66">
        <f t="shared" si="10"/>
        <v>-7.5078223181848022E-2</v>
      </c>
      <c r="AC15" s="66">
        <f t="shared" si="10"/>
        <v>-7.3445007780122156</v>
      </c>
      <c r="AD15" s="66">
        <f t="shared" si="10"/>
        <v>43.855130973726055</v>
      </c>
      <c r="AE15" s="66">
        <f t="shared" si="10"/>
        <v>0.6785569283994225</v>
      </c>
      <c r="AF15" s="66">
        <f t="shared" si="10"/>
        <v>-8.1094240461193081</v>
      </c>
      <c r="AG15" s="66">
        <f t="shared" si="10"/>
        <v>6.6637081266382063</v>
      </c>
      <c r="AH15" s="66">
        <f t="shared" si="10"/>
        <v>-15.944544947325296</v>
      </c>
      <c r="AI15" s="66">
        <f t="shared" si="10"/>
        <v>-6.9059369518150024</v>
      </c>
      <c r="AJ15" s="66">
        <f t="shared" si="10"/>
        <v>-11.220302510954761</v>
      </c>
      <c r="AK15" s="66">
        <f t="shared" si="10"/>
        <v>9.4335925014824937</v>
      </c>
      <c r="AL15" s="66">
        <f t="shared" si="10"/>
        <v>1.4070376386012147</v>
      </c>
      <c r="AM15" s="66">
        <f t="shared" si="10"/>
        <v>7.7733277147768014</v>
      </c>
      <c r="AN15" s="66">
        <f t="shared" si="10"/>
        <v>-7.8810230327839585</v>
      </c>
      <c r="AP15" s="24">
        <v>-500</v>
      </c>
      <c r="AQ15" s="24" t="s">
        <v>3</v>
      </c>
      <c r="AR15" s="67">
        <f t="shared" ref="AR15:BO15" si="15">10583.6-1014.41*BP15+33.78311*BP15^2-5.952053*BP15^3-0.1798452*BP15^4+0.022174192*BP15^5+0.0090316521*BP15^6</f>
        <v>79114653.366893783</v>
      </c>
      <c r="AS15" s="67">
        <f t="shared" si="15"/>
        <v>79123399.708795175</v>
      </c>
      <c r="AT15" s="67">
        <f t="shared" si="15"/>
        <v>79123399.708795175</v>
      </c>
      <c r="AU15" s="67">
        <f t="shared" si="15"/>
        <v>79132146.854903579</v>
      </c>
      <c r="AV15" s="67">
        <f t="shared" si="15"/>
        <v>79132146.854903579</v>
      </c>
      <c r="AW15" s="67">
        <f t="shared" si="15"/>
        <v>79140894.805278227</v>
      </c>
      <c r="AX15" s="67">
        <f t="shared" si="15"/>
        <v>79140894.805278227</v>
      </c>
      <c r="AY15" s="67">
        <f t="shared" si="15"/>
        <v>79149643.559978098</v>
      </c>
      <c r="AZ15" s="67">
        <f t="shared" si="15"/>
        <v>79149643.559978098</v>
      </c>
      <c r="BA15" s="67">
        <f t="shared" si="15"/>
        <v>79158393.11906229</v>
      </c>
      <c r="BB15" s="67">
        <f t="shared" si="15"/>
        <v>79158393.11906229</v>
      </c>
      <c r="BC15" s="67">
        <f t="shared" si="15"/>
        <v>79167143.482589871</v>
      </c>
      <c r="BD15" s="67">
        <f t="shared" si="15"/>
        <v>79167143.482589871</v>
      </c>
      <c r="BE15" s="67">
        <f t="shared" si="15"/>
        <v>79175894.650619999</v>
      </c>
      <c r="BF15" s="67">
        <f t="shared" si="15"/>
        <v>79175894.650619999</v>
      </c>
      <c r="BG15" s="67">
        <f t="shared" si="15"/>
        <v>79184646.623211503</v>
      </c>
      <c r="BH15" s="67">
        <f t="shared" si="15"/>
        <v>79184646.623211503</v>
      </c>
      <c r="BI15" s="67">
        <f t="shared" si="15"/>
        <v>79193399.400423691</v>
      </c>
      <c r="BJ15" s="67">
        <f t="shared" si="15"/>
        <v>79193399.400423691</v>
      </c>
      <c r="BK15" s="67">
        <f t="shared" si="15"/>
        <v>79202152.982315674</v>
      </c>
      <c r="BL15" s="67">
        <f t="shared" si="15"/>
        <v>79202152.982315674</v>
      </c>
      <c r="BM15" s="67">
        <f t="shared" si="15"/>
        <v>79210907.368946359</v>
      </c>
      <c r="BN15" s="67">
        <f t="shared" si="15"/>
        <v>79210907.368946359</v>
      </c>
      <c r="BO15" s="67">
        <f t="shared" si="15"/>
        <v>79219662.560374826</v>
      </c>
      <c r="BP15" s="68">
        <f t="shared" ref="BP15:CM15" si="16">Delta_t_Year/100</f>
        <v>45.122083333333329</v>
      </c>
      <c r="BQ15" s="68">
        <f t="shared" si="16"/>
        <v>45.122916666666669</v>
      </c>
      <c r="BR15" s="68">
        <f t="shared" si="16"/>
        <v>45.122916666666669</v>
      </c>
      <c r="BS15" s="68">
        <f t="shared" si="16"/>
        <v>45.123750000000001</v>
      </c>
      <c r="BT15" s="68">
        <f t="shared" si="16"/>
        <v>45.123750000000001</v>
      </c>
      <c r="BU15" s="68">
        <f t="shared" si="16"/>
        <v>45.124583333333334</v>
      </c>
      <c r="BV15" s="68">
        <f t="shared" si="16"/>
        <v>45.124583333333334</v>
      </c>
      <c r="BW15" s="68">
        <f t="shared" si="16"/>
        <v>45.125416666666666</v>
      </c>
      <c r="BX15" s="68">
        <f t="shared" si="16"/>
        <v>45.125416666666666</v>
      </c>
      <c r="BY15" s="68">
        <f t="shared" si="16"/>
        <v>45.126249999999999</v>
      </c>
      <c r="BZ15" s="68">
        <f t="shared" si="16"/>
        <v>45.126249999999999</v>
      </c>
      <c r="CA15" s="68">
        <f t="shared" si="16"/>
        <v>45.127083333333331</v>
      </c>
      <c r="CB15" s="68">
        <f t="shared" si="16"/>
        <v>45.127083333333331</v>
      </c>
      <c r="CC15" s="68">
        <f t="shared" si="16"/>
        <v>45.127916666666671</v>
      </c>
      <c r="CD15" s="68">
        <f t="shared" si="16"/>
        <v>45.127916666666671</v>
      </c>
      <c r="CE15" s="68">
        <f t="shared" si="16"/>
        <v>45.128749999999997</v>
      </c>
      <c r="CF15" s="68">
        <f t="shared" si="16"/>
        <v>45.128749999999997</v>
      </c>
      <c r="CG15" s="68">
        <f t="shared" si="16"/>
        <v>45.129583333333329</v>
      </c>
      <c r="CH15" s="68">
        <f t="shared" si="16"/>
        <v>45.129583333333329</v>
      </c>
      <c r="CI15" s="68">
        <f t="shared" si="16"/>
        <v>45.130416666666669</v>
      </c>
      <c r="CJ15" s="68">
        <f t="shared" si="16"/>
        <v>45.130416666666669</v>
      </c>
      <c r="CK15" s="68">
        <f t="shared" si="16"/>
        <v>45.131250000000001</v>
      </c>
      <c r="CL15" s="68">
        <f t="shared" si="16"/>
        <v>45.131250000000001</v>
      </c>
      <c r="CM15" s="68">
        <f t="shared" si="16"/>
        <v>45.132083333333327</v>
      </c>
      <c r="CN15" s="27"/>
      <c r="CO15" s="45" t="s">
        <v>25</v>
      </c>
      <c r="CP15" s="45"/>
      <c r="CQ15" s="45"/>
      <c r="CR15" s="45"/>
      <c r="CS15" s="45"/>
      <c r="CT15" s="45"/>
      <c r="CU15" s="45"/>
      <c r="CV15" s="45"/>
      <c r="CW15" s="45"/>
      <c r="CX15" s="45"/>
      <c r="CY15" s="45"/>
      <c r="CZ15" s="45"/>
      <c r="DA15" s="45"/>
      <c r="DB15" s="45"/>
      <c r="DC15" s="45"/>
      <c r="DD15" s="45"/>
    </row>
    <row r="16" spans="1:108" ht="40.049999999999997" customHeight="1">
      <c r="B16" s="35"/>
      <c r="D16" s="43" t="str">
        <f t="shared" si="0"/>
        <v>霜降</v>
      </c>
      <c r="E16" s="41">
        <f t="shared" ca="1" si="1"/>
        <v>954310.13889556564</v>
      </c>
      <c r="F16" s="37"/>
      <c r="G16" s="37"/>
      <c r="H16" s="69" t="s">
        <v>61</v>
      </c>
      <c r="I16" s="54">
        <f t="shared" si="5"/>
        <v>1.1093895148485717</v>
      </c>
      <c r="J16" s="55">
        <f>IF(m_flag=1,$B$7-callp,IF(m_flag=2,2*$B$7-callp,callp))</f>
        <v>62.876035362617039</v>
      </c>
      <c r="K16" s="56">
        <f t="shared" si="6"/>
        <v>3369142.7070997595</v>
      </c>
      <c r="L16" s="57">
        <f t="shared" ca="1" si="13"/>
        <v>3369142.7756855832</v>
      </c>
      <c r="M16" s="58">
        <f t="shared" si="7"/>
        <v>2.502701333246531E-3</v>
      </c>
      <c r="N16" s="58">
        <f t="shared" ca="1" si="8"/>
        <v>23090.41821256511</v>
      </c>
      <c r="O16" s="59">
        <f ca="1">IF(Date_y&gt;=1900,DATE(Date_y,Date_m,Date_d)+MOD(Date_d,1),Date_y&amp;"-"&amp;TEXT(Date_m,"00")&amp;"-"&amp;TEXT(INT(Date_d),"00")&amp;"     "&amp;TEXT(MOD(Date_d,1),"hh:mm:ss"))</f>
        <v>954124.27568558324</v>
      </c>
      <c r="P16" s="64">
        <f t="shared" si="14"/>
        <v>252.96724511291157</v>
      </c>
      <c r="Q16" s="66">
        <f t="shared" si="9"/>
        <v>344.18145784893215</v>
      </c>
      <c r="R16" s="66">
        <f t="shared" si="9"/>
        <v>-118.18048393575509</v>
      </c>
      <c r="S16" s="66">
        <f t="shared" si="9"/>
        <v>-125.77893904821168</v>
      </c>
      <c r="T16" s="66">
        <f t="shared" si="9"/>
        <v>120.12075320154514</v>
      </c>
      <c r="U16" s="66">
        <f t="shared" si="9"/>
        <v>134.64984095040103</v>
      </c>
      <c r="V16" s="66">
        <f t="shared" si="9"/>
        <v>117.91511564424611</v>
      </c>
      <c r="W16" s="66">
        <f t="shared" si="9"/>
        <v>-72.022827688304019</v>
      </c>
      <c r="X16" s="66">
        <f t="shared" si="9"/>
        <v>-55.837839403299952</v>
      </c>
      <c r="Y16" s="66">
        <f t="shared" si="9"/>
        <v>-43.195503629061015</v>
      </c>
      <c r="Z16" s="66">
        <f t="shared" si="9"/>
        <v>-31.142865726654314</v>
      </c>
      <c r="AA16" s="66">
        <f t="shared" si="10"/>
        <v>-27.994234796720836</v>
      </c>
      <c r="AB16" s="66">
        <f t="shared" si="10"/>
        <v>-0.88999867241104924</v>
      </c>
      <c r="AC16" s="66">
        <f t="shared" si="10"/>
        <v>-16.599071867787554</v>
      </c>
      <c r="AD16" s="66">
        <f t="shared" si="10"/>
        <v>43.542717727122735</v>
      </c>
      <c r="AE16" s="66">
        <f t="shared" si="10"/>
        <v>-0.24207591108678198</v>
      </c>
      <c r="AF16" s="66">
        <f t="shared" si="10"/>
        <v>0.27594335335570597</v>
      </c>
      <c r="AG16" s="66">
        <f t="shared" si="10"/>
        <v>6.1504296548198782</v>
      </c>
      <c r="AH16" s="66">
        <f t="shared" si="10"/>
        <v>-13.783352757928197</v>
      </c>
      <c r="AI16" s="66">
        <f t="shared" si="10"/>
        <v>-9.4449348532566937</v>
      </c>
      <c r="AJ16" s="66">
        <f t="shared" si="10"/>
        <v>-10.717101329094476</v>
      </c>
      <c r="AK16" s="66">
        <f t="shared" si="10"/>
        <v>7.5116372100741025</v>
      </c>
      <c r="AL16" s="66">
        <f t="shared" si="10"/>
        <v>4.2946753865636298</v>
      </c>
      <c r="AM16" s="66">
        <f t="shared" si="10"/>
        <v>7.8126392861736047</v>
      </c>
      <c r="AN16" s="66">
        <f t="shared" si="10"/>
        <v>-7.6587355307509988</v>
      </c>
      <c r="AP16" s="24">
        <v>500</v>
      </c>
      <c r="AQ16" s="24" t="s">
        <v>4</v>
      </c>
      <c r="AR16" s="67">
        <f>1574.2-556.01*BP16+71.23472*BP16^2+0.319781*BP16^3-0.8503463*BP16^4-0.005050998*BP16^5+0.00835720731*BP16^6</f>
        <v>14206982.145473685</v>
      </c>
      <c r="AS16" s="67">
        <f t="shared" ref="AS16:BO16" si="17">1574.2-556.01*BQ16+71.23472*BQ16^2+0.319781*BQ16^3-0.8503463*BQ16^4-0.005050998*BQ16^5+0.00835720731*BQ16^6</f>
        <v>14209065.360383525</v>
      </c>
      <c r="AT16" s="67">
        <f t="shared" si="17"/>
        <v>14209065.360383525</v>
      </c>
      <c r="AU16" s="67">
        <f t="shared" si="17"/>
        <v>14211148.828618966</v>
      </c>
      <c r="AV16" s="67">
        <f t="shared" si="17"/>
        <v>14211148.828618966</v>
      </c>
      <c r="AW16" s="67">
        <f t="shared" si="17"/>
        <v>14213232.55020453</v>
      </c>
      <c r="AX16" s="67">
        <f t="shared" si="17"/>
        <v>14213232.55020453</v>
      </c>
      <c r="AY16" s="67">
        <f t="shared" si="17"/>
        <v>14215316.525164735</v>
      </c>
      <c r="AZ16" s="67">
        <f t="shared" si="17"/>
        <v>14215316.525164735</v>
      </c>
      <c r="BA16" s="67">
        <f t="shared" si="17"/>
        <v>14217400.753524112</v>
      </c>
      <c r="BB16" s="67">
        <f t="shared" si="17"/>
        <v>14217400.753524112</v>
      </c>
      <c r="BC16" s="67">
        <f t="shared" si="17"/>
        <v>14219485.235307168</v>
      </c>
      <c r="BD16" s="67">
        <f t="shared" si="17"/>
        <v>14219485.235307168</v>
      </c>
      <c r="BE16" s="67">
        <f t="shared" si="17"/>
        <v>14221569.970538452</v>
      </c>
      <c r="BF16" s="67">
        <f t="shared" si="17"/>
        <v>14221569.970538452</v>
      </c>
      <c r="BG16" s="67">
        <f t="shared" si="17"/>
        <v>14223654.959242441</v>
      </c>
      <c r="BH16" s="67">
        <f t="shared" si="17"/>
        <v>14223654.959242441</v>
      </c>
      <c r="BI16" s="67">
        <f t="shared" si="17"/>
        <v>14225740.201443709</v>
      </c>
      <c r="BJ16" s="67">
        <f t="shared" si="17"/>
        <v>14225740.201443709</v>
      </c>
      <c r="BK16" s="67">
        <f t="shared" si="17"/>
        <v>14227825.697166787</v>
      </c>
      <c r="BL16" s="67">
        <f t="shared" si="17"/>
        <v>14227825.697166787</v>
      </c>
      <c r="BM16" s="67">
        <f t="shared" si="17"/>
        <v>14229911.446436176</v>
      </c>
      <c r="BN16" s="67">
        <f t="shared" si="17"/>
        <v>14229911.446436176</v>
      </c>
      <c r="BO16" s="67">
        <f t="shared" si="17"/>
        <v>14231997.449276399</v>
      </c>
      <c r="BP16" s="68">
        <f t="shared" ref="BP16:CM16" si="18">(Delta_t_Year-1000)/100</f>
        <v>35.122083333333329</v>
      </c>
      <c r="BQ16" s="68">
        <f t="shared" si="18"/>
        <v>35.122916666666669</v>
      </c>
      <c r="BR16" s="68">
        <f t="shared" si="18"/>
        <v>35.122916666666669</v>
      </c>
      <c r="BS16" s="68">
        <f t="shared" si="18"/>
        <v>35.123750000000001</v>
      </c>
      <c r="BT16" s="68">
        <f t="shared" si="18"/>
        <v>35.123750000000001</v>
      </c>
      <c r="BU16" s="68">
        <f t="shared" si="18"/>
        <v>35.124583333333334</v>
      </c>
      <c r="BV16" s="68">
        <f t="shared" si="18"/>
        <v>35.124583333333334</v>
      </c>
      <c r="BW16" s="68">
        <f t="shared" si="18"/>
        <v>35.125416666666666</v>
      </c>
      <c r="BX16" s="68">
        <f t="shared" si="18"/>
        <v>35.125416666666666</v>
      </c>
      <c r="BY16" s="68">
        <f t="shared" si="18"/>
        <v>35.126249999999999</v>
      </c>
      <c r="BZ16" s="68">
        <f t="shared" si="18"/>
        <v>35.126249999999999</v>
      </c>
      <c r="CA16" s="68">
        <f t="shared" si="18"/>
        <v>35.127083333333331</v>
      </c>
      <c r="CB16" s="68">
        <f t="shared" si="18"/>
        <v>35.127083333333331</v>
      </c>
      <c r="CC16" s="68">
        <f t="shared" si="18"/>
        <v>35.127916666666671</v>
      </c>
      <c r="CD16" s="68">
        <f t="shared" si="18"/>
        <v>35.127916666666671</v>
      </c>
      <c r="CE16" s="68">
        <f t="shared" si="18"/>
        <v>35.128749999999997</v>
      </c>
      <c r="CF16" s="68">
        <f t="shared" si="18"/>
        <v>35.128749999999997</v>
      </c>
      <c r="CG16" s="68">
        <f t="shared" si="18"/>
        <v>35.129583333333329</v>
      </c>
      <c r="CH16" s="68">
        <f t="shared" si="18"/>
        <v>35.129583333333329</v>
      </c>
      <c r="CI16" s="68">
        <f t="shared" si="18"/>
        <v>35.130416666666669</v>
      </c>
      <c r="CJ16" s="68">
        <f t="shared" si="18"/>
        <v>35.130416666666669</v>
      </c>
      <c r="CK16" s="68">
        <f t="shared" si="18"/>
        <v>35.131250000000001</v>
      </c>
      <c r="CL16" s="68">
        <f t="shared" si="18"/>
        <v>35.131250000000001</v>
      </c>
      <c r="CM16" s="68">
        <f t="shared" si="18"/>
        <v>35.132083333333327</v>
      </c>
      <c r="CN16" s="27"/>
      <c r="CO16" s="45"/>
      <c r="CP16" s="45"/>
      <c r="CQ16" s="45"/>
      <c r="CR16" s="45"/>
      <c r="CS16" s="45"/>
      <c r="CT16" s="45"/>
      <c r="CU16" s="45"/>
      <c r="CV16" s="45"/>
      <c r="CW16" s="45"/>
      <c r="CX16" s="45"/>
      <c r="CY16" s="45"/>
      <c r="CZ16" s="45"/>
      <c r="DA16" s="45"/>
      <c r="DB16" s="45"/>
      <c r="DC16" s="45"/>
      <c r="DD16" s="45"/>
    </row>
    <row r="17" spans="2:108" ht="40.049999999999997" customHeight="1">
      <c r="B17" s="35"/>
      <c r="D17" s="43" t="str">
        <f t="shared" si="0"/>
        <v>立冬</v>
      </c>
      <c r="E17" s="41">
        <f t="shared" ca="1" si="1"/>
        <v>954325.50545559078</v>
      </c>
      <c r="F17" s="37"/>
      <c r="G17" s="37"/>
      <c r="H17" s="69" t="s">
        <v>49</v>
      </c>
      <c r="I17" s="54">
        <f t="shared" si="5"/>
        <v>1.3711889026477211</v>
      </c>
      <c r="J17" s="55">
        <f>IF(m_flag=1,$B$7-callp,IF(m_flag=2,2*$B$7-callp,callp))</f>
        <v>77.936797316823757</v>
      </c>
      <c r="K17" s="56">
        <f t="shared" si="6"/>
        <v>3369157.7678617137</v>
      </c>
      <c r="L17" s="57">
        <f t="shared" ca="1" si="13"/>
        <v>3369157.8332525007</v>
      </c>
      <c r="M17" s="58">
        <f t="shared" si="7"/>
        <v>-6.7578015199026744E-4</v>
      </c>
      <c r="N17" s="58">
        <f t="shared" ca="1" si="8"/>
        <v>23091.848611770434</v>
      </c>
      <c r="O17" s="59">
        <f ca="1">IF(Date_y&gt;=1900,DATE(Date_y,Date_m,Date_d)+MOD(Date_d,1),Date_y&amp;"-"&amp;TEXT(Date_m,"00")&amp;"-"&amp;TEXT(INT(Date_d),"00")&amp;"     "&amp;TEXT(MOD(Date_d,1),"hh:mm:ss"))</f>
        <v>954139.33325250074</v>
      </c>
      <c r="P17" s="64">
        <f t="shared" si="14"/>
        <v>-67.726570918704226</v>
      </c>
      <c r="Q17" s="66">
        <f t="shared" si="9"/>
        <v>348.90433412468991</v>
      </c>
      <c r="R17" s="66">
        <f t="shared" si="9"/>
        <v>-153.66053314169503</v>
      </c>
      <c r="S17" s="66">
        <f t="shared" si="9"/>
        <v>-125.80134021100911</v>
      </c>
      <c r="T17" s="66">
        <f t="shared" si="9"/>
        <v>-128.47348386691766</v>
      </c>
      <c r="U17" s="66">
        <f t="shared" si="9"/>
        <v>102.55141844205275</v>
      </c>
      <c r="V17" s="66">
        <f t="shared" si="9"/>
        <v>127.30391773956767</v>
      </c>
      <c r="W17" s="66">
        <f t="shared" si="9"/>
        <v>-76.509310000891418</v>
      </c>
      <c r="X17" s="66">
        <f t="shared" si="9"/>
        <v>-54.763976137720974</v>
      </c>
      <c r="Y17" s="66">
        <f t="shared" si="9"/>
        <v>-46.684272267029009</v>
      </c>
      <c r="Z17" s="66">
        <f t="shared" si="9"/>
        <v>-41.987555858688538</v>
      </c>
      <c r="AA17" s="66">
        <f t="shared" si="10"/>
        <v>-28.04173774000817</v>
      </c>
      <c r="AB17" s="66">
        <f t="shared" si="10"/>
        <v>-1.7105780736234411</v>
      </c>
      <c r="AC17" s="66">
        <f t="shared" si="10"/>
        <v>-25.155233820428545</v>
      </c>
      <c r="AD17" s="66">
        <f t="shared" si="10"/>
        <v>41.000147595038271</v>
      </c>
      <c r="AE17" s="66">
        <f t="shared" si="10"/>
        <v>-1.1691235047920909</v>
      </c>
      <c r="AF17" s="66">
        <f t="shared" si="10"/>
        <v>8.6534549720249672</v>
      </c>
      <c r="AG17" s="66">
        <f t="shared" si="10"/>
        <v>5.6268308986918267</v>
      </c>
      <c r="AH17" s="66">
        <f t="shared" si="10"/>
        <v>-8.8419472048721222</v>
      </c>
      <c r="AI17" s="66">
        <f t="shared" si="10"/>
        <v>-11.522354706940412</v>
      </c>
      <c r="AJ17" s="66">
        <f t="shared" si="10"/>
        <v>-10.092844267278025</v>
      </c>
      <c r="AK17" s="66">
        <f t="shared" si="10"/>
        <v>5.1825022053345906</v>
      </c>
      <c r="AL17" s="66">
        <f t="shared" si="10"/>
        <v>6.9361276668341123</v>
      </c>
      <c r="AM17" s="66">
        <f t="shared" si="10"/>
        <v>7.8516332163481168</v>
      </c>
      <c r="AN17" s="66">
        <f t="shared" si="10"/>
        <v>-7.3226469773918952</v>
      </c>
      <c r="AP17" s="24">
        <v>1600</v>
      </c>
      <c r="AQ17" s="24" t="s">
        <v>5</v>
      </c>
      <c r="AR17" s="67">
        <f t="shared" ref="AR17:BO17" si="19">120-0.9808*BP17-0.01532*BP17^2+BP17^3/7129</f>
        <v>3331820.6048813709</v>
      </c>
      <c r="AS17" s="67">
        <f t="shared" si="19"/>
        <v>3332110.506198098</v>
      </c>
      <c r="AT17" s="67">
        <f t="shared" si="19"/>
        <v>3332110.506198098</v>
      </c>
      <c r="AU17" s="67">
        <f t="shared" si="19"/>
        <v>3332400.4243234331</v>
      </c>
      <c r="AV17" s="67">
        <f t="shared" si="19"/>
        <v>3332400.4243234331</v>
      </c>
      <c r="AW17" s="67">
        <f t="shared" si="19"/>
        <v>3332690.3592578676</v>
      </c>
      <c r="AX17" s="67">
        <f t="shared" si="19"/>
        <v>3332690.3592578676</v>
      </c>
      <c r="AY17" s="67">
        <f t="shared" si="19"/>
        <v>3332980.3110018908</v>
      </c>
      <c r="AZ17" s="67">
        <f t="shared" si="19"/>
        <v>3332980.3110018908</v>
      </c>
      <c r="BA17" s="67">
        <f t="shared" si="19"/>
        <v>3333270.2795559838</v>
      </c>
      <c r="BB17" s="67">
        <f t="shared" si="19"/>
        <v>3333270.2795559838</v>
      </c>
      <c r="BC17" s="67">
        <f t="shared" si="19"/>
        <v>3333560.264920637</v>
      </c>
      <c r="BD17" s="67">
        <f t="shared" si="19"/>
        <v>3333560.264920637</v>
      </c>
      <c r="BE17" s="67">
        <f t="shared" si="19"/>
        <v>3333850.2670963411</v>
      </c>
      <c r="BF17" s="67">
        <f t="shared" si="19"/>
        <v>3333850.2670963411</v>
      </c>
      <c r="BG17" s="67">
        <f t="shared" si="19"/>
        <v>3334140.2860835753</v>
      </c>
      <c r="BH17" s="67">
        <f t="shared" si="19"/>
        <v>3334140.2860835753</v>
      </c>
      <c r="BI17" s="67">
        <f t="shared" si="19"/>
        <v>3334430.3218828314</v>
      </c>
      <c r="BJ17" s="67">
        <f t="shared" si="19"/>
        <v>3334430.3218828314</v>
      </c>
      <c r="BK17" s="67">
        <f t="shared" si="19"/>
        <v>3334720.3744945982</v>
      </c>
      <c r="BL17" s="67">
        <f t="shared" si="19"/>
        <v>3334720.3744945982</v>
      </c>
      <c r="BM17" s="67">
        <f t="shared" si="19"/>
        <v>3335010.4439193569</v>
      </c>
      <c r="BN17" s="67">
        <f t="shared" si="19"/>
        <v>3335010.4439193569</v>
      </c>
      <c r="BO17" s="67">
        <f t="shared" si="19"/>
        <v>3335300.5301575977</v>
      </c>
      <c r="BP17" s="68">
        <f t="shared" ref="BP17:CM17" si="20">Delta_t_Year-1600</f>
        <v>2912.208333333333</v>
      </c>
      <c r="BQ17" s="68">
        <f t="shared" si="20"/>
        <v>2912.291666666667</v>
      </c>
      <c r="BR17" s="68">
        <f t="shared" si="20"/>
        <v>2912.291666666667</v>
      </c>
      <c r="BS17" s="68">
        <f t="shared" si="20"/>
        <v>2912.375</v>
      </c>
      <c r="BT17" s="68">
        <f t="shared" si="20"/>
        <v>2912.375</v>
      </c>
      <c r="BU17" s="68">
        <f t="shared" si="20"/>
        <v>2912.458333333333</v>
      </c>
      <c r="BV17" s="68">
        <f t="shared" si="20"/>
        <v>2912.458333333333</v>
      </c>
      <c r="BW17" s="68">
        <f t="shared" si="20"/>
        <v>2912.541666666667</v>
      </c>
      <c r="BX17" s="68">
        <f t="shared" si="20"/>
        <v>2912.541666666667</v>
      </c>
      <c r="BY17" s="68">
        <f t="shared" si="20"/>
        <v>2912.625</v>
      </c>
      <c r="BZ17" s="68">
        <f t="shared" si="20"/>
        <v>2912.625</v>
      </c>
      <c r="CA17" s="68">
        <f t="shared" si="20"/>
        <v>2912.708333333333</v>
      </c>
      <c r="CB17" s="68">
        <f t="shared" si="20"/>
        <v>2912.708333333333</v>
      </c>
      <c r="CC17" s="68">
        <f t="shared" si="20"/>
        <v>2912.791666666667</v>
      </c>
      <c r="CD17" s="68">
        <f t="shared" si="20"/>
        <v>2912.791666666667</v>
      </c>
      <c r="CE17" s="68">
        <f t="shared" si="20"/>
        <v>2912.875</v>
      </c>
      <c r="CF17" s="68">
        <f t="shared" si="20"/>
        <v>2912.875</v>
      </c>
      <c r="CG17" s="68">
        <f t="shared" si="20"/>
        <v>2912.958333333333</v>
      </c>
      <c r="CH17" s="68">
        <f t="shared" si="20"/>
        <v>2912.958333333333</v>
      </c>
      <c r="CI17" s="68">
        <f t="shared" si="20"/>
        <v>2913.041666666667</v>
      </c>
      <c r="CJ17" s="68">
        <f t="shared" si="20"/>
        <v>2913.041666666667</v>
      </c>
      <c r="CK17" s="68">
        <f t="shared" si="20"/>
        <v>2913.125</v>
      </c>
      <c r="CL17" s="68">
        <f t="shared" si="20"/>
        <v>2913.125</v>
      </c>
      <c r="CM17" s="68">
        <f t="shared" si="20"/>
        <v>2913.208333333333</v>
      </c>
      <c r="CN17" s="27"/>
      <c r="CO17" s="9" t="s">
        <v>26</v>
      </c>
    </row>
    <row r="18" spans="2:108" ht="40.049999999999997" customHeight="1">
      <c r="B18" s="35"/>
      <c r="D18" s="43" t="str">
        <f t="shared" si="0"/>
        <v>小雪</v>
      </c>
      <c r="E18" s="41">
        <f t="shared" ca="1" si="1"/>
        <v>954340.75327381818</v>
      </c>
      <c r="F18" s="37"/>
      <c r="G18" s="37"/>
      <c r="H18" s="69" t="s">
        <v>62</v>
      </c>
      <c r="I18" s="54">
        <f t="shared" si="5"/>
        <v>1.6329882904468707</v>
      </c>
      <c r="J18" s="55">
        <f>IF(m_flag=1,$B$7-callp,IF(m_flag=2,2*$B$7-callp,callp))</f>
        <v>93.117371962090161</v>
      </c>
      <c r="K18" s="56">
        <f t="shared" si="6"/>
        <v>3369172.9484363589</v>
      </c>
      <c r="L18" s="57">
        <f t="shared" ca="1" si="13"/>
        <v>3369173.0159183065</v>
      </c>
      <c r="M18" s="58">
        <f t="shared" si="7"/>
        <v>1.4153803985322688E-3</v>
      </c>
      <c r="N18" s="58">
        <f t="shared" ca="1" si="8"/>
        <v>23091.848611770434</v>
      </c>
      <c r="O18" s="59">
        <f ca="1">IF(Date_y&gt;=1900,DATE(Date_y,Date_m,Date_d)+MOD(Date_d,1),Date_y&amp;"-"&amp;TEXT(Date_m,"00")&amp;"-"&amp;TEXT(INT(Date_d),"00")&amp;"     "&amp;TEXT(MOD(Date_d,1),"hh:mm:ss"))</f>
        <v>954154.51591830654</v>
      </c>
      <c r="P18" s="64">
        <f t="shared" si="14"/>
        <v>140.62387625791399</v>
      </c>
      <c r="Q18" s="66">
        <f t="shared" si="9"/>
        <v>353.59637181621849</v>
      </c>
      <c r="R18" s="66">
        <f t="shared" si="9"/>
        <v>-180.70779727556459</v>
      </c>
      <c r="S18" s="66">
        <f t="shared" si="9"/>
        <v>-125.82391689479603</v>
      </c>
      <c r="T18" s="66">
        <f t="shared" si="9"/>
        <v>139.3480602644247</v>
      </c>
      <c r="U18" s="66">
        <f t="shared" si="9"/>
        <v>59.401996239220033</v>
      </c>
      <c r="V18" s="66">
        <f t="shared" si="9"/>
        <v>133.39093371697845</v>
      </c>
      <c r="W18" s="66">
        <f t="shared" si="9"/>
        <v>-63.930947356548735</v>
      </c>
      <c r="X18" s="66">
        <f t="shared" si="9"/>
        <v>-53.655135019632297</v>
      </c>
      <c r="Y18" s="66">
        <f t="shared" si="9"/>
        <v>-50.000978588980985</v>
      </c>
      <c r="Z18" s="66">
        <f t="shared" si="9"/>
        <v>-50.427378114612239</v>
      </c>
      <c r="AA18" s="66">
        <f t="shared" si="10"/>
        <v>-28.089585214111096</v>
      </c>
      <c r="AB18" s="66">
        <f t="shared" si="10"/>
        <v>-2.5372182711699018</v>
      </c>
      <c r="AC18" s="66">
        <f t="shared" si="10"/>
        <v>-32.602027729470585</v>
      </c>
      <c r="AD18" s="66">
        <f t="shared" si="10"/>
        <v>36.307262834510787</v>
      </c>
      <c r="AE18" s="66">
        <f t="shared" si="10"/>
        <v>-2.1023337498523014</v>
      </c>
      <c r="AF18" s="66">
        <f t="shared" si="10"/>
        <v>15.063766421333783</v>
      </c>
      <c r="AG18" s="66">
        <f t="shared" si="10"/>
        <v>5.0929298954484219</v>
      </c>
      <c r="AH18" s="66">
        <f t="shared" si="10"/>
        <v>-2.0626540532024684</v>
      </c>
      <c r="AI18" s="66">
        <f t="shared" si="10"/>
        <v>-13.021781360714378</v>
      </c>
      <c r="AJ18" s="66">
        <f t="shared" si="10"/>
        <v>-9.3513275610784561</v>
      </c>
      <c r="AK18" s="66">
        <f t="shared" si="10"/>
        <v>2.5594543326343864</v>
      </c>
      <c r="AL18" s="66">
        <f t="shared" si="10"/>
        <v>9.1608081996423643</v>
      </c>
      <c r="AM18" s="66">
        <f t="shared" si="10"/>
        <v>7.8903227159209468</v>
      </c>
      <c r="AN18" s="66">
        <f t="shared" si="10"/>
        <v>-6.8749489886842969</v>
      </c>
      <c r="AP18" s="24">
        <v>1700</v>
      </c>
      <c r="AQ18" s="24" t="s">
        <v>6</v>
      </c>
      <c r="AR18" s="67">
        <f t="shared" ref="AR18:BO18" si="21">8.83+0.1603*BP18-0.0059285*BP18^2+0.00013336*BP18^3-BP18^4/1174000</f>
        <v>-50355251.809192628</v>
      </c>
      <c r="AS18" s="67">
        <f t="shared" si="21"/>
        <v>-50361305.883320495</v>
      </c>
      <c r="AT18" s="67">
        <f t="shared" si="21"/>
        <v>-50361305.883320495</v>
      </c>
      <c r="AU18" s="67">
        <f t="shared" si="21"/>
        <v>-50367360.503302336</v>
      </c>
      <c r="AV18" s="67">
        <f t="shared" si="21"/>
        <v>-50367360.503302336</v>
      </c>
      <c r="AW18" s="67">
        <f t="shared" si="21"/>
        <v>-50373415.66917102</v>
      </c>
      <c r="AX18" s="67">
        <f t="shared" si="21"/>
        <v>-50373415.66917102</v>
      </c>
      <c r="AY18" s="67">
        <f t="shared" si="21"/>
        <v>-50379471.380959444</v>
      </c>
      <c r="AZ18" s="67">
        <f t="shared" si="21"/>
        <v>-50379471.380959444</v>
      </c>
      <c r="BA18" s="67">
        <f t="shared" si="21"/>
        <v>-50385527.638700262</v>
      </c>
      <c r="BB18" s="67">
        <f t="shared" si="21"/>
        <v>-50385527.638700262</v>
      </c>
      <c r="BC18" s="67">
        <f t="shared" si="21"/>
        <v>-50391584.442426354</v>
      </c>
      <c r="BD18" s="67">
        <f t="shared" si="21"/>
        <v>-50391584.442426354</v>
      </c>
      <c r="BE18" s="67">
        <f t="shared" si="21"/>
        <v>-50397641.792170592</v>
      </c>
      <c r="BF18" s="67">
        <f t="shared" si="21"/>
        <v>-50397641.792170592</v>
      </c>
      <c r="BG18" s="67">
        <f t="shared" si="21"/>
        <v>-50403699.687965684</v>
      </c>
      <c r="BH18" s="67">
        <f t="shared" si="21"/>
        <v>-50403699.687965684</v>
      </c>
      <c r="BI18" s="67">
        <f t="shared" si="21"/>
        <v>-50409758.129844487</v>
      </c>
      <c r="BJ18" s="67">
        <f t="shared" si="21"/>
        <v>-50409758.129844487</v>
      </c>
      <c r="BK18" s="67">
        <f t="shared" si="21"/>
        <v>-50415817.117839888</v>
      </c>
      <c r="BL18" s="67">
        <f t="shared" si="21"/>
        <v>-50415817.117839888</v>
      </c>
      <c r="BM18" s="67">
        <f t="shared" si="21"/>
        <v>-50421876.651984558</v>
      </c>
      <c r="BN18" s="67">
        <f t="shared" si="21"/>
        <v>-50421876.651984558</v>
      </c>
      <c r="BO18" s="67">
        <f t="shared" si="21"/>
        <v>-50427936.732311398</v>
      </c>
      <c r="BP18" s="68">
        <f t="shared" ref="BP18:CM18" si="22">Delta_t_Year-1700</f>
        <v>2812.208333333333</v>
      </c>
      <c r="BQ18" s="68">
        <f t="shared" si="22"/>
        <v>2812.291666666667</v>
      </c>
      <c r="BR18" s="68">
        <f t="shared" si="22"/>
        <v>2812.291666666667</v>
      </c>
      <c r="BS18" s="68">
        <f t="shared" si="22"/>
        <v>2812.375</v>
      </c>
      <c r="BT18" s="68">
        <f t="shared" si="22"/>
        <v>2812.375</v>
      </c>
      <c r="BU18" s="68">
        <f t="shared" si="22"/>
        <v>2812.458333333333</v>
      </c>
      <c r="BV18" s="68">
        <f t="shared" si="22"/>
        <v>2812.458333333333</v>
      </c>
      <c r="BW18" s="68">
        <f t="shared" si="22"/>
        <v>2812.541666666667</v>
      </c>
      <c r="BX18" s="68">
        <f t="shared" si="22"/>
        <v>2812.541666666667</v>
      </c>
      <c r="BY18" s="68">
        <f t="shared" si="22"/>
        <v>2812.625</v>
      </c>
      <c r="BZ18" s="68">
        <f t="shared" si="22"/>
        <v>2812.625</v>
      </c>
      <c r="CA18" s="68">
        <f t="shared" si="22"/>
        <v>2812.708333333333</v>
      </c>
      <c r="CB18" s="68">
        <f t="shared" si="22"/>
        <v>2812.708333333333</v>
      </c>
      <c r="CC18" s="68">
        <f t="shared" si="22"/>
        <v>2812.791666666667</v>
      </c>
      <c r="CD18" s="68">
        <f t="shared" si="22"/>
        <v>2812.791666666667</v>
      </c>
      <c r="CE18" s="68">
        <f t="shared" si="22"/>
        <v>2812.875</v>
      </c>
      <c r="CF18" s="68">
        <f t="shared" si="22"/>
        <v>2812.875</v>
      </c>
      <c r="CG18" s="68">
        <f t="shared" si="22"/>
        <v>2812.958333333333</v>
      </c>
      <c r="CH18" s="68">
        <f t="shared" si="22"/>
        <v>2812.958333333333</v>
      </c>
      <c r="CI18" s="68">
        <f t="shared" si="22"/>
        <v>2813.041666666667</v>
      </c>
      <c r="CJ18" s="68">
        <f t="shared" si="22"/>
        <v>2813.041666666667</v>
      </c>
      <c r="CK18" s="68">
        <f t="shared" si="22"/>
        <v>2813.125</v>
      </c>
      <c r="CL18" s="68">
        <f t="shared" si="22"/>
        <v>2813.125</v>
      </c>
      <c r="CM18" s="68">
        <f t="shared" si="22"/>
        <v>2813.208333333333</v>
      </c>
      <c r="CN18" s="27"/>
    </row>
    <row r="19" spans="2:108" ht="40.049999999999997" customHeight="1">
      <c r="B19" s="35"/>
      <c r="D19" s="43" t="str">
        <f t="shared" si="0"/>
        <v>大雪</v>
      </c>
      <c r="E19" s="41">
        <f t="shared" ca="1" si="1"/>
        <v>954355.87581061246</v>
      </c>
      <c r="F19" s="37"/>
      <c r="G19" s="37"/>
      <c r="H19" s="69" t="s">
        <v>63</v>
      </c>
      <c r="I19" s="54">
        <f t="shared" si="5"/>
        <v>1.8947876782460202</v>
      </c>
      <c r="J19" s="55">
        <f>IF(m_flag=1,$B$7-callp,IF(m_flag=2,2*$B$7-callp,callp))</f>
        <v>108.42141676724043</v>
      </c>
      <c r="K19" s="56">
        <f t="shared" si="6"/>
        <v>3369188.2524811644</v>
      </c>
      <c r="L19" s="57">
        <f t="shared" ca="1" si="13"/>
        <v>3369188.316545323</v>
      </c>
      <c r="M19" s="58">
        <f t="shared" si="7"/>
        <v>-1.9858524196439587E-3</v>
      </c>
      <c r="N19" s="58">
        <f t="shared" ca="1" si="8"/>
        <v>23093.2790552406</v>
      </c>
      <c r="O19" s="59">
        <f ca="1">IF(Date_y&gt;=1900,DATE(Date_y,Date_m,Date_d)+MOD(Date_d,1),Date_y&amp;"-"&amp;TEXT(Date_m,"00")&amp;"-"&amp;TEXT(INT(Date_d),"00")&amp;"     "&amp;TEXT(MOD(Date_d,1),"hh:mm:ss"))</f>
        <v>954169.816545323</v>
      </c>
      <c r="P19" s="64">
        <f t="shared" si="14"/>
        <v>-195.68408491541999</v>
      </c>
      <c r="Q19" s="66">
        <f t="shared" si="9"/>
        <v>358.25611531296261</v>
      </c>
      <c r="R19" s="66">
        <f t="shared" si="9"/>
        <v>-197.56250416593903</v>
      </c>
      <c r="S19" s="66">
        <f t="shared" si="9"/>
        <v>-125.84667447365328</v>
      </c>
      <c r="T19" s="66">
        <f t="shared" si="9"/>
        <v>-151.8241876770027</v>
      </c>
      <c r="U19" s="66">
        <f t="shared" si="9"/>
        <v>9.5550702453427245</v>
      </c>
      <c r="V19" s="66">
        <f t="shared" si="9"/>
        <v>135.93245943827674</v>
      </c>
      <c r="W19" s="66">
        <f t="shared" si="9"/>
        <v>-36.743993183242956</v>
      </c>
      <c r="X19" s="66">
        <f t="shared" si="9"/>
        <v>-52.510954922365904</v>
      </c>
      <c r="Y19" s="66">
        <f t="shared" si="9"/>
        <v>-53.127177539462423</v>
      </c>
      <c r="Z19" s="66">
        <f t="shared" si="9"/>
        <v>-55.896328154783276</v>
      </c>
      <c r="AA19" s="66">
        <f t="shared" si="10"/>
        <v>-28.137787883705723</v>
      </c>
      <c r="AB19" s="66">
        <f t="shared" si="10"/>
        <v>-3.369878009220578</v>
      </c>
      <c r="AC19" s="66">
        <f t="shared" si="10"/>
        <v>-38.559149379669961</v>
      </c>
      <c r="AD19" s="66">
        <f t="shared" si="10"/>
        <v>29.659790243834873</v>
      </c>
      <c r="AE19" s="66">
        <f t="shared" si="10"/>
        <v>-3.0409208416382567</v>
      </c>
      <c r="AF19" s="66">
        <f t="shared" si="10"/>
        <v>17.934683853257003</v>
      </c>
      <c r="AG19" s="66">
        <f t="shared" si="10"/>
        <v>4.5490418664469452</v>
      </c>
      <c r="AH19" s="66">
        <f t="shared" si="10"/>
        <v>5.1947690047601993</v>
      </c>
      <c r="AI19" s="66">
        <f t="shared" si="10"/>
        <v>-13.850767342160022</v>
      </c>
      <c r="AJ19" s="66">
        <f t="shared" si="10"/>
        <v>-8.498053435214997</v>
      </c>
      <c r="AK19" s="66">
        <f t="shared" si="10"/>
        <v>-0.22290779812849498</v>
      </c>
      <c r="AL19" s="66">
        <f t="shared" si="10"/>
        <v>10.816251409776548</v>
      </c>
      <c r="AM19" s="66">
        <f t="shared" si="10"/>
        <v>7.9286991935422586</v>
      </c>
      <c r="AN19" s="66">
        <f t="shared" si="10"/>
        <v>-6.3196806774322445</v>
      </c>
      <c r="AP19" s="24">
        <v>1800</v>
      </c>
      <c r="AQ19" s="24" t="s">
        <v>7</v>
      </c>
      <c r="AR19" s="67">
        <f t="shared" ref="AR19:BO19" si="23">13.72-0.332447*BP19+0.0068612*BP19^2+0.0041116*BP19^3-0.00037436*BP19^4</f>
        <v>-20175221971.948456</v>
      </c>
      <c r="AS19" s="67">
        <f t="shared" si="23"/>
        <v>-20177704166.486641</v>
      </c>
      <c r="AT19" s="67">
        <f t="shared" si="23"/>
        <v>-20177704166.486641</v>
      </c>
      <c r="AU19" s="67">
        <f t="shared" si="23"/>
        <v>-20180186590.059147</v>
      </c>
      <c r="AV19" s="67">
        <f t="shared" si="23"/>
        <v>-20180186590.059147</v>
      </c>
      <c r="AW19" s="67">
        <f t="shared" si="23"/>
        <v>-20182669242.680069</v>
      </c>
      <c r="AX19" s="67">
        <f t="shared" si="23"/>
        <v>-20182669242.680069</v>
      </c>
      <c r="AY19" s="67">
        <f t="shared" si="23"/>
        <v>-20185152124.363537</v>
      </c>
      <c r="AZ19" s="67">
        <f t="shared" si="23"/>
        <v>-20185152124.363537</v>
      </c>
      <c r="BA19" s="67">
        <f t="shared" si="23"/>
        <v>-20187635235.123573</v>
      </c>
      <c r="BB19" s="67">
        <f t="shared" si="23"/>
        <v>-20187635235.123573</v>
      </c>
      <c r="BC19" s="67">
        <f t="shared" si="23"/>
        <v>-20190118574.974304</v>
      </c>
      <c r="BD19" s="67">
        <f t="shared" si="23"/>
        <v>-20190118574.974304</v>
      </c>
      <c r="BE19" s="67">
        <f t="shared" si="23"/>
        <v>-20192602143.929844</v>
      </c>
      <c r="BF19" s="67">
        <f t="shared" si="23"/>
        <v>-20192602143.929844</v>
      </c>
      <c r="BG19" s="67">
        <f t="shared" si="23"/>
        <v>-20195085942.00423</v>
      </c>
      <c r="BH19" s="67">
        <f t="shared" si="23"/>
        <v>-20195085942.00423</v>
      </c>
      <c r="BI19" s="67">
        <f t="shared" si="23"/>
        <v>-20197569969.211582</v>
      </c>
      <c r="BJ19" s="67">
        <f t="shared" si="23"/>
        <v>-20197569969.211582</v>
      </c>
      <c r="BK19" s="67">
        <f t="shared" si="23"/>
        <v>-20200054225.566013</v>
      </c>
      <c r="BL19" s="67">
        <f t="shared" si="23"/>
        <v>-20200054225.566013</v>
      </c>
      <c r="BM19" s="67">
        <f t="shared" si="23"/>
        <v>-20202538711.081566</v>
      </c>
      <c r="BN19" s="67">
        <f t="shared" si="23"/>
        <v>-20202538711.081566</v>
      </c>
      <c r="BO19" s="67">
        <f t="shared" si="23"/>
        <v>-20205023425.772362</v>
      </c>
      <c r="BP19" s="68">
        <f t="shared" ref="BP19:CM19" si="24">Delta_t_Year-1800</f>
        <v>2712.208333333333</v>
      </c>
      <c r="BQ19" s="68">
        <f t="shared" si="24"/>
        <v>2712.291666666667</v>
      </c>
      <c r="BR19" s="68">
        <f t="shared" si="24"/>
        <v>2712.291666666667</v>
      </c>
      <c r="BS19" s="68">
        <f t="shared" si="24"/>
        <v>2712.375</v>
      </c>
      <c r="BT19" s="68">
        <f t="shared" si="24"/>
        <v>2712.375</v>
      </c>
      <c r="BU19" s="68">
        <f t="shared" si="24"/>
        <v>2712.458333333333</v>
      </c>
      <c r="BV19" s="68">
        <f t="shared" si="24"/>
        <v>2712.458333333333</v>
      </c>
      <c r="BW19" s="68">
        <f t="shared" si="24"/>
        <v>2712.541666666667</v>
      </c>
      <c r="BX19" s="68">
        <f t="shared" si="24"/>
        <v>2712.541666666667</v>
      </c>
      <c r="BY19" s="68">
        <f t="shared" si="24"/>
        <v>2712.625</v>
      </c>
      <c r="BZ19" s="68">
        <f t="shared" si="24"/>
        <v>2712.625</v>
      </c>
      <c r="CA19" s="68">
        <f t="shared" si="24"/>
        <v>2712.708333333333</v>
      </c>
      <c r="CB19" s="68">
        <f t="shared" si="24"/>
        <v>2712.708333333333</v>
      </c>
      <c r="CC19" s="68">
        <f t="shared" si="24"/>
        <v>2712.791666666667</v>
      </c>
      <c r="CD19" s="68">
        <f t="shared" si="24"/>
        <v>2712.791666666667</v>
      </c>
      <c r="CE19" s="68">
        <f t="shared" si="24"/>
        <v>2712.875</v>
      </c>
      <c r="CF19" s="68">
        <f t="shared" si="24"/>
        <v>2712.875</v>
      </c>
      <c r="CG19" s="68">
        <f t="shared" si="24"/>
        <v>2712.958333333333</v>
      </c>
      <c r="CH19" s="68">
        <f t="shared" si="24"/>
        <v>2712.958333333333</v>
      </c>
      <c r="CI19" s="68">
        <f t="shared" si="24"/>
        <v>2713.041666666667</v>
      </c>
      <c r="CJ19" s="68">
        <f t="shared" si="24"/>
        <v>2713.041666666667</v>
      </c>
      <c r="CK19" s="68">
        <f t="shared" si="24"/>
        <v>2713.125</v>
      </c>
      <c r="CL19" s="68">
        <f t="shared" si="24"/>
        <v>2713.125</v>
      </c>
      <c r="CM19" s="68">
        <f t="shared" si="24"/>
        <v>2713.208333333333</v>
      </c>
      <c r="CN19" s="27"/>
    </row>
    <row r="20" spans="2:108" ht="40.049999999999997" customHeight="1">
      <c r="B20" s="35"/>
      <c r="D20" s="43" t="str">
        <f t="shared" si="0"/>
        <v>冬至</v>
      </c>
      <c r="E20" s="41">
        <f t="shared" ca="1" si="1"/>
        <v>954370.88492466835</v>
      </c>
      <c r="F20" s="37"/>
      <c r="G20" s="37"/>
      <c r="H20" s="69" t="s">
        <v>50</v>
      </c>
      <c r="I20" s="54">
        <f t="shared" si="5"/>
        <v>2.1565870660451694</v>
      </c>
      <c r="J20" s="55">
        <f>IF(m_flag=1,$B$7-callp,IF(m_flag=2,2*$B$7-callp,callp))</f>
        <v>123.84412659686329</v>
      </c>
      <c r="K20" s="56">
        <f t="shared" si="6"/>
        <v>3369203.6751909941</v>
      </c>
      <c r="L20" s="57">
        <f t="shared" ca="1" si="13"/>
        <v>3369203.7421501842</v>
      </c>
      <c r="M20" s="58">
        <f t="shared" si="7"/>
        <v>9.0917896375184587E-4</v>
      </c>
      <c r="N20" s="58">
        <f t="shared" ca="1" si="8"/>
        <v>23093.2790552406</v>
      </c>
      <c r="O20" s="59">
        <f ca="1">IF(Date_y&gt;=1900,DATE(Date_y,Date_m,Date_d)+MOD(Date_d,1),Date_y&amp;"-"&amp;TEXT(Date_m,"00")&amp;"-"&amp;TEXT(INT(Date_d),"00")&amp;"     "&amp;TEXT(MOD(Date_d,1),"hh:mm:ss"))</f>
        <v>954185.24215018423</v>
      </c>
      <c r="P20" s="64">
        <f t="shared" si="14"/>
        <v>88.943934963575344</v>
      </c>
      <c r="Q20" s="66">
        <f t="shared" si="9"/>
        <v>362.87947992389127</v>
      </c>
      <c r="R20" s="66">
        <f t="shared" si="9"/>
        <v>-202.98780241605371</v>
      </c>
      <c r="S20" s="66">
        <f t="shared" si="9"/>
        <v>-125.86960573663336</v>
      </c>
      <c r="T20" s="66">
        <f t="shared" si="9"/>
        <v>164.33459462169623</v>
      </c>
      <c r="U20" s="66">
        <f t="shared" si="9"/>
        <v>-41.703013413908451</v>
      </c>
      <c r="V20" s="66">
        <f t="shared" si="9"/>
        <v>134.77287698911496</v>
      </c>
      <c r="W20" s="66">
        <f t="shared" si="9"/>
        <v>-0.89206359009976455</v>
      </c>
      <c r="X20" s="66">
        <f t="shared" si="9"/>
        <v>-51.331738124871123</v>
      </c>
      <c r="Y20" s="66">
        <f t="shared" si="9"/>
        <v>-56.042901652104632</v>
      </c>
      <c r="Z20" s="66">
        <f t="shared" si="9"/>
        <v>-57.986391814647533</v>
      </c>
      <c r="AA20" s="66">
        <f t="shared" si="10"/>
        <v>-28.186329745662778</v>
      </c>
      <c r="AB20" s="66">
        <f t="shared" si="10"/>
        <v>-4.2080446741216377</v>
      </c>
      <c r="AC20" s="66">
        <f t="shared" si="10"/>
        <v>-42.700590981484581</v>
      </c>
      <c r="AD20" s="66">
        <f t="shared" si="10"/>
        <v>21.3710364412659</v>
      </c>
      <c r="AE20" s="66">
        <f t="shared" si="10"/>
        <v>-3.9835349470831201</v>
      </c>
      <c r="AF20" s="66">
        <f t="shared" si="10"/>
        <v>16.489143834817021</v>
      </c>
      <c r="AG20" s="66">
        <f t="shared" si="10"/>
        <v>3.9958155259513082</v>
      </c>
      <c r="AH20" s="66">
        <f t="shared" si="10"/>
        <v>11.412559473581693</v>
      </c>
      <c r="AI20" s="66">
        <f t="shared" si="10"/>
        <v>-13.94881217649802</v>
      </c>
      <c r="AJ20" s="66">
        <f t="shared" si="10"/>
        <v>-7.5405756854007127</v>
      </c>
      <c r="AK20" s="66">
        <f t="shared" si="10"/>
        <v>-3.0142060232752046</v>
      </c>
      <c r="AL20" s="66">
        <f t="shared" si="10"/>
        <v>11.780379854021891</v>
      </c>
      <c r="AM20" s="66">
        <f t="shared" si="10"/>
        <v>7.9667325436739969</v>
      </c>
      <c r="AN20" s="66">
        <f t="shared" si="10"/>
        <v>-5.6630732625942883</v>
      </c>
      <c r="AP20" s="24">
        <v>1860</v>
      </c>
      <c r="AQ20" s="24" t="s">
        <v>8</v>
      </c>
      <c r="AR20" s="67">
        <f t="shared" ref="AR20:BO20" si="25">7.62+0.5737*BP20-0.251754*BP20^2+0.01680668*BP20^3-0.0004473624*BP20^4+BP20^5/233174</f>
        <v>540981382309.82874</v>
      </c>
      <c r="AS20" s="67">
        <f t="shared" si="25"/>
        <v>541067052847.05896</v>
      </c>
      <c r="AT20" s="67">
        <f t="shared" si="25"/>
        <v>541067052847.05896</v>
      </c>
      <c r="AU20" s="67">
        <f t="shared" si="25"/>
        <v>541152734237.3985</v>
      </c>
      <c r="AV20" s="67">
        <f t="shared" si="25"/>
        <v>541152734237.3985</v>
      </c>
      <c r="AW20" s="67">
        <f t="shared" si="25"/>
        <v>541238426481.87921</v>
      </c>
      <c r="AX20" s="67">
        <f t="shared" si="25"/>
        <v>541238426481.87921</v>
      </c>
      <c r="AY20" s="67">
        <f t="shared" si="25"/>
        <v>541324129581.53326</v>
      </c>
      <c r="AZ20" s="67">
        <f t="shared" si="25"/>
        <v>541324129581.53326</v>
      </c>
      <c r="BA20" s="67">
        <f t="shared" si="25"/>
        <v>541409843537.39014</v>
      </c>
      <c r="BB20" s="67">
        <f t="shared" si="25"/>
        <v>541409843537.39014</v>
      </c>
      <c r="BC20" s="67">
        <f t="shared" si="25"/>
        <v>541495568350.48187</v>
      </c>
      <c r="BD20" s="67">
        <f t="shared" si="25"/>
        <v>541495568350.48187</v>
      </c>
      <c r="BE20" s="67">
        <f t="shared" si="25"/>
        <v>541581304021.84143</v>
      </c>
      <c r="BF20" s="67">
        <f t="shared" si="25"/>
        <v>541581304021.84143</v>
      </c>
      <c r="BG20" s="67">
        <f t="shared" si="25"/>
        <v>541667050552.4978</v>
      </c>
      <c r="BH20" s="67">
        <f t="shared" si="25"/>
        <v>541667050552.4978</v>
      </c>
      <c r="BI20" s="67">
        <f t="shared" si="25"/>
        <v>541752807943.48383</v>
      </c>
      <c r="BJ20" s="67">
        <f t="shared" si="25"/>
        <v>541752807943.48383</v>
      </c>
      <c r="BK20" s="67">
        <f t="shared" si="25"/>
        <v>541838576195.83191</v>
      </c>
      <c r="BL20" s="67">
        <f t="shared" si="25"/>
        <v>541838576195.83191</v>
      </c>
      <c r="BM20" s="67">
        <f t="shared" si="25"/>
        <v>541924355310.57172</v>
      </c>
      <c r="BN20" s="67">
        <f t="shared" si="25"/>
        <v>541924355310.57172</v>
      </c>
      <c r="BO20" s="67">
        <f t="shared" si="25"/>
        <v>542010145288.73621</v>
      </c>
      <c r="BP20" s="68">
        <f t="shared" ref="BP20:CM20" si="26">Delta_t_Year-1860</f>
        <v>2652.208333333333</v>
      </c>
      <c r="BQ20" s="68">
        <f t="shared" si="26"/>
        <v>2652.291666666667</v>
      </c>
      <c r="BR20" s="68">
        <f t="shared" si="26"/>
        <v>2652.291666666667</v>
      </c>
      <c r="BS20" s="68">
        <f t="shared" si="26"/>
        <v>2652.375</v>
      </c>
      <c r="BT20" s="68">
        <f t="shared" si="26"/>
        <v>2652.375</v>
      </c>
      <c r="BU20" s="68">
        <f t="shared" si="26"/>
        <v>2652.458333333333</v>
      </c>
      <c r="BV20" s="68">
        <f t="shared" si="26"/>
        <v>2652.458333333333</v>
      </c>
      <c r="BW20" s="68">
        <f t="shared" si="26"/>
        <v>2652.541666666667</v>
      </c>
      <c r="BX20" s="68">
        <f t="shared" si="26"/>
        <v>2652.541666666667</v>
      </c>
      <c r="BY20" s="68">
        <f t="shared" si="26"/>
        <v>2652.625</v>
      </c>
      <c r="BZ20" s="68">
        <f t="shared" si="26"/>
        <v>2652.625</v>
      </c>
      <c r="CA20" s="68">
        <f t="shared" si="26"/>
        <v>2652.708333333333</v>
      </c>
      <c r="CB20" s="68">
        <f t="shared" si="26"/>
        <v>2652.708333333333</v>
      </c>
      <c r="CC20" s="68">
        <f t="shared" si="26"/>
        <v>2652.791666666667</v>
      </c>
      <c r="CD20" s="68">
        <f t="shared" si="26"/>
        <v>2652.791666666667</v>
      </c>
      <c r="CE20" s="68">
        <f t="shared" si="26"/>
        <v>2652.875</v>
      </c>
      <c r="CF20" s="68">
        <f t="shared" si="26"/>
        <v>2652.875</v>
      </c>
      <c r="CG20" s="68">
        <f t="shared" si="26"/>
        <v>2652.958333333333</v>
      </c>
      <c r="CH20" s="68">
        <f t="shared" si="26"/>
        <v>2652.958333333333</v>
      </c>
      <c r="CI20" s="68">
        <f t="shared" si="26"/>
        <v>2653.041666666667</v>
      </c>
      <c r="CJ20" s="68">
        <f t="shared" si="26"/>
        <v>2653.041666666667</v>
      </c>
      <c r="CK20" s="68">
        <f t="shared" si="26"/>
        <v>2653.125</v>
      </c>
      <c r="CL20" s="68">
        <f t="shared" si="26"/>
        <v>2653.125</v>
      </c>
      <c r="CM20" s="68">
        <f t="shared" si="26"/>
        <v>2653.208333333333</v>
      </c>
      <c r="CN20" s="27"/>
      <c r="CO20" s="45" t="s">
        <v>27</v>
      </c>
      <c r="CP20" s="45"/>
      <c r="CQ20" s="45"/>
      <c r="CR20" s="45"/>
      <c r="CS20" s="45"/>
      <c r="CT20" s="45"/>
      <c r="CU20" s="45"/>
      <c r="CV20" s="45"/>
      <c r="CW20" s="45"/>
      <c r="CX20" s="45"/>
      <c r="CY20" s="45"/>
      <c r="CZ20" s="45"/>
      <c r="DA20" s="45"/>
      <c r="DB20" s="45"/>
      <c r="DC20" s="45"/>
      <c r="DD20" s="45"/>
    </row>
    <row r="21" spans="2:108" ht="40.049999999999997" customHeight="1">
      <c r="B21" s="35"/>
      <c r="D21" s="43" t="str">
        <f t="shared" si="0"/>
        <v>小寒</v>
      </c>
      <c r="E21" s="41">
        <f t="shared" ca="1" si="1"/>
        <v>954385.79199863411</v>
      </c>
      <c r="F21" s="37"/>
      <c r="G21" s="37"/>
      <c r="H21" s="69" t="s">
        <v>51</v>
      </c>
      <c r="I21" s="54">
        <f t="shared" si="5"/>
        <v>2.4183864538443189</v>
      </c>
      <c r="J21" s="55">
        <f>IF(m_flag=1,$B$7-callp,IF(m_flag=2,2*$B$7-callp,callp))</f>
        <v>139.37228072711699</v>
      </c>
      <c r="K21" s="56">
        <f t="shared" si="6"/>
        <v>3369219.2033451241</v>
      </c>
      <c r="L21" s="57">
        <f t="shared" ca="1" si="13"/>
        <v>3369219.2665999494</v>
      </c>
      <c r="M21" s="58">
        <f t="shared" si="7"/>
        <v>-2.7786291065572018E-3</v>
      </c>
      <c r="N21" s="58">
        <f t="shared" ca="1" si="8"/>
        <v>23094.709542975612</v>
      </c>
      <c r="O21" s="59">
        <f ca="1">IF(Date_y&gt;=1900,DATE(Date_y,Date_m,Date_d)+MOD(Date_d,1),Date_y&amp;"-"&amp;TEXT(Date_m,"00")&amp;"-"&amp;TEXT(INT(Date_d),"00")&amp;"     "&amp;TEXT(MOD(Date_d,1),"hh:mm:ss"))</f>
        <v>954200.76659994945</v>
      </c>
      <c r="P21" s="64">
        <f t="shared" si="14"/>
        <v>-270.27642408593698</v>
      </c>
      <c r="Q21" s="66">
        <f t="shared" si="9"/>
        <v>367.45996760032187</v>
      </c>
      <c r="R21" s="66">
        <f t="shared" si="9"/>
        <v>-196.40691806987044</v>
      </c>
      <c r="S21" s="66">
        <f t="shared" si="9"/>
        <v>-125.89269096529519</v>
      </c>
      <c r="T21" s="66">
        <f t="shared" si="9"/>
        <v>-174.81480115613994</v>
      </c>
      <c r="U21" s="66">
        <f t="shared" si="9"/>
        <v>-88.700459128028569</v>
      </c>
      <c r="V21" s="66">
        <f t="shared" si="9"/>
        <v>129.8643459952977</v>
      </c>
      <c r="W21" s="66">
        <f t="shared" si="9"/>
        <v>35.39370580536086</v>
      </c>
      <c r="X21" s="66">
        <f t="shared" si="9"/>
        <v>-50.1185189511042</v>
      </c>
      <c r="Y21" s="66">
        <f t="shared" si="9"/>
        <v>-58.727462539967085</v>
      </c>
      <c r="Z21" s="66">
        <f t="shared" si="9"/>
        <v>-56.492055255920619</v>
      </c>
      <c r="AA21" s="66">
        <f t="shared" si="10"/>
        <v>-28.235168372201329</v>
      </c>
      <c r="AB21" s="66">
        <f t="shared" si="10"/>
        <v>-5.0507397430214862</v>
      </c>
      <c r="AC21" s="66">
        <f t="shared" si="10"/>
        <v>-44.779749835109726</v>
      </c>
      <c r="AD21" s="66">
        <f t="shared" si="10"/>
        <v>11.864326229583204</v>
      </c>
      <c r="AE21" s="66">
        <f t="shared" si="10"/>
        <v>-4.9282761394168455</v>
      </c>
      <c r="AF21" s="66">
        <f t="shared" si="10"/>
        <v>10.991796013380382</v>
      </c>
      <c r="AG21" s="66">
        <f t="shared" si="10"/>
        <v>3.4342447537223086</v>
      </c>
      <c r="AH21" s="66">
        <f t="shared" si="10"/>
        <v>15.237604211838894</v>
      </c>
      <c r="AI21" s="66">
        <f t="shared" si="10"/>
        <v>-13.294557369214504</v>
      </c>
      <c r="AJ21" s="66">
        <f t="shared" si="10"/>
        <v>-6.4887352383795571</v>
      </c>
      <c r="AK21" s="66">
        <f t="shared" si="10"/>
        <v>-5.6563857858890234</v>
      </c>
      <c r="AL21" s="66">
        <f t="shared" si="10"/>
        <v>11.973527247874081</v>
      </c>
      <c r="AM21" s="66">
        <f t="shared" si="10"/>
        <v>8.0043730324898288</v>
      </c>
      <c r="AN21" s="66">
        <f t="shared" si="10"/>
        <v>-4.9137964262475924</v>
      </c>
      <c r="AP21" s="24">
        <v>1900</v>
      </c>
      <c r="AQ21" s="24" t="s">
        <v>9</v>
      </c>
      <c r="AR21" s="67">
        <f t="shared" ref="AR21:BO21" si="27">-2.79+1.494119*BP21-0.0598939*BP21^2+0.0061966*BP21^3-0.000197*BP21^4</f>
        <v>-9062657838.0523548</v>
      </c>
      <c r="AS21" s="67">
        <f t="shared" si="27"/>
        <v>-9063817840.7231922</v>
      </c>
      <c r="AT21" s="67">
        <f t="shared" si="27"/>
        <v>-9063817840.7231922</v>
      </c>
      <c r="AU21" s="67">
        <f t="shared" si="27"/>
        <v>-9064977954.7488213</v>
      </c>
      <c r="AV21" s="67">
        <f t="shared" si="27"/>
        <v>-9064977954.7488213</v>
      </c>
      <c r="AW21" s="67">
        <f t="shared" si="27"/>
        <v>-9066138180.1363811</v>
      </c>
      <c r="AX21" s="67">
        <f t="shared" si="27"/>
        <v>-9066138180.1363811</v>
      </c>
      <c r="AY21" s="67">
        <f t="shared" si="27"/>
        <v>-9067298516.893013</v>
      </c>
      <c r="AZ21" s="67">
        <f t="shared" si="27"/>
        <v>-9067298516.893013</v>
      </c>
      <c r="BA21" s="67">
        <f t="shared" si="27"/>
        <v>-9068458965.0258179</v>
      </c>
      <c r="BB21" s="67">
        <f t="shared" si="27"/>
        <v>-9068458965.0258179</v>
      </c>
      <c r="BC21" s="67">
        <f t="shared" si="27"/>
        <v>-9069619524.5419331</v>
      </c>
      <c r="BD21" s="67">
        <f t="shared" si="27"/>
        <v>-9069619524.5419331</v>
      </c>
      <c r="BE21" s="67">
        <f t="shared" si="27"/>
        <v>-9070780195.4484959</v>
      </c>
      <c r="BF21" s="67">
        <f t="shared" si="27"/>
        <v>-9070780195.4484959</v>
      </c>
      <c r="BG21" s="67">
        <f t="shared" si="27"/>
        <v>-9071940977.7526169</v>
      </c>
      <c r="BH21" s="67">
        <f t="shared" si="27"/>
        <v>-9071940977.7526169</v>
      </c>
      <c r="BI21" s="67">
        <f t="shared" si="27"/>
        <v>-9073101871.4614296</v>
      </c>
      <c r="BJ21" s="67">
        <f t="shared" si="27"/>
        <v>-9073101871.4614296</v>
      </c>
      <c r="BK21" s="67">
        <f t="shared" si="27"/>
        <v>-9074262876.5820751</v>
      </c>
      <c r="BL21" s="67">
        <f t="shared" si="27"/>
        <v>-9074262876.5820751</v>
      </c>
      <c r="BM21" s="67">
        <f t="shared" si="27"/>
        <v>-9075423993.1216564</v>
      </c>
      <c r="BN21" s="67">
        <f t="shared" si="27"/>
        <v>-9075423993.1216564</v>
      </c>
      <c r="BO21" s="67">
        <f t="shared" si="27"/>
        <v>-9076585221.0873146</v>
      </c>
      <c r="BP21" s="68">
        <f t="shared" ref="BP21:CM21" si="28">Delta_t_Year-1900</f>
        <v>2612.208333333333</v>
      </c>
      <c r="BQ21" s="68">
        <f t="shared" si="28"/>
        <v>2612.291666666667</v>
      </c>
      <c r="BR21" s="68">
        <f t="shared" si="28"/>
        <v>2612.291666666667</v>
      </c>
      <c r="BS21" s="68">
        <f t="shared" si="28"/>
        <v>2612.375</v>
      </c>
      <c r="BT21" s="68">
        <f t="shared" si="28"/>
        <v>2612.375</v>
      </c>
      <c r="BU21" s="68">
        <f t="shared" si="28"/>
        <v>2612.458333333333</v>
      </c>
      <c r="BV21" s="68">
        <f t="shared" si="28"/>
        <v>2612.458333333333</v>
      </c>
      <c r="BW21" s="68">
        <f t="shared" si="28"/>
        <v>2612.541666666667</v>
      </c>
      <c r="BX21" s="68">
        <f t="shared" si="28"/>
        <v>2612.541666666667</v>
      </c>
      <c r="BY21" s="68">
        <f t="shared" si="28"/>
        <v>2612.625</v>
      </c>
      <c r="BZ21" s="68">
        <f t="shared" si="28"/>
        <v>2612.625</v>
      </c>
      <c r="CA21" s="68">
        <f t="shared" si="28"/>
        <v>2612.708333333333</v>
      </c>
      <c r="CB21" s="68">
        <f t="shared" si="28"/>
        <v>2612.708333333333</v>
      </c>
      <c r="CC21" s="68">
        <f t="shared" si="28"/>
        <v>2612.791666666667</v>
      </c>
      <c r="CD21" s="68">
        <f t="shared" si="28"/>
        <v>2612.791666666667</v>
      </c>
      <c r="CE21" s="68">
        <f t="shared" si="28"/>
        <v>2612.875</v>
      </c>
      <c r="CF21" s="68">
        <f t="shared" si="28"/>
        <v>2612.875</v>
      </c>
      <c r="CG21" s="68">
        <f t="shared" si="28"/>
        <v>2612.958333333333</v>
      </c>
      <c r="CH21" s="68">
        <f t="shared" si="28"/>
        <v>2612.958333333333</v>
      </c>
      <c r="CI21" s="68">
        <f t="shared" si="28"/>
        <v>2613.041666666667</v>
      </c>
      <c r="CJ21" s="68">
        <f t="shared" si="28"/>
        <v>2613.041666666667</v>
      </c>
      <c r="CK21" s="68">
        <f t="shared" si="28"/>
        <v>2613.125</v>
      </c>
      <c r="CL21" s="68">
        <f t="shared" si="28"/>
        <v>2613.125</v>
      </c>
      <c r="CM21" s="68">
        <f t="shared" si="28"/>
        <v>2613.208333333333</v>
      </c>
      <c r="CN21" s="27"/>
      <c r="CO21" s="45"/>
      <c r="CP21" s="45"/>
      <c r="CQ21" s="45"/>
      <c r="CR21" s="45"/>
      <c r="CS21" s="45"/>
      <c r="CT21" s="45"/>
      <c r="CU21" s="45"/>
      <c r="CV21" s="45"/>
      <c r="CW21" s="45"/>
      <c r="CX21" s="45"/>
      <c r="CY21" s="45"/>
      <c r="CZ21" s="45"/>
      <c r="DA21" s="45"/>
      <c r="DB21" s="45"/>
      <c r="DC21" s="45"/>
      <c r="DD21" s="45"/>
    </row>
    <row r="22" spans="2:108" ht="40.049999999999997" customHeight="1">
      <c r="B22" s="35"/>
      <c r="D22" s="43" t="str">
        <f t="shared" si="0"/>
        <v>大寒</v>
      </c>
      <c r="E22" s="41">
        <f t="shared" ca="1" si="1"/>
        <v>954400.62121558236</v>
      </c>
      <c r="F22" s="37"/>
      <c r="G22" s="37"/>
      <c r="H22" s="69" t="s">
        <v>52</v>
      </c>
      <c r="I22" s="54">
        <f t="shared" si="5"/>
        <v>2.6801858416434681</v>
      </c>
      <c r="J22" s="55">
        <f>IF(m_flag=1,$B$7-callp,IF(m_flag=2,2*$B$7-callp,callp))</f>
        <v>154.98494713316276</v>
      </c>
      <c r="K22" s="56">
        <f t="shared" si="6"/>
        <v>3369234.8160115303</v>
      </c>
      <c r="L22" s="57">
        <f t="shared" ca="1" si="13"/>
        <v>3369234.8828169</v>
      </c>
      <c r="M22" s="58">
        <f t="shared" si="7"/>
        <v>7.7191515329276148E-4</v>
      </c>
      <c r="N22" s="58">
        <f t="shared" ca="1" si="8"/>
        <v>23094.709542975612</v>
      </c>
      <c r="O22" s="59">
        <f ca="1">IF(Date_y&gt;=1900,DATE(Date_y,Date_m,Date_d)+MOD(Date_d,1),Date_y&amp;"-"&amp;TEXT(Date_m,"00")&amp;"-"&amp;TEXT(INT(Date_d),"00")&amp;"     "&amp;TEXT(MOD(Date_d,1),"hh:mm:ss"))</f>
        <v>954216.38281690003</v>
      </c>
      <c r="P22" s="64">
        <f t="shared" si="14"/>
        <v>74.796641615092156</v>
      </c>
      <c r="Q22" s="66">
        <f t="shared" si="9"/>
        <v>371.98908235317225</v>
      </c>
      <c r="R22" s="66">
        <f t="shared" si="9"/>
        <v>-178.00407105858528</v>
      </c>
      <c r="S22" s="66">
        <f t="shared" si="9"/>
        <v>-125.91589898832939</v>
      </c>
      <c r="T22" s="66">
        <f t="shared" si="9"/>
        <v>181.06083474306266</v>
      </c>
      <c r="U22" s="66">
        <f t="shared" si="9"/>
        <v>-126.05160753418905</v>
      </c>
      <c r="V22" s="66">
        <f t="shared" si="9"/>
        <v>121.28272817731025</v>
      </c>
      <c r="W22" s="66">
        <f t="shared" si="9"/>
        <v>63.493088786316669</v>
      </c>
      <c r="X22" s="66">
        <f t="shared" si="9"/>
        <v>-48.873075435005831</v>
      </c>
      <c r="Y22" s="66">
        <f t="shared" si="9"/>
        <v>-61.160462947538321</v>
      </c>
      <c r="Z22" s="66">
        <f t="shared" si="9"/>
        <v>-51.443563916699155</v>
      </c>
      <c r="AA22" s="66">
        <f t="shared" si="10"/>
        <v>-28.284237220879209</v>
      </c>
      <c r="AB22" s="66">
        <f t="shared" si="10"/>
        <v>-5.896561830920179</v>
      </c>
      <c r="AC22" s="66">
        <f t="shared" si="10"/>
        <v>-44.652764811888069</v>
      </c>
      <c r="AD22" s="66">
        <f t="shared" si="10"/>
        <v>1.6540933281495489</v>
      </c>
      <c r="AE22" s="66">
        <f t="shared" si="10"/>
        <v>-5.8727566426606552</v>
      </c>
      <c r="AF22" s="66">
        <f t="shared" si="10"/>
        <v>2.7414116398612252</v>
      </c>
      <c r="AG22" s="66">
        <f t="shared" si="10"/>
        <v>2.865651114602358</v>
      </c>
      <c r="AH22" s="66">
        <f t="shared" si="10"/>
        <v>15.797489051059298</v>
      </c>
      <c r="AI22" s="66">
        <f t="shared" si="10"/>
        <v>-11.910863505037023</v>
      </c>
      <c r="AJ22" s="66">
        <f t="shared" si="10"/>
        <v>-5.3547267418769877</v>
      </c>
      <c r="AK22" s="66">
        <f t="shared" si="10"/>
        <v>-7.9940555416839878</v>
      </c>
      <c r="AL22" s="66">
        <f t="shared" si="10"/>
        <v>11.368395639886089</v>
      </c>
      <c r="AM22" s="66">
        <f t="shared" si="10"/>
        <v>8.0415547857591303</v>
      </c>
      <c r="AN22" s="66">
        <f t="shared" si="10"/>
        <v>-4.083041828794161</v>
      </c>
      <c r="AP22" s="24">
        <v>1920</v>
      </c>
      <c r="AQ22" s="24" t="s">
        <v>10</v>
      </c>
      <c r="AR22" s="67">
        <f t="shared" ref="AR22:BO22" si="29">21.2+0.84493*BP22-0.0761*BP22^2+0.0020936*BP22^3</f>
        <v>35958137.938833855</v>
      </c>
      <c r="AS22" s="67">
        <f t="shared" si="29"/>
        <v>35961622.253290899</v>
      </c>
      <c r="AT22" s="67">
        <f t="shared" si="29"/>
        <v>35961622.253290899</v>
      </c>
      <c r="AU22" s="67">
        <f t="shared" si="29"/>
        <v>35965106.7928252</v>
      </c>
      <c r="AV22" s="67">
        <f t="shared" si="29"/>
        <v>35965106.7928252</v>
      </c>
      <c r="AW22" s="67">
        <f t="shared" si="29"/>
        <v>35968591.557444066</v>
      </c>
      <c r="AX22" s="67">
        <f t="shared" si="29"/>
        <v>35968591.557444066</v>
      </c>
      <c r="AY22" s="67">
        <f t="shared" si="29"/>
        <v>35972076.547154807</v>
      </c>
      <c r="AZ22" s="67">
        <f t="shared" si="29"/>
        <v>35972076.547154807</v>
      </c>
      <c r="BA22" s="67">
        <f t="shared" si="29"/>
        <v>35975561.761964627</v>
      </c>
      <c r="BB22" s="67">
        <f t="shared" si="29"/>
        <v>35975561.761964627</v>
      </c>
      <c r="BC22" s="67">
        <f t="shared" si="29"/>
        <v>35979047.201880813</v>
      </c>
      <c r="BD22" s="67">
        <f t="shared" si="29"/>
        <v>35979047.201880813</v>
      </c>
      <c r="BE22" s="67">
        <f t="shared" si="29"/>
        <v>35982532.866910689</v>
      </c>
      <c r="BF22" s="67">
        <f t="shared" si="29"/>
        <v>35982532.866910689</v>
      </c>
      <c r="BG22" s="67">
        <f t="shared" si="29"/>
        <v>35986018.757061437</v>
      </c>
      <c r="BH22" s="67">
        <f t="shared" si="29"/>
        <v>35986018.757061437</v>
      </c>
      <c r="BI22" s="67">
        <f t="shared" si="29"/>
        <v>35989504.872340374</v>
      </c>
      <c r="BJ22" s="67">
        <f t="shared" si="29"/>
        <v>35989504.872340374</v>
      </c>
      <c r="BK22" s="67">
        <f t="shared" si="29"/>
        <v>35992991.212754801</v>
      </c>
      <c r="BL22" s="67">
        <f t="shared" si="29"/>
        <v>35992991.212754801</v>
      </c>
      <c r="BM22" s="67">
        <f t="shared" si="29"/>
        <v>35996477.778311916</v>
      </c>
      <c r="BN22" s="67">
        <f t="shared" si="29"/>
        <v>35996477.778311916</v>
      </c>
      <c r="BO22" s="67">
        <f t="shared" si="29"/>
        <v>35999964.56901902</v>
      </c>
      <c r="BP22" s="68">
        <f t="shared" ref="BP22:CM22" si="30">Delta_t_Year-1920</f>
        <v>2592.208333333333</v>
      </c>
      <c r="BQ22" s="68">
        <f t="shared" si="30"/>
        <v>2592.291666666667</v>
      </c>
      <c r="BR22" s="68">
        <f t="shared" si="30"/>
        <v>2592.291666666667</v>
      </c>
      <c r="BS22" s="68">
        <f t="shared" si="30"/>
        <v>2592.375</v>
      </c>
      <c r="BT22" s="68">
        <f t="shared" si="30"/>
        <v>2592.375</v>
      </c>
      <c r="BU22" s="68">
        <f t="shared" si="30"/>
        <v>2592.458333333333</v>
      </c>
      <c r="BV22" s="68">
        <f t="shared" si="30"/>
        <v>2592.458333333333</v>
      </c>
      <c r="BW22" s="68">
        <f t="shared" si="30"/>
        <v>2592.541666666667</v>
      </c>
      <c r="BX22" s="68">
        <f t="shared" si="30"/>
        <v>2592.541666666667</v>
      </c>
      <c r="BY22" s="68">
        <f t="shared" si="30"/>
        <v>2592.625</v>
      </c>
      <c r="BZ22" s="68">
        <f t="shared" si="30"/>
        <v>2592.625</v>
      </c>
      <c r="CA22" s="68">
        <f t="shared" si="30"/>
        <v>2592.708333333333</v>
      </c>
      <c r="CB22" s="68">
        <f t="shared" si="30"/>
        <v>2592.708333333333</v>
      </c>
      <c r="CC22" s="68">
        <f t="shared" si="30"/>
        <v>2592.791666666667</v>
      </c>
      <c r="CD22" s="68">
        <f t="shared" si="30"/>
        <v>2592.791666666667</v>
      </c>
      <c r="CE22" s="68">
        <f t="shared" si="30"/>
        <v>2592.875</v>
      </c>
      <c r="CF22" s="68">
        <f t="shared" si="30"/>
        <v>2592.875</v>
      </c>
      <c r="CG22" s="68">
        <f t="shared" si="30"/>
        <v>2592.958333333333</v>
      </c>
      <c r="CH22" s="68">
        <f t="shared" si="30"/>
        <v>2592.958333333333</v>
      </c>
      <c r="CI22" s="68">
        <f t="shared" si="30"/>
        <v>2593.041666666667</v>
      </c>
      <c r="CJ22" s="68">
        <f t="shared" si="30"/>
        <v>2593.041666666667</v>
      </c>
      <c r="CK22" s="68">
        <f t="shared" si="30"/>
        <v>2593.125</v>
      </c>
      <c r="CL22" s="68">
        <f t="shared" si="30"/>
        <v>2593.125</v>
      </c>
      <c r="CM22" s="68">
        <f t="shared" si="30"/>
        <v>2593.208333333333</v>
      </c>
      <c r="CN22" s="27"/>
      <c r="CO22" s="45"/>
      <c r="CP22" s="45"/>
      <c r="CQ22" s="45"/>
      <c r="CR22" s="45"/>
      <c r="CS22" s="45"/>
      <c r="CT22" s="45"/>
      <c r="CU22" s="45"/>
      <c r="CV22" s="45"/>
      <c r="CW22" s="45"/>
      <c r="CX22" s="45"/>
      <c r="CY22" s="45"/>
      <c r="CZ22" s="45"/>
      <c r="DA22" s="45"/>
      <c r="DB22" s="45"/>
      <c r="DC22" s="45"/>
      <c r="DD22" s="45"/>
    </row>
    <row r="23" spans="2:108" ht="40.049999999999997" customHeight="1">
      <c r="B23" s="35"/>
      <c r="D23" s="43" t="str">
        <f>H35</f>
        <v>立春</v>
      </c>
      <c r="E23" s="41">
        <f ca="1">O35</f>
        <v>954415.3960895855</v>
      </c>
      <c r="F23" s="37"/>
      <c r="G23" s="37"/>
      <c r="H23" s="69" t="s">
        <v>53</v>
      </c>
      <c r="I23" s="54">
        <f t="shared" si="5"/>
        <v>2.9419852294426176</v>
      </c>
      <c r="J23" s="55">
        <f>IF(m_flag=1,$B$7-callp,IF(m_flag=2,2*$B$7-callp,callp))</f>
        <v>170.65485411957656</v>
      </c>
      <c r="K23" s="56">
        <f t="shared" si="6"/>
        <v>3369250.4859185168</v>
      </c>
      <c r="L23" s="57">
        <f t="shared" ca="1" si="13"/>
        <v>3369250.5489375461</v>
      </c>
      <c r="M23" s="58">
        <f t="shared" si="7"/>
        <v>-2.997868052187986E-3</v>
      </c>
      <c r="N23" s="58">
        <f t="shared" ca="1" si="8"/>
        <v>23096.140074975436</v>
      </c>
      <c r="O23" s="59">
        <f ca="1">IF(Date_y&gt;=1900,DATE(Date_y,Date_m,Date_d)+MOD(Date_d,1),Date_y&amp;"-"&amp;TEXT(Date_m,"00")&amp;"-"&amp;TEXT(INT(Date_d),"00")&amp;"     "&amp;TEXT(MOD(Date_d,1),"hh:mm:ss"))</f>
        <v>954232.04893754609</v>
      </c>
      <c r="P23" s="64">
        <f t="shared" si="14"/>
        <v>-290.00164274350732</v>
      </c>
      <c r="Q23" s="66">
        <f t="shared" si="9"/>
        <v>376.45692389994775</v>
      </c>
      <c r="R23" s="66">
        <f t="shared" si="9"/>
        <v>-148.76499421244546</v>
      </c>
      <c r="S23" s="66">
        <f t="shared" si="9"/>
        <v>-125.93918922732725</v>
      </c>
      <c r="T23" s="66">
        <f t="shared" si="9"/>
        <v>-181.24959833731492</v>
      </c>
      <c r="U23" s="66">
        <f t="shared" si="9"/>
        <v>-149.36142074385091</v>
      </c>
      <c r="V23" s="66">
        <f t="shared" si="9"/>
        <v>109.23629663838888</v>
      </c>
      <c r="W23" s="66">
        <f t="shared" si="9"/>
        <v>76.554147117328682</v>
      </c>
      <c r="X23" s="66">
        <f t="shared" si="9"/>
        <v>-47.597875012949466</v>
      </c>
      <c r="Y23" s="66">
        <f t="shared" si="9"/>
        <v>-63.322912538574712</v>
      </c>
      <c r="Z23" s="66">
        <f t="shared" si="9"/>
        <v>-43.121177967870004</v>
      </c>
      <c r="AA23" s="66">
        <f t="shared" si="10"/>
        <v>-28.333450031883853</v>
      </c>
      <c r="AB23" s="66">
        <f t="shared" si="10"/>
        <v>-6.7437673798183315</v>
      </c>
      <c r="AC23" s="66">
        <f t="shared" si="10"/>
        <v>-42.29618282582863</v>
      </c>
      <c r="AD23" s="66">
        <f t="shared" si="10"/>
        <v>-8.6846255073081551</v>
      </c>
      <c r="AE23" s="66">
        <f t="shared" si="10"/>
        <v>-6.8142100390135187</v>
      </c>
      <c r="AF23" s="66">
        <f t="shared" si="10"/>
        <v>-6.2219186935313084</v>
      </c>
      <c r="AG23" s="66">
        <f t="shared" si="10"/>
        <v>2.2916356215075191</v>
      </c>
      <c r="AH23" s="66">
        <f t="shared" si="10"/>
        <v>12.926471644630574</v>
      </c>
      <c r="AI23" s="66">
        <f t="shared" si="10"/>
        <v>-9.8664638683018957</v>
      </c>
      <c r="AJ23" s="66">
        <f t="shared" si="10"/>
        <v>-4.1529555486868368</v>
      </c>
      <c r="AK23" s="66">
        <f t="shared" si="10"/>
        <v>-9.8861400251042095</v>
      </c>
      <c r="AL23" s="66">
        <f t="shared" si="10"/>
        <v>9.9959599292852275</v>
      </c>
      <c r="AM23" s="66">
        <f t="shared" si="10"/>
        <v>8.0782006929097694</v>
      </c>
      <c r="AN23" s="66">
        <f t="shared" si="10"/>
        <v>-3.1843963276961853</v>
      </c>
      <c r="AP23" s="24">
        <v>1941</v>
      </c>
      <c r="AQ23" s="24" t="s">
        <v>11</v>
      </c>
      <c r="AR23" s="67">
        <f t="shared" ref="AR23:BO23" si="31">29.07+0.407*BP23-BP23^2/260-BP23^3/718</f>
        <v>-23451296.244671412</v>
      </c>
      <c r="AS23" s="67">
        <f t="shared" si="31"/>
        <v>-23453583.760278102</v>
      </c>
      <c r="AT23" s="67">
        <f t="shared" si="31"/>
        <v>-23453583.760278102</v>
      </c>
      <c r="AU23" s="67">
        <f t="shared" si="31"/>
        <v>-23455871.424631987</v>
      </c>
      <c r="AV23" s="67">
        <f t="shared" si="31"/>
        <v>-23455871.424631987</v>
      </c>
      <c r="AW23" s="67">
        <f t="shared" si="31"/>
        <v>-23458159.237737939</v>
      </c>
      <c r="AX23" s="67">
        <f t="shared" si="31"/>
        <v>-23458159.237737939</v>
      </c>
      <c r="AY23" s="67">
        <f t="shared" si="31"/>
        <v>-23460447.199600808</v>
      </c>
      <c r="AZ23" s="67">
        <f t="shared" si="31"/>
        <v>-23460447.199600808</v>
      </c>
      <c r="BA23" s="67">
        <f t="shared" si="31"/>
        <v>-23462735.31022539</v>
      </c>
      <c r="BB23" s="67">
        <f t="shared" si="31"/>
        <v>-23462735.31022539</v>
      </c>
      <c r="BC23" s="67">
        <f t="shared" si="31"/>
        <v>-23465023.569616534</v>
      </c>
      <c r="BD23" s="67">
        <f t="shared" si="31"/>
        <v>-23465023.569616534</v>
      </c>
      <c r="BE23" s="67">
        <f t="shared" si="31"/>
        <v>-23467311.977779113</v>
      </c>
      <c r="BF23" s="67">
        <f t="shared" si="31"/>
        <v>-23467311.977779113</v>
      </c>
      <c r="BG23" s="67">
        <f t="shared" si="31"/>
        <v>-23469600.534717903</v>
      </c>
      <c r="BH23" s="67">
        <f t="shared" si="31"/>
        <v>-23469600.534717903</v>
      </c>
      <c r="BI23" s="67">
        <f t="shared" si="31"/>
        <v>-23471889.240437772</v>
      </c>
      <c r="BJ23" s="67">
        <f t="shared" si="31"/>
        <v>-23471889.240437772</v>
      </c>
      <c r="BK23" s="67">
        <f t="shared" si="31"/>
        <v>-23474178.094943583</v>
      </c>
      <c r="BL23" s="67">
        <f t="shared" si="31"/>
        <v>-23474178.094943583</v>
      </c>
      <c r="BM23" s="67">
        <f t="shared" si="31"/>
        <v>-23476467.098240115</v>
      </c>
      <c r="BN23" s="67">
        <f t="shared" si="31"/>
        <v>-23476467.098240115</v>
      </c>
      <c r="BO23" s="67">
        <f t="shared" si="31"/>
        <v>-23478756.250332229</v>
      </c>
      <c r="BP23" s="68">
        <f t="shared" ref="BP23:CM23" si="32">Delta_t_Year-1950</f>
        <v>2562.208333333333</v>
      </c>
      <c r="BQ23" s="68">
        <f t="shared" si="32"/>
        <v>2562.291666666667</v>
      </c>
      <c r="BR23" s="68">
        <f t="shared" si="32"/>
        <v>2562.291666666667</v>
      </c>
      <c r="BS23" s="68">
        <f t="shared" si="32"/>
        <v>2562.375</v>
      </c>
      <c r="BT23" s="68">
        <f t="shared" si="32"/>
        <v>2562.375</v>
      </c>
      <c r="BU23" s="68">
        <f t="shared" si="32"/>
        <v>2562.458333333333</v>
      </c>
      <c r="BV23" s="68">
        <f t="shared" si="32"/>
        <v>2562.458333333333</v>
      </c>
      <c r="BW23" s="68">
        <f t="shared" si="32"/>
        <v>2562.541666666667</v>
      </c>
      <c r="BX23" s="68">
        <f t="shared" si="32"/>
        <v>2562.541666666667</v>
      </c>
      <c r="BY23" s="68">
        <f t="shared" si="32"/>
        <v>2562.625</v>
      </c>
      <c r="BZ23" s="68">
        <f t="shared" si="32"/>
        <v>2562.625</v>
      </c>
      <c r="CA23" s="68">
        <f t="shared" si="32"/>
        <v>2562.708333333333</v>
      </c>
      <c r="CB23" s="68">
        <f t="shared" si="32"/>
        <v>2562.708333333333</v>
      </c>
      <c r="CC23" s="68">
        <f t="shared" si="32"/>
        <v>2562.791666666667</v>
      </c>
      <c r="CD23" s="68">
        <f t="shared" si="32"/>
        <v>2562.791666666667</v>
      </c>
      <c r="CE23" s="68">
        <f t="shared" si="32"/>
        <v>2562.875</v>
      </c>
      <c r="CF23" s="68">
        <f t="shared" si="32"/>
        <v>2562.875</v>
      </c>
      <c r="CG23" s="68">
        <f t="shared" si="32"/>
        <v>2562.958333333333</v>
      </c>
      <c r="CH23" s="68">
        <f t="shared" si="32"/>
        <v>2562.958333333333</v>
      </c>
      <c r="CI23" s="68">
        <f t="shared" si="32"/>
        <v>2563.041666666667</v>
      </c>
      <c r="CJ23" s="68">
        <f t="shared" si="32"/>
        <v>2563.041666666667</v>
      </c>
      <c r="CK23" s="68">
        <f t="shared" si="32"/>
        <v>2563.125</v>
      </c>
      <c r="CL23" s="68">
        <f t="shared" si="32"/>
        <v>2563.125</v>
      </c>
      <c r="CM23" s="68">
        <f t="shared" si="32"/>
        <v>2563.208333333333</v>
      </c>
      <c r="CN23" s="27"/>
    </row>
    <row r="24" spans="2:108" ht="40.049999999999997" customHeight="1">
      <c r="B24" s="35"/>
      <c r="D24" s="43" t="str">
        <f>H36</f>
        <v>雨水</v>
      </c>
      <c r="E24" s="41">
        <f ca="1">O36</f>
        <v>954430.14840210415</v>
      </c>
      <c r="F24" s="37"/>
      <c r="G24" s="37"/>
      <c r="H24" s="69" t="s">
        <v>64</v>
      </c>
      <c r="I24" s="54">
        <f t="shared" si="5"/>
        <v>3.079400689937819</v>
      </c>
      <c r="J24" s="55">
        <f>IF(m_flag=1,$B$7-callp,IF(m_flag=2,2*$B$7-callp,callp))</f>
        <v>186.35035539272602</v>
      </c>
      <c r="K24" s="56">
        <f t="shared" si="6"/>
        <v>3369266.1814197898</v>
      </c>
      <c r="L24" s="57">
        <f t="shared" ca="1" si="13"/>
        <v>3369266.2481863056</v>
      </c>
      <c r="M24" s="58">
        <f t="shared" si="7"/>
        <v>7.4961812920406408E-4</v>
      </c>
      <c r="N24" s="58">
        <f t="shared" ca="1" si="8"/>
        <v>23096.140074975436</v>
      </c>
      <c r="O24" s="59">
        <f ca="1">IF(Date_y&gt;=1900,DATE(Date_y,Date_m,Date_d)+MOD(Date_d,1),Date_y&amp;"-"&amp;TEXT(Date_m,"00")&amp;"-"&amp;TEXT(INT(Date_d),"00")&amp;"     "&amp;TEXT(MOD(Date_d,1),"hh:mm:ss"))</f>
        <v>954247.74818630563</v>
      </c>
      <c r="P24" s="64">
        <f t="shared" si="14"/>
        <v>72.55985156138378</v>
      </c>
      <c r="Q24" s="66">
        <f t="shared" ref="Q24:Z37" si="33">Q$11*COS((Q$12+Q$13*二分點_T)*PI()/180)</f>
        <v>380.85291222395728</v>
      </c>
      <c r="R24" s="66">
        <f t="shared" si="33"/>
        <v>-110.4395956389002</v>
      </c>
      <c r="S24" s="66">
        <f t="shared" si="33"/>
        <v>-125.96251462296189</v>
      </c>
      <c r="T24" s="66">
        <f t="shared" si="33"/>
        <v>174.46485848708727</v>
      </c>
      <c r="U24" s="66">
        <f t="shared" si="33"/>
        <v>-155.8420997466221</v>
      </c>
      <c r="V24" s="66">
        <f t="shared" si="33"/>
        <v>94.064530707526558</v>
      </c>
      <c r="W24" s="66">
        <f t="shared" si="33"/>
        <v>71.311222369039072</v>
      </c>
      <c r="X24" s="66">
        <f t="shared" si="33"/>
        <v>-46.295952738851788</v>
      </c>
      <c r="Y24" s="66">
        <f t="shared" si="33"/>
        <v>-65.198310808612135</v>
      </c>
      <c r="Z24" s="66">
        <f t="shared" si="33"/>
        <v>-32.044742668093498</v>
      </c>
      <c r="AA24" s="66">
        <f t="shared" ref="AA24:AN37" si="34">AA$11*COS((AA$12+AA$13*二分點_T)*PI()/180)</f>
        <v>-28.38270706901227</v>
      </c>
      <c r="AB24" s="66">
        <f t="shared" si="34"/>
        <v>-7.5903841502633611</v>
      </c>
      <c r="AC24" s="66">
        <f t="shared" si="34"/>
        <v>-37.81528384919536</v>
      </c>
      <c r="AD24" s="66">
        <f t="shared" si="34"/>
        <v>-18.556129370145946</v>
      </c>
      <c r="AE24" s="66">
        <f t="shared" si="34"/>
        <v>-7.7496395697976039</v>
      </c>
      <c r="AF24" s="66">
        <f t="shared" si="34"/>
        <v>-13.636591425008088</v>
      </c>
      <c r="AG24" s="66">
        <f t="shared" si="34"/>
        <v>1.714002096108294</v>
      </c>
      <c r="AH24" s="66">
        <f t="shared" si="34"/>
        <v>7.2302155053033648</v>
      </c>
      <c r="AI24" s="66">
        <f t="shared" si="34"/>
        <v>-7.2732857403590447</v>
      </c>
      <c r="AJ24" s="66">
        <f t="shared" si="34"/>
        <v>-2.8996749961399506</v>
      </c>
      <c r="AK24" s="66">
        <f t="shared" si="34"/>
        <v>-11.217406878248255</v>
      </c>
      <c r="AL24" s="66">
        <f t="shared" si="34"/>
        <v>7.9456894376247931</v>
      </c>
      <c r="AM24" s="66">
        <f t="shared" si="34"/>
        <v>8.11422833532502</v>
      </c>
      <c r="AN24" s="66">
        <f t="shared" si="34"/>
        <v>-2.2334883283764202</v>
      </c>
      <c r="AP24" s="24">
        <v>1961</v>
      </c>
      <c r="AQ24" s="24" t="s">
        <v>12</v>
      </c>
      <c r="AR24" s="67">
        <f t="shared" ref="AR24:BO24" si="35">45.45+1.067*BP24-BP24^2/260-BP24^3/718</f>
        <v>-22770044.582433783</v>
      </c>
      <c r="AS24" s="67">
        <f t="shared" si="35"/>
        <v>-22772287.637216777</v>
      </c>
      <c r="AT24" s="67">
        <f t="shared" si="35"/>
        <v>-22772287.637216777</v>
      </c>
      <c r="AU24" s="67">
        <f t="shared" si="35"/>
        <v>-22774530.839296184</v>
      </c>
      <c r="AV24" s="67">
        <f t="shared" si="35"/>
        <v>-22774530.839296184</v>
      </c>
      <c r="AW24" s="67">
        <f t="shared" si="35"/>
        <v>-22776774.188676868</v>
      </c>
      <c r="AX24" s="67">
        <f t="shared" si="35"/>
        <v>-22776774.188676868</v>
      </c>
      <c r="AY24" s="67">
        <f t="shared" si="35"/>
        <v>-22779017.68536368</v>
      </c>
      <c r="AZ24" s="67">
        <f t="shared" si="35"/>
        <v>-22779017.68536368</v>
      </c>
      <c r="BA24" s="67">
        <f t="shared" si="35"/>
        <v>-22781261.329361409</v>
      </c>
      <c r="BB24" s="67">
        <f t="shared" si="35"/>
        <v>-22781261.329361409</v>
      </c>
      <c r="BC24" s="67">
        <f t="shared" si="35"/>
        <v>-22783505.120674923</v>
      </c>
      <c r="BD24" s="67">
        <f t="shared" si="35"/>
        <v>-22783505.120674923</v>
      </c>
      <c r="BE24" s="67">
        <f t="shared" si="35"/>
        <v>-22785749.059309069</v>
      </c>
      <c r="BF24" s="67">
        <f t="shared" si="35"/>
        <v>-22785749.059309069</v>
      </c>
      <c r="BG24" s="67">
        <f t="shared" si="35"/>
        <v>-22787993.145268645</v>
      </c>
      <c r="BH24" s="67">
        <f t="shared" si="35"/>
        <v>-22787993.145268645</v>
      </c>
      <c r="BI24" s="67">
        <f t="shared" si="35"/>
        <v>-22790237.378558509</v>
      </c>
      <c r="BJ24" s="67">
        <f t="shared" si="35"/>
        <v>-22790237.378558509</v>
      </c>
      <c r="BK24" s="67">
        <f t="shared" si="35"/>
        <v>-22792481.759183526</v>
      </c>
      <c r="BL24" s="67">
        <f t="shared" si="35"/>
        <v>-22792481.759183526</v>
      </c>
      <c r="BM24" s="67">
        <f t="shared" si="35"/>
        <v>-22794726.287148468</v>
      </c>
      <c r="BN24" s="67">
        <f t="shared" si="35"/>
        <v>-22794726.287148468</v>
      </c>
      <c r="BO24" s="67">
        <f t="shared" si="35"/>
        <v>-22796970.962458212</v>
      </c>
      <c r="BP24" s="68">
        <f t="shared" ref="BP24:CM24" si="36">Delta_t_Year-1975</f>
        <v>2537.208333333333</v>
      </c>
      <c r="BQ24" s="68">
        <f t="shared" si="36"/>
        <v>2537.291666666667</v>
      </c>
      <c r="BR24" s="68">
        <f t="shared" si="36"/>
        <v>2537.291666666667</v>
      </c>
      <c r="BS24" s="68">
        <f t="shared" si="36"/>
        <v>2537.375</v>
      </c>
      <c r="BT24" s="68">
        <f t="shared" si="36"/>
        <v>2537.375</v>
      </c>
      <c r="BU24" s="68">
        <f t="shared" si="36"/>
        <v>2537.458333333333</v>
      </c>
      <c r="BV24" s="68">
        <f t="shared" si="36"/>
        <v>2537.458333333333</v>
      </c>
      <c r="BW24" s="68">
        <f t="shared" si="36"/>
        <v>2537.541666666667</v>
      </c>
      <c r="BX24" s="68">
        <f t="shared" si="36"/>
        <v>2537.541666666667</v>
      </c>
      <c r="BY24" s="68">
        <f t="shared" si="36"/>
        <v>2537.625</v>
      </c>
      <c r="BZ24" s="68">
        <f t="shared" si="36"/>
        <v>2537.625</v>
      </c>
      <c r="CA24" s="68">
        <f t="shared" si="36"/>
        <v>2537.708333333333</v>
      </c>
      <c r="CB24" s="68">
        <f t="shared" si="36"/>
        <v>2537.708333333333</v>
      </c>
      <c r="CC24" s="68">
        <f t="shared" si="36"/>
        <v>2537.791666666667</v>
      </c>
      <c r="CD24" s="68">
        <f t="shared" si="36"/>
        <v>2537.791666666667</v>
      </c>
      <c r="CE24" s="68">
        <f t="shared" si="36"/>
        <v>2537.875</v>
      </c>
      <c r="CF24" s="68">
        <f t="shared" si="36"/>
        <v>2537.875</v>
      </c>
      <c r="CG24" s="68">
        <f t="shared" si="36"/>
        <v>2537.958333333333</v>
      </c>
      <c r="CH24" s="68">
        <f t="shared" si="36"/>
        <v>2537.958333333333</v>
      </c>
      <c r="CI24" s="68">
        <f t="shared" si="36"/>
        <v>2538.041666666667</v>
      </c>
      <c r="CJ24" s="68">
        <f t="shared" si="36"/>
        <v>2538.041666666667</v>
      </c>
      <c r="CK24" s="68">
        <f t="shared" si="36"/>
        <v>2538.125</v>
      </c>
      <c r="CL24" s="68">
        <f t="shared" si="36"/>
        <v>2538.125</v>
      </c>
      <c r="CM24" s="68">
        <f t="shared" si="36"/>
        <v>2538.208333333333</v>
      </c>
      <c r="CN24" s="27"/>
    </row>
    <row r="25" spans="2:108" ht="40.049999999999997" customHeight="1">
      <c r="B25" s="35"/>
      <c r="D25" s="43" t="str">
        <f t="shared" ref="D25" si="37">H37</f>
        <v>驚蟄</v>
      </c>
      <c r="E25" s="41">
        <f t="shared" ref="E25" ca="1" si="38">O37</f>
        <v>954444.90645541903</v>
      </c>
      <c r="F25" s="37"/>
      <c r="G25" s="37"/>
      <c r="H25" s="69" t="s">
        <v>54</v>
      </c>
      <c r="I25" s="54">
        <f t="shared" si="5"/>
        <v>2.8176013021386699</v>
      </c>
      <c r="J25" s="55">
        <f>IF(m_flag=1,$B$7-callp,IF(m_flag=2,2*$B$7-callp,callp))</f>
        <v>202.03782748726948</v>
      </c>
      <c r="K25" s="56">
        <f t="shared" si="6"/>
        <v>3369281.8688918841</v>
      </c>
      <c r="L25" s="57">
        <f t="shared" ca="1" si="13"/>
        <v>3369281.9323799978</v>
      </c>
      <c r="M25" s="58">
        <f t="shared" si="7"/>
        <v>-2.5122261951294965E-3</v>
      </c>
      <c r="N25" s="58">
        <f t="shared" ca="1" si="8"/>
        <v>23097.570651240094</v>
      </c>
      <c r="O25" s="59">
        <f ca="1">IF(Date_y&gt;=1900,DATE(Date_y,Date_m,Date_d)+MOD(Date_d,1),Date_y&amp;"-"&amp;TEXT(Date_m,"00")&amp;"-"&amp;TEXT(INT(Date_d),"00")&amp;"     "&amp;TEXT(MOD(Date_d,1),"hh:mm:ss"))</f>
        <v>954263.4323799978</v>
      </c>
      <c r="P25" s="64">
        <f t="shared" si="14"/>
        <v>-243.87167241363017</v>
      </c>
      <c r="Q25" s="66">
        <f t="shared" si="33"/>
        <v>385.16657356126308</v>
      </c>
      <c r="R25" s="66">
        <f t="shared" si="33"/>
        <v>-65.422229991315106</v>
      </c>
      <c r="S25" s="66">
        <f t="shared" si="33"/>
        <v>-125.98582520135855</v>
      </c>
      <c r="T25" s="66">
        <f t="shared" si="33"/>
        <v>-161.013459323897</v>
      </c>
      <c r="U25" s="66">
        <f t="shared" si="33"/>
        <v>-144.72066717960456</v>
      </c>
      <c r="V25" s="66">
        <f t="shared" si="33"/>
        <v>76.22582654229484</v>
      </c>
      <c r="W25" s="66">
        <f t="shared" si="33"/>
        <v>49.000177769144351</v>
      </c>
      <c r="X25" s="66">
        <f t="shared" si="33"/>
        <v>-44.970729776227735</v>
      </c>
      <c r="Y25" s="66">
        <f t="shared" si="33"/>
        <v>-66.773552586335427</v>
      </c>
      <c r="Z25" s="66">
        <f t="shared" si="33"/>
        <v>-18.93698212588415</v>
      </c>
      <c r="AA25" s="66">
        <f t="shared" si="34"/>
        <v>-28.431902688562296</v>
      </c>
      <c r="AB25" s="66">
        <f t="shared" si="34"/>
        <v>-8.434347724281583</v>
      </c>
      <c r="AC25" s="66">
        <f t="shared" si="34"/>
        <v>-31.440640513637128</v>
      </c>
      <c r="AD25" s="66">
        <f t="shared" si="34"/>
        <v>-27.388925802006646</v>
      </c>
      <c r="AE25" s="66">
        <f t="shared" si="34"/>
        <v>-8.6759913755305149</v>
      </c>
      <c r="AF25" s="66">
        <f t="shared" si="34"/>
        <v>-17.623907959751062</v>
      </c>
      <c r="AG25" s="66">
        <f t="shared" si="34"/>
        <v>1.1346587524511236</v>
      </c>
      <c r="AH25" s="66">
        <f t="shared" si="34"/>
        <v>-4.1342771264913279E-2</v>
      </c>
      <c r="AI25" s="66">
        <f t="shared" si="34"/>
        <v>-4.2792556464578606</v>
      </c>
      <c r="AJ25" s="66">
        <f t="shared" si="34"/>
        <v>-1.612431470647306</v>
      </c>
      <c r="AK25" s="66">
        <f t="shared" si="34"/>
        <v>-11.908188613327717</v>
      </c>
      <c r="AL25" s="66">
        <f t="shared" si="34"/>
        <v>5.3593455138588446</v>
      </c>
      <c r="AM25" s="66">
        <f t="shared" si="34"/>
        <v>8.1495563725562175</v>
      </c>
      <c r="AN25" s="66">
        <f t="shared" si="34"/>
        <v>-1.2474301751091093</v>
      </c>
      <c r="AP25" s="24">
        <v>1986</v>
      </c>
      <c r="AQ25" s="24" t="s">
        <v>13</v>
      </c>
      <c r="AR25" s="67">
        <f t="shared" ref="AR25:BO25" si="39">63.86+0.3345*BP25-0.060374*BP25^2+0.0017275*BP25^3+0.000651814*BP25^4+0.00002373599*BP25^5</f>
        <v>2401109786735.7036</v>
      </c>
      <c r="AS25" s="67">
        <f t="shared" si="39"/>
        <v>2401507190277.1655</v>
      </c>
      <c r="AT25" s="67">
        <f t="shared" si="39"/>
        <v>2401507190277.1655</v>
      </c>
      <c r="AU25" s="67">
        <f t="shared" si="39"/>
        <v>2401904646435.5518</v>
      </c>
      <c r="AV25" s="67">
        <f t="shared" si="39"/>
        <v>2401904646435.5518</v>
      </c>
      <c r="AW25" s="67">
        <f t="shared" si="39"/>
        <v>2402302155216.0903</v>
      </c>
      <c r="AX25" s="67">
        <f t="shared" si="39"/>
        <v>2402302155216.0903</v>
      </c>
      <c r="AY25" s="67">
        <f t="shared" si="39"/>
        <v>2402699716624.0112</v>
      </c>
      <c r="AZ25" s="67">
        <f t="shared" si="39"/>
        <v>2402699716624.0112</v>
      </c>
      <c r="BA25" s="67">
        <f t="shared" si="39"/>
        <v>2403097330664.5312</v>
      </c>
      <c r="BB25" s="67">
        <f t="shared" si="39"/>
        <v>2403097330664.5312</v>
      </c>
      <c r="BC25" s="67">
        <f t="shared" si="39"/>
        <v>2403494997342.8794</v>
      </c>
      <c r="BD25" s="67">
        <f t="shared" si="39"/>
        <v>2403494997342.8794</v>
      </c>
      <c r="BE25" s="67">
        <f t="shared" si="39"/>
        <v>2403892716664.2871</v>
      </c>
      <c r="BF25" s="67">
        <f t="shared" si="39"/>
        <v>2403892716664.2871</v>
      </c>
      <c r="BG25" s="67">
        <f t="shared" si="39"/>
        <v>2404290488633.9727</v>
      </c>
      <c r="BH25" s="67">
        <f t="shared" si="39"/>
        <v>2404290488633.9727</v>
      </c>
      <c r="BI25" s="67">
        <f t="shared" si="39"/>
        <v>2404688313257.1665</v>
      </c>
      <c r="BJ25" s="67">
        <f t="shared" si="39"/>
        <v>2404688313257.1665</v>
      </c>
      <c r="BK25" s="67">
        <f t="shared" si="39"/>
        <v>2405086190539.1001</v>
      </c>
      <c r="BL25" s="67">
        <f t="shared" si="39"/>
        <v>2405086190539.1001</v>
      </c>
      <c r="BM25" s="67">
        <f t="shared" si="39"/>
        <v>2405484120484.9922</v>
      </c>
      <c r="BN25" s="67">
        <f t="shared" si="39"/>
        <v>2405484120484.9922</v>
      </c>
      <c r="BO25" s="67">
        <f t="shared" si="39"/>
        <v>2405882103100.0747</v>
      </c>
      <c r="BP25" s="68">
        <f t="shared" ref="BP25:BY26" si="40">Delta_t_Year-2000</f>
        <v>2512.208333333333</v>
      </c>
      <c r="BQ25" s="68">
        <f t="shared" si="40"/>
        <v>2512.291666666667</v>
      </c>
      <c r="BR25" s="68">
        <f t="shared" si="40"/>
        <v>2512.291666666667</v>
      </c>
      <c r="BS25" s="68">
        <f t="shared" si="40"/>
        <v>2512.375</v>
      </c>
      <c r="BT25" s="68">
        <f t="shared" si="40"/>
        <v>2512.375</v>
      </c>
      <c r="BU25" s="68">
        <f t="shared" si="40"/>
        <v>2512.458333333333</v>
      </c>
      <c r="BV25" s="68">
        <f t="shared" si="40"/>
        <v>2512.458333333333</v>
      </c>
      <c r="BW25" s="68">
        <f t="shared" si="40"/>
        <v>2512.541666666667</v>
      </c>
      <c r="BX25" s="68">
        <f t="shared" si="40"/>
        <v>2512.541666666667</v>
      </c>
      <c r="BY25" s="68">
        <f t="shared" si="40"/>
        <v>2512.625</v>
      </c>
      <c r="BZ25" s="68">
        <f t="shared" ref="BZ25:CM26" si="41">Delta_t_Year-2000</f>
        <v>2512.625</v>
      </c>
      <c r="CA25" s="68">
        <f t="shared" si="41"/>
        <v>2512.708333333333</v>
      </c>
      <c r="CB25" s="68">
        <f t="shared" si="41"/>
        <v>2512.708333333333</v>
      </c>
      <c r="CC25" s="68">
        <f t="shared" si="41"/>
        <v>2512.791666666667</v>
      </c>
      <c r="CD25" s="68">
        <f t="shared" si="41"/>
        <v>2512.791666666667</v>
      </c>
      <c r="CE25" s="68">
        <f t="shared" si="41"/>
        <v>2512.875</v>
      </c>
      <c r="CF25" s="68">
        <f t="shared" si="41"/>
        <v>2512.875</v>
      </c>
      <c r="CG25" s="68">
        <f t="shared" si="41"/>
        <v>2512.958333333333</v>
      </c>
      <c r="CH25" s="68">
        <f t="shared" si="41"/>
        <v>2512.958333333333</v>
      </c>
      <c r="CI25" s="68">
        <f t="shared" si="41"/>
        <v>2513.041666666667</v>
      </c>
      <c r="CJ25" s="68">
        <f t="shared" si="41"/>
        <v>2513.041666666667</v>
      </c>
      <c r="CK25" s="68">
        <f t="shared" si="41"/>
        <v>2513.125</v>
      </c>
      <c r="CL25" s="68">
        <f t="shared" si="41"/>
        <v>2513.125</v>
      </c>
      <c r="CM25" s="68">
        <f t="shared" si="41"/>
        <v>2513.208333333333</v>
      </c>
      <c r="CN25" s="27"/>
    </row>
    <row r="26" spans="2:108" ht="40.049999999999997" customHeight="1">
      <c r="B26" s="35"/>
      <c r="F26" s="37"/>
      <c r="G26" s="37"/>
      <c r="H26" s="69" t="s">
        <v>55</v>
      </c>
      <c r="I26" s="54">
        <f t="shared" si="5"/>
        <v>2.5558019143395203</v>
      </c>
      <c r="J26" s="55">
        <f>IF(m_flag=1,$B$7-callp,IF(m_flag=2,2*$B$7-callp,callp))</f>
        <v>217.68426860326406</v>
      </c>
      <c r="K26" s="56">
        <f t="shared" si="6"/>
        <v>3369297.5153330001</v>
      </c>
      <c r="L26" s="57">
        <f t="shared" ca="1" si="13"/>
        <v>3369297.5823016255</v>
      </c>
      <c r="M26" s="58">
        <f t="shared" si="7"/>
        <v>9.6828539263562718E-4</v>
      </c>
      <c r="N26" s="58">
        <f t="shared" ca="1" si="8"/>
        <v>23097.570651240094</v>
      </c>
      <c r="O26" s="59">
        <f ca="1">IF(Date_y&gt;=1900,DATE(Date_y,Date_m,Date_d)+MOD(Date_d,1),Date_y&amp;"-"&amp;TEXT(Date_m,"00")&amp;"-"&amp;TEXT(INT(Date_d),"00")&amp;"     "&amp;TEXT(MOD(Date_d,1),"hh:mm:ss"))</f>
        <v>954279.08230162552</v>
      </c>
      <c r="P26" s="64">
        <f t="shared" si="14"/>
        <v>94.459950416500334</v>
      </c>
      <c r="Q26" s="66">
        <f t="shared" si="33"/>
        <v>389.38830594769234</v>
      </c>
      <c r="R26" s="66">
        <f t="shared" si="33"/>
        <v>-16.561094787299261</v>
      </c>
      <c r="S26" s="66">
        <f t="shared" si="33"/>
        <v>-126.00907193694697</v>
      </c>
      <c r="T26" s="66">
        <f t="shared" si="33"/>
        <v>142.37826458746432</v>
      </c>
      <c r="U26" s="66">
        <f t="shared" si="33"/>
        <v>-117.35129926434072</v>
      </c>
      <c r="V26" s="66">
        <f t="shared" si="33"/>
        <v>56.274947461959371</v>
      </c>
      <c r="W26" s="66">
        <f t="shared" si="33"/>
        <v>15.060152013766684</v>
      </c>
      <c r="X26" s="66">
        <f t="shared" si="33"/>
        <v>-43.625789014260043</v>
      </c>
      <c r="Y26" s="66">
        <f t="shared" si="33"/>
        <v>-68.039531496722589</v>
      </c>
      <c r="Z26" s="66">
        <f t="shared" si="33"/>
        <v>-4.6640556141869807</v>
      </c>
      <c r="AA26" s="66">
        <f t="shared" si="34"/>
        <v>-28.480933504777749</v>
      </c>
      <c r="AB26" s="66">
        <f t="shared" si="34"/>
        <v>-9.2736474046598403</v>
      </c>
      <c r="AC26" s="66">
        <f t="shared" si="34"/>
        <v>-23.512539643344951</v>
      </c>
      <c r="AD26" s="66">
        <f t="shared" si="34"/>
        <v>-34.679545926843844</v>
      </c>
      <c r="AE26" s="66">
        <f t="shared" si="34"/>
        <v>-9.5903340628984708</v>
      </c>
      <c r="AF26" s="66">
        <f t="shared" si="34"/>
        <v>-17.194440316344693</v>
      </c>
      <c r="AG26" s="66">
        <f t="shared" si="34"/>
        <v>0.55550822020283264</v>
      </c>
      <c r="AH26" s="66">
        <f t="shared" si="34"/>
        <v>-7.2863204499464409</v>
      </c>
      <c r="AI26" s="66">
        <f t="shared" si="34"/>
        <v>-1.0572831134386904</v>
      </c>
      <c r="AJ26" s="66">
        <f t="shared" si="34"/>
        <v>-0.30938059759514919</v>
      </c>
      <c r="AK26" s="66">
        <f t="shared" si="34"/>
        <v>-11.920792020959304</v>
      </c>
      <c r="AL26" s="66">
        <f t="shared" si="34"/>
        <v>2.4188388737042645</v>
      </c>
      <c r="AM26" s="66">
        <f t="shared" si="34"/>
        <v>8.1841107258938752</v>
      </c>
      <c r="AN26" s="66">
        <f t="shared" si="34"/>
        <v>-0.2441182596176581</v>
      </c>
      <c r="AP26" s="24">
        <v>2005</v>
      </c>
      <c r="AQ26" s="24" t="s">
        <v>14</v>
      </c>
      <c r="AR26" s="67">
        <f t="shared" ref="AR26:BO26" si="42">62.92+0.32217*BP26+0.005589*BP26^2</f>
        <v>36145.523037328116</v>
      </c>
      <c r="AS26" s="67">
        <f t="shared" si="42"/>
        <v>36147.890045703127</v>
      </c>
      <c r="AT26" s="67">
        <f t="shared" si="42"/>
        <v>36147.890045703127</v>
      </c>
      <c r="AU26" s="67">
        <f t="shared" si="42"/>
        <v>36150.257131703125</v>
      </c>
      <c r="AV26" s="67">
        <f t="shared" si="42"/>
        <v>36150.257131703125</v>
      </c>
      <c r="AW26" s="67">
        <f t="shared" si="42"/>
        <v>36152.624295328118</v>
      </c>
      <c r="AX26" s="67">
        <f t="shared" si="42"/>
        <v>36152.624295328118</v>
      </c>
      <c r="AY26" s="67">
        <f t="shared" si="42"/>
        <v>36154.991536578134</v>
      </c>
      <c r="AZ26" s="67">
        <f t="shared" si="42"/>
        <v>36154.991536578134</v>
      </c>
      <c r="BA26" s="67">
        <f t="shared" si="42"/>
        <v>36157.358855453131</v>
      </c>
      <c r="BB26" s="67">
        <f t="shared" si="42"/>
        <v>36157.358855453131</v>
      </c>
      <c r="BC26" s="67">
        <f t="shared" si="42"/>
        <v>36159.726251953114</v>
      </c>
      <c r="BD26" s="67">
        <f t="shared" si="42"/>
        <v>36159.726251953114</v>
      </c>
      <c r="BE26" s="67">
        <f t="shared" si="42"/>
        <v>36162.093726078128</v>
      </c>
      <c r="BF26" s="67">
        <f t="shared" si="42"/>
        <v>36162.093726078128</v>
      </c>
      <c r="BG26" s="67">
        <f t="shared" si="42"/>
        <v>36164.46127782813</v>
      </c>
      <c r="BH26" s="67">
        <f t="shared" si="42"/>
        <v>36164.46127782813</v>
      </c>
      <c r="BI26" s="67">
        <f t="shared" si="42"/>
        <v>36166.828907203118</v>
      </c>
      <c r="BJ26" s="67">
        <f t="shared" si="42"/>
        <v>36166.828907203118</v>
      </c>
      <c r="BK26" s="67">
        <f t="shared" si="42"/>
        <v>36169.196614203131</v>
      </c>
      <c r="BL26" s="67">
        <f t="shared" si="42"/>
        <v>36169.196614203131</v>
      </c>
      <c r="BM26" s="67">
        <f t="shared" si="42"/>
        <v>36171.56439882813</v>
      </c>
      <c r="BN26" s="67">
        <f t="shared" si="42"/>
        <v>36171.56439882813</v>
      </c>
      <c r="BO26" s="67">
        <f t="shared" si="42"/>
        <v>36173.932261078116</v>
      </c>
      <c r="BP26" s="68">
        <f t="shared" si="40"/>
        <v>2512.208333333333</v>
      </c>
      <c r="BQ26" s="68">
        <f t="shared" si="40"/>
        <v>2512.291666666667</v>
      </c>
      <c r="BR26" s="68">
        <f t="shared" si="40"/>
        <v>2512.291666666667</v>
      </c>
      <c r="BS26" s="68">
        <f t="shared" si="40"/>
        <v>2512.375</v>
      </c>
      <c r="BT26" s="68">
        <f t="shared" si="40"/>
        <v>2512.375</v>
      </c>
      <c r="BU26" s="68">
        <f t="shared" si="40"/>
        <v>2512.458333333333</v>
      </c>
      <c r="BV26" s="68">
        <f t="shared" si="40"/>
        <v>2512.458333333333</v>
      </c>
      <c r="BW26" s="68">
        <f t="shared" si="40"/>
        <v>2512.541666666667</v>
      </c>
      <c r="BX26" s="68">
        <f t="shared" si="40"/>
        <v>2512.541666666667</v>
      </c>
      <c r="BY26" s="68">
        <f t="shared" si="40"/>
        <v>2512.625</v>
      </c>
      <c r="BZ26" s="68">
        <f t="shared" si="41"/>
        <v>2512.625</v>
      </c>
      <c r="CA26" s="68">
        <f t="shared" si="41"/>
        <v>2512.708333333333</v>
      </c>
      <c r="CB26" s="68">
        <f t="shared" si="41"/>
        <v>2512.708333333333</v>
      </c>
      <c r="CC26" s="68">
        <f t="shared" si="41"/>
        <v>2512.791666666667</v>
      </c>
      <c r="CD26" s="68">
        <f t="shared" si="41"/>
        <v>2512.791666666667</v>
      </c>
      <c r="CE26" s="68">
        <f t="shared" si="41"/>
        <v>2512.875</v>
      </c>
      <c r="CF26" s="68">
        <f t="shared" si="41"/>
        <v>2512.875</v>
      </c>
      <c r="CG26" s="68">
        <f t="shared" si="41"/>
        <v>2512.958333333333</v>
      </c>
      <c r="CH26" s="68">
        <f t="shared" si="41"/>
        <v>2512.958333333333</v>
      </c>
      <c r="CI26" s="68">
        <f t="shared" si="41"/>
        <v>2513.041666666667</v>
      </c>
      <c r="CJ26" s="68">
        <f t="shared" si="41"/>
        <v>2513.041666666667</v>
      </c>
      <c r="CK26" s="68">
        <f t="shared" si="41"/>
        <v>2513.125</v>
      </c>
      <c r="CL26" s="68">
        <f t="shared" si="41"/>
        <v>2513.125</v>
      </c>
      <c r="CM26" s="68">
        <f t="shared" si="41"/>
        <v>2513.208333333333</v>
      </c>
      <c r="CN26" s="27"/>
      <c r="CO26" s="9" t="s">
        <v>28</v>
      </c>
    </row>
    <row r="27" spans="2:108" ht="40.049999999999997" customHeight="1">
      <c r="B27" s="35"/>
      <c r="F27" s="37"/>
      <c r="G27" s="37"/>
      <c r="H27" s="69" t="s">
        <v>56</v>
      </c>
      <c r="I27" s="54">
        <f t="shared" si="5"/>
        <v>2.2940025265403707</v>
      </c>
      <c r="J27" s="55">
        <f>IF(m_flag=1,$B$7-callp,IF(m_flag=2,2*$B$7-callp,callp))</f>
        <v>233.2598337163744</v>
      </c>
      <c r="K27" s="56">
        <f t="shared" si="6"/>
        <v>3369313.0908981133</v>
      </c>
      <c r="L27" s="57">
        <f t="shared" ca="1" si="13"/>
        <v>3369313.1557111125</v>
      </c>
      <c r="M27" s="58">
        <f t="shared" si="7"/>
        <v>-1.1707825545737498E-3</v>
      </c>
      <c r="N27" s="58">
        <f t="shared" ca="1" si="8"/>
        <v>23099.001271769605</v>
      </c>
      <c r="O27" s="59">
        <f ca="1">IF(Date_y&gt;=1900,DATE(Date_y,Date_m,Date_d)+MOD(Date_d,1),Date_y&amp;"-"&amp;TEXT(Date_m,"00")&amp;"-"&amp;TEXT(INT(Date_d),"00")&amp;"     "&amp;TEXT(MOD(Date_d,1),"hh:mm:ss"))</f>
        <v>954294.65571111254</v>
      </c>
      <c r="P27" s="64">
        <f t="shared" si="14"/>
        <v>-114.97719470386986</v>
      </c>
      <c r="Q27" s="66">
        <f t="shared" si="33"/>
        <v>393.51004381736078</v>
      </c>
      <c r="R27" s="66">
        <f t="shared" si="33"/>
        <v>33.077345901847544</v>
      </c>
      <c r="S27" s="66">
        <f t="shared" si="33"/>
        <v>-126.03221051765556</v>
      </c>
      <c r="T27" s="66">
        <f t="shared" si="33"/>
        <v>-120.81953360418093</v>
      </c>
      <c r="U27" s="66">
        <f t="shared" si="33"/>
        <v>-77.008731686506962</v>
      </c>
      <c r="V27" s="66">
        <f t="shared" si="33"/>
        <v>34.832969123244297</v>
      </c>
      <c r="W27" s="66">
        <f t="shared" si="33"/>
        <v>-22.301080877258002</v>
      </c>
      <c r="X27" s="66">
        <f t="shared" si="33"/>
        <v>-42.264631402448053</v>
      </c>
      <c r="Y27" s="66">
        <f t="shared" si="33"/>
        <v>-68.991362567506556</v>
      </c>
      <c r="Z27" s="66">
        <f t="shared" si="33"/>
        <v>9.8384496539409039</v>
      </c>
      <c r="AA27" s="66">
        <f t="shared" si="34"/>
        <v>-28.529706318244337</v>
      </c>
      <c r="AB27" s="66">
        <f t="shared" si="34"/>
        <v>-10.106466224029424</v>
      </c>
      <c r="AC27" s="66">
        <f t="shared" si="34"/>
        <v>-14.455197214366693</v>
      </c>
      <c r="AD27" s="66">
        <f t="shared" si="34"/>
        <v>-40.02923049984981</v>
      </c>
      <c r="AE27" s="66">
        <f t="shared" si="34"/>
        <v>-10.490024623002553</v>
      </c>
      <c r="AF27" s="66">
        <f t="shared" si="34"/>
        <v>-12.500654256074435</v>
      </c>
      <c r="AG27" s="66">
        <f t="shared" si="34"/>
        <v>-2.1661798840660371E-2</v>
      </c>
      <c r="AH27" s="66">
        <f t="shared" si="34"/>
        <v>-12.929584490612855</v>
      </c>
      <c r="AI27" s="66">
        <f t="shared" si="34"/>
        <v>2.2081116640566267</v>
      </c>
      <c r="AJ27" s="66">
        <f t="shared" si="34"/>
        <v>0.99143762489255005</v>
      </c>
      <c r="AK27" s="66">
        <f t="shared" si="34"/>
        <v>-11.26165708171334</v>
      </c>
      <c r="AL27" s="66">
        <f t="shared" si="34"/>
        <v>-0.67016921991717016</v>
      </c>
      <c r="AM27" s="66">
        <f t="shared" si="34"/>
        <v>8.2178299153814596</v>
      </c>
      <c r="AN27" s="66">
        <f t="shared" si="34"/>
        <v>0.75851997761332923</v>
      </c>
      <c r="AP27" s="24">
        <v>2050</v>
      </c>
      <c r="AQ27" s="24" t="s">
        <v>15</v>
      </c>
      <c r="AR27" s="67">
        <f>-20+32*(($B$1-1820)/100)^2-0.5628*(2150-$B$1)</f>
        <v>24499.2984</v>
      </c>
      <c r="AS27" s="67">
        <f t="shared" ref="AS27:BO27" si="43">-20+32*(($B$1-1820)/100)^2-0.5628*(2150-$B$1)</f>
        <v>24499.2984</v>
      </c>
      <c r="AT27" s="67">
        <f t="shared" si="43"/>
        <v>24499.2984</v>
      </c>
      <c r="AU27" s="67">
        <f t="shared" si="43"/>
        <v>24499.2984</v>
      </c>
      <c r="AV27" s="67">
        <f t="shared" si="43"/>
        <v>24499.2984</v>
      </c>
      <c r="AW27" s="67">
        <f t="shared" si="43"/>
        <v>24499.2984</v>
      </c>
      <c r="AX27" s="67">
        <f t="shared" si="43"/>
        <v>24499.2984</v>
      </c>
      <c r="AY27" s="67">
        <f t="shared" si="43"/>
        <v>24499.2984</v>
      </c>
      <c r="AZ27" s="67">
        <f t="shared" si="43"/>
        <v>24499.2984</v>
      </c>
      <c r="BA27" s="67">
        <f t="shared" si="43"/>
        <v>24499.2984</v>
      </c>
      <c r="BB27" s="67">
        <f t="shared" si="43"/>
        <v>24499.2984</v>
      </c>
      <c r="BC27" s="67">
        <f t="shared" si="43"/>
        <v>24499.2984</v>
      </c>
      <c r="BD27" s="67">
        <f t="shared" si="43"/>
        <v>24499.2984</v>
      </c>
      <c r="BE27" s="67">
        <f t="shared" si="43"/>
        <v>24499.2984</v>
      </c>
      <c r="BF27" s="67">
        <f t="shared" si="43"/>
        <v>24499.2984</v>
      </c>
      <c r="BG27" s="67">
        <f t="shared" si="43"/>
        <v>24499.2984</v>
      </c>
      <c r="BH27" s="67">
        <f t="shared" si="43"/>
        <v>24499.2984</v>
      </c>
      <c r="BI27" s="67">
        <f t="shared" si="43"/>
        <v>24499.2984</v>
      </c>
      <c r="BJ27" s="67">
        <f t="shared" si="43"/>
        <v>24499.2984</v>
      </c>
      <c r="BK27" s="67">
        <f t="shared" si="43"/>
        <v>24499.2984</v>
      </c>
      <c r="BL27" s="67">
        <f t="shared" si="43"/>
        <v>24499.2984</v>
      </c>
      <c r="BM27" s="67">
        <f t="shared" si="43"/>
        <v>24499.2984</v>
      </c>
      <c r="BN27" s="67">
        <f t="shared" si="43"/>
        <v>24499.2984</v>
      </c>
      <c r="BO27" s="67">
        <f t="shared" si="43"/>
        <v>24499.2984</v>
      </c>
      <c r="BP27" s="68"/>
      <c r="BQ27" s="68"/>
      <c r="BR27" s="68"/>
      <c r="BS27" s="68"/>
      <c r="BT27" s="68"/>
      <c r="BU27" s="68"/>
      <c r="BV27" s="68"/>
      <c r="BW27" s="68"/>
      <c r="BX27" s="68"/>
      <c r="BY27" s="68"/>
      <c r="BZ27" s="68"/>
      <c r="CA27" s="68"/>
      <c r="CB27" s="68"/>
      <c r="CC27" s="68"/>
      <c r="CD27" s="68"/>
      <c r="CE27" s="68"/>
      <c r="CF27" s="68"/>
      <c r="CG27" s="68"/>
      <c r="CH27" s="68"/>
      <c r="CI27" s="68"/>
      <c r="CJ27" s="68"/>
      <c r="CK27" s="68"/>
      <c r="CL27" s="68"/>
      <c r="CM27" s="68"/>
      <c r="CN27" s="27"/>
    </row>
    <row r="28" spans="2:108" ht="40.049999999999997" customHeight="1">
      <c r="B28" s="35"/>
      <c r="F28" s="37"/>
      <c r="G28" s="37"/>
      <c r="H28" s="69" t="s">
        <v>57</v>
      </c>
      <c r="I28" s="54">
        <f t="shared" si="5"/>
        <v>2.0322031387412212</v>
      </c>
      <c r="J28" s="55">
        <f>IF(m_flag=1,$B$7-callp,IF(m_flag=2,2*$B$7-callp,callp))</f>
        <v>248.74005175160897</v>
      </c>
      <c r="K28" s="56">
        <f t="shared" si="6"/>
        <v>3369328.5711161485</v>
      </c>
      <c r="L28" s="57">
        <f t="shared" ca="1" si="13"/>
        <v>3369328.6388955656</v>
      </c>
      <c r="M28" s="58">
        <f t="shared" si="7"/>
        <v>1.7956355859688113E-3</v>
      </c>
      <c r="N28" s="58">
        <f t="shared" ca="1" si="8"/>
        <v>23099.001271769605</v>
      </c>
      <c r="O28" s="59">
        <f ca="1">IF(Date_y&gt;=1900,DATE(Date_y,Date_m,Date_d)+MOD(Date_d,1),Date_y&amp;"-"&amp;TEXT(Date_m,"00")&amp;"-"&amp;TEXT(INT(Date_d),"00")&amp;"     "&amp;TEXT(MOD(Date_d,1),"hh:mm:ss"))</f>
        <v>954310.13889556564</v>
      </c>
      <c r="P28" s="64">
        <f t="shared" si="14"/>
        <v>177.74353551647727</v>
      </c>
      <c r="Q28" s="66">
        <f t="shared" si="33"/>
        <v>397.52575652080179</v>
      </c>
      <c r="R28" s="66">
        <f t="shared" si="33"/>
        <v>80.454865555447384</v>
      </c>
      <c r="S28" s="66">
        <f t="shared" si="33"/>
        <v>-126.05520463499553</v>
      </c>
      <c r="T28" s="66">
        <f t="shared" si="33"/>
        <v>98.799641980226113</v>
      </c>
      <c r="U28" s="66">
        <f t="shared" si="33"/>
        <v>-28.409242857062509</v>
      </c>
      <c r="V28" s="66">
        <f t="shared" si="33"/>
        <v>12.553792558855726</v>
      </c>
      <c r="W28" s="66">
        <f t="shared" si="33"/>
        <v>-54.235680036114168</v>
      </c>
      <c r="X28" s="66">
        <f t="shared" si="33"/>
        <v>-40.890439310966151</v>
      </c>
      <c r="Y28" s="66">
        <f t="shared" si="33"/>
        <v>-69.628206813280158</v>
      </c>
      <c r="Z28" s="66">
        <f t="shared" si="33"/>
        <v>23.643258799882627</v>
      </c>
      <c r="AA28" s="66">
        <f t="shared" si="34"/>
        <v>-28.578145013389133</v>
      </c>
      <c r="AB28" s="66">
        <f t="shared" si="34"/>
        <v>-10.931300741582199</v>
      </c>
      <c r="AC28" s="66">
        <f t="shared" si="34"/>
        <v>-4.7445647595566802</v>
      </c>
      <c r="AD28" s="66">
        <f t="shared" si="34"/>
        <v>-43.168838811037489</v>
      </c>
      <c r="AE28" s="66">
        <f t="shared" si="34"/>
        <v>-11.372842911759921</v>
      </c>
      <c r="AF28" s="66">
        <f t="shared" si="34"/>
        <v>-4.7661373901950768</v>
      </c>
      <c r="AG28" s="66">
        <f t="shared" si="34"/>
        <v>-0.59527522421824164</v>
      </c>
      <c r="AH28" s="66">
        <f t="shared" si="34"/>
        <v>-15.783632863734004</v>
      </c>
      <c r="AI28" s="66">
        <f t="shared" si="34"/>
        <v>5.3346406123686521</v>
      </c>
      <c r="AJ28" s="66">
        <f t="shared" si="34"/>
        <v>2.2727706881058465</v>
      </c>
      <c r="AK28" s="66">
        <f t="shared" si="34"/>
        <v>-9.9791397416502612</v>
      </c>
      <c r="AL28" s="66">
        <f t="shared" si="34"/>
        <v>-3.6964436980806905</v>
      </c>
      <c r="AM28" s="66">
        <f t="shared" si="34"/>
        <v>8.250669034629377</v>
      </c>
      <c r="AN28" s="66">
        <f t="shared" si="34"/>
        <v>1.7432345737819455</v>
      </c>
      <c r="AP28" s="24">
        <v>2150</v>
      </c>
      <c r="AQ28" s="24" t="s">
        <v>16</v>
      </c>
      <c r="AR28" s="67">
        <f t="shared" ref="AR28:BO28" si="44">-20+32*BP28^2</f>
        <v>23173.554272222216</v>
      </c>
      <c r="AS28" s="67">
        <f t="shared" si="44"/>
        <v>23174.990138888894</v>
      </c>
      <c r="AT28" s="67">
        <f t="shared" si="44"/>
        <v>23174.990138888894</v>
      </c>
      <c r="AU28" s="67">
        <f t="shared" si="44"/>
        <v>23176.426049999998</v>
      </c>
      <c r="AV28" s="67">
        <f t="shared" si="44"/>
        <v>23176.426049999998</v>
      </c>
      <c r="AW28" s="67">
        <f t="shared" si="44"/>
        <v>23177.862005555551</v>
      </c>
      <c r="AX28" s="67">
        <f t="shared" si="44"/>
        <v>23177.862005555551</v>
      </c>
      <c r="AY28" s="67">
        <f t="shared" si="44"/>
        <v>23179.298005555564</v>
      </c>
      <c r="AZ28" s="67">
        <f t="shared" si="44"/>
        <v>23179.298005555564</v>
      </c>
      <c r="BA28" s="67">
        <f t="shared" si="44"/>
        <v>23180.734049999999</v>
      </c>
      <c r="BB28" s="67">
        <f t="shared" si="44"/>
        <v>23180.734049999999</v>
      </c>
      <c r="BC28" s="67">
        <f t="shared" si="44"/>
        <v>23182.17013888888</v>
      </c>
      <c r="BD28" s="67">
        <f t="shared" si="44"/>
        <v>23182.17013888888</v>
      </c>
      <c r="BE28" s="67">
        <f t="shared" si="44"/>
        <v>23183.606272222223</v>
      </c>
      <c r="BF28" s="67">
        <f t="shared" si="44"/>
        <v>23183.606272222223</v>
      </c>
      <c r="BG28" s="67">
        <f t="shared" si="44"/>
        <v>23185.042450000001</v>
      </c>
      <c r="BH28" s="67">
        <f t="shared" si="44"/>
        <v>23185.042450000001</v>
      </c>
      <c r="BI28" s="67">
        <f t="shared" si="44"/>
        <v>23186.478672222216</v>
      </c>
      <c r="BJ28" s="67">
        <f t="shared" si="44"/>
        <v>23186.478672222216</v>
      </c>
      <c r="BK28" s="67">
        <f t="shared" si="44"/>
        <v>23187.914938888895</v>
      </c>
      <c r="BL28" s="67">
        <f t="shared" si="44"/>
        <v>23187.914938888895</v>
      </c>
      <c r="BM28" s="67">
        <f t="shared" si="44"/>
        <v>23189.351249999996</v>
      </c>
      <c r="BN28" s="67">
        <f t="shared" si="44"/>
        <v>23189.351249999996</v>
      </c>
      <c r="BO28" s="67">
        <f t="shared" si="44"/>
        <v>23190.787605555553</v>
      </c>
      <c r="BP28" s="68">
        <f t="shared" ref="BP28:CM28" si="45">(Delta_t_Year-1820)/100</f>
        <v>26.92208333333333</v>
      </c>
      <c r="BQ28" s="68">
        <f t="shared" si="45"/>
        <v>26.922916666666669</v>
      </c>
      <c r="BR28" s="68">
        <f t="shared" si="45"/>
        <v>26.922916666666669</v>
      </c>
      <c r="BS28" s="68">
        <f t="shared" si="45"/>
        <v>26.923749999999998</v>
      </c>
      <c r="BT28" s="68">
        <f t="shared" si="45"/>
        <v>26.923749999999998</v>
      </c>
      <c r="BU28" s="68">
        <f t="shared" si="45"/>
        <v>26.924583333333331</v>
      </c>
      <c r="BV28" s="68">
        <f t="shared" si="45"/>
        <v>26.924583333333331</v>
      </c>
      <c r="BW28" s="68">
        <f t="shared" si="45"/>
        <v>26.925416666666671</v>
      </c>
      <c r="BX28" s="68">
        <f t="shared" si="45"/>
        <v>26.925416666666671</v>
      </c>
      <c r="BY28" s="68">
        <f t="shared" si="45"/>
        <v>26.92625</v>
      </c>
      <c r="BZ28" s="68">
        <f t="shared" si="45"/>
        <v>26.92625</v>
      </c>
      <c r="CA28" s="68">
        <f t="shared" si="45"/>
        <v>26.927083333333329</v>
      </c>
      <c r="CB28" s="68">
        <f t="shared" si="45"/>
        <v>26.927083333333329</v>
      </c>
      <c r="CC28" s="68">
        <f t="shared" si="45"/>
        <v>26.927916666666668</v>
      </c>
      <c r="CD28" s="68">
        <f t="shared" si="45"/>
        <v>26.927916666666668</v>
      </c>
      <c r="CE28" s="68">
        <f t="shared" si="45"/>
        <v>26.928750000000001</v>
      </c>
      <c r="CF28" s="68">
        <f t="shared" si="45"/>
        <v>26.928750000000001</v>
      </c>
      <c r="CG28" s="68">
        <f t="shared" si="45"/>
        <v>26.92958333333333</v>
      </c>
      <c r="CH28" s="68">
        <f t="shared" si="45"/>
        <v>26.92958333333333</v>
      </c>
      <c r="CI28" s="68">
        <f t="shared" si="45"/>
        <v>26.93041666666667</v>
      </c>
      <c r="CJ28" s="68">
        <f t="shared" si="45"/>
        <v>26.93041666666667</v>
      </c>
      <c r="CK28" s="68">
        <f t="shared" si="45"/>
        <v>26.931249999999999</v>
      </c>
      <c r="CL28" s="68">
        <f t="shared" si="45"/>
        <v>26.931249999999999</v>
      </c>
      <c r="CM28" s="68">
        <f t="shared" si="45"/>
        <v>26.932083333333331</v>
      </c>
      <c r="CN28" s="27"/>
    </row>
    <row r="29" spans="2:108" ht="40.049999999999997" customHeight="1">
      <c r="B29" s="35"/>
      <c r="F29" s="37"/>
      <c r="G29" s="37"/>
      <c r="H29" s="69" t="s">
        <v>58</v>
      </c>
      <c r="I29" s="54">
        <f t="shared" si="5"/>
        <v>1.770403750942072</v>
      </c>
      <c r="J29" s="55">
        <f>IF(m_flag=1,$B$7-callp,IF(m_flag=2,2*$B$7-callp,callp))</f>
        <v>264.10752360563231</v>
      </c>
      <c r="K29" s="56">
        <f t="shared" si="6"/>
        <v>3369343.9385880027</v>
      </c>
      <c r="L29" s="57">
        <f t="shared" ca="1" si="13"/>
        <v>3369344.0054555908</v>
      </c>
      <c r="M29" s="58">
        <f t="shared" si="7"/>
        <v>9.0036505087680914E-4</v>
      </c>
      <c r="N29" s="58">
        <f t="shared" ca="1" si="8"/>
        <v>23100.431936563939</v>
      </c>
      <c r="O29" s="59">
        <f ca="1">IF(Date_y&gt;=1900,DATE(Date_y,Date_m,Date_d)+MOD(Date_d,1),Date_y&amp;"-"&amp;TEXT(Date_m,"00")&amp;"-"&amp;TEXT(INT(Date_d),"00")&amp;"     "&amp;TEXT(MOD(Date_d,1),"hh:mm:ss"))</f>
        <v>954325.50545559078</v>
      </c>
      <c r="P29" s="64">
        <f t="shared" si="14"/>
        <v>89.896494452658956</v>
      </c>
      <c r="Q29" s="66">
        <f t="shared" si="33"/>
        <v>401.43174129856584</v>
      </c>
      <c r="R29" s="66">
        <f t="shared" si="33"/>
        <v>122.7853408701308</v>
      </c>
      <c r="S29" s="66">
        <f t="shared" si="33"/>
        <v>-126.07802850069548</v>
      </c>
      <c r="T29" s="66">
        <f t="shared" si="33"/>
        <v>-78.459718578101601</v>
      </c>
      <c r="U29" s="66">
        <f t="shared" si="33"/>
        <v>22.939866975702977</v>
      </c>
      <c r="V29" s="66">
        <f t="shared" si="33"/>
        <v>-9.9083532398524241</v>
      </c>
      <c r="W29" s="66">
        <f t="shared" si="33"/>
        <v>-73.442933983308123</v>
      </c>
      <c r="X29" s="66">
        <f t="shared" si="33"/>
        <v>-39.505871333211054</v>
      </c>
      <c r="Y29" s="66">
        <f t="shared" si="33"/>
        <v>-69.952743180430517</v>
      </c>
      <c r="Z29" s="66">
        <f t="shared" si="33"/>
        <v>35.902154556278774</v>
      </c>
      <c r="AA29" s="66">
        <f t="shared" si="34"/>
        <v>-28.626195802078922</v>
      </c>
      <c r="AB29" s="66">
        <f t="shared" si="34"/>
        <v>-11.747049650689135</v>
      </c>
      <c r="AC29" s="66">
        <f t="shared" si="34"/>
        <v>5.1255924316772283</v>
      </c>
      <c r="AD29" s="66">
        <f t="shared" si="34"/>
        <v>-43.96981093469028</v>
      </c>
      <c r="AE29" s="66">
        <f t="shared" si="34"/>
        <v>-12.237082087899521</v>
      </c>
      <c r="AF29" s="66">
        <f t="shared" si="34"/>
        <v>4.0702134788102029</v>
      </c>
      <c r="AG29" s="66">
        <f t="shared" si="34"/>
        <v>-1.1640418839676958</v>
      </c>
      <c r="AH29" s="66">
        <f t="shared" si="34"/>
        <v>-15.298536644702756</v>
      </c>
      <c r="AI29" s="66">
        <f t="shared" si="34"/>
        <v>8.1547266358037565</v>
      </c>
      <c r="AJ29" s="66">
        <f t="shared" si="34"/>
        <v>3.5186916921220375</v>
      </c>
      <c r="AK29" s="66">
        <f t="shared" si="34"/>
        <v>-8.157599592172323</v>
      </c>
      <c r="AL29" s="66">
        <f t="shared" si="34"/>
        <v>-6.4605022633370268</v>
      </c>
      <c r="AM29" s="66">
        <f t="shared" si="34"/>
        <v>8.2826020568658354</v>
      </c>
      <c r="AN29" s="66">
        <f t="shared" si="34"/>
        <v>2.6940321318384521</v>
      </c>
      <c r="AP29" s="29">
        <v>7000</v>
      </c>
      <c r="AQ29" s="22" t="s">
        <v>70</v>
      </c>
      <c r="AR29" s="23">
        <f t="shared" ref="AR29:BO29" si="46">-0.000012932*(Delta_t_Year_修正值-1955)^2</f>
        <v>-84.566414597618035</v>
      </c>
      <c r="AS29" s="23">
        <f t="shared" si="46"/>
        <v>-84.571926323784737</v>
      </c>
      <c r="AT29" s="23">
        <f t="shared" si="46"/>
        <v>-84.571926323784737</v>
      </c>
      <c r="AU29" s="23">
        <f t="shared" si="46"/>
        <v>-84.577438229562489</v>
      </c>
      <c r="AV29" s="23">
        <f t="shared" si="46"/>
        <v>-84.577438229562489</v>
      </c>
      <c r="AW29" s="23">
        <f t="shared" si="46"/>
        <v>-84.582950314951361</v>
      </c>
      <c r="AX29" s="23">
        <f t="shared" si="46"/>
        <v>-84.582950314951361</v>
      </c>
      <c r="AY29" s="23">
        <f t="shared" si="46"/>
        <v>-84.588462579951411</v>
      </c>
      <c r="AZ29" s="23">
        <f t="shared" si="46"/>
        <v>-84.588462579951411</v>
      </c>
      <c r="BA29" s="23">
        <f t="shared" si="46"/>
        <v>-84.593975024562496</v>
      </c>
      <c r="BB29" s="23">
        <f t="shared" si="46"/>
        <v>-84.593975024562496</v>
      </c>
      <c r="BC29" s="23">
        <f t="shared" si="46"/>
        <v>-84.599487648784702</v>
      </c>
      <c r="BD29" s="23">
        <f t="shared" si="46"/>
        <v>-84.599487648784702</v>
      </c>
      <c r="BE29" s="23">
        <f t="shared" si="46"/>
        <v>-84.605000452618071</v>
      </c>
      <c r="BF29" s="23">
        <f t="shared" si="46"/>
        <v>-84.605000452618071</v>
      </c>
      <c r="BG29" s="23">
        <f t="shared" si="46"/>
        <v>-84.61051343606249</v>
      </c>
      <c r="BH29" s="23">
        <f t="shared" si="46"/>
        <v>-84.61051343606249</v>
      </c>
      <c r="BI29" s="23">
        <f t="shared" si="46"/>
        <v>-84.61602659911803</v>
      </c>
      <c r="BJ29" s="23">
        <f t="shared" si="46"/>
        <v>-84.61602659911803</v>
      </c>
      <c r="BK29" s="23">
        <f t="shared" si="46"/>
        <v>-84.621539941784732</v>
      </c>
      <c r="BL29" s="23">
        <f t="shared" si="46"/>
        <v>-84.621539941784732</v>
      </c>
      <c r="BM29" s="23">
        <f t="shared" si="46"/>
        <v>-84.627053464062499</v>
      </c>
      <c r="BN29" s="23">
        <f t="shared" si="46"/>
        <v>-84.627053464062499</v>
      </c>
      <c r="BO29" s="23">
        <f t="shared" si="46"/>
        <v>-84.632567165951357</v>
      </c>
      <c r="CN29" s="28"/>
      <c r="CO29" s="9" t="s">
        <v>29</v>
      </c>
    </row>
    <row r="30" spans="2:108" ht="40.049999999999997" customHeight="1">
      <c r="B30" s="35"/>
      <c r="F30" s="37"/>
      <c r="G30" s="37"/>
      <c r="H30" s="69" t="s">
        <v>59</v>
      </c>
      <c r="I30" s="54">
        <f t="shared" si="5"/>
        <v>1.5086043631429229</v>
      </c>
      <c r="J30" s="55">
        <f>IF(m_flag=1,$B$7-callp,IF(m_flag=2,2*$B$7-callp,callp))</f>
        <v>279.35298048420901</v>
      </c>
      <c r="K30" s="56">
        <f t="shared" si="6"/>
        <v>3369359.1840448813</v>
      </c>
      <c r="L30" s="57">
        <f t="shared" ca="1" si="13"/>
        <v>3369359.2532738182</v>
      </c>
      <c r="M30" s="58">
        <f t="shared" si="7"/>
        <v>3.2617135738755216E-3</v>
      </c>
      <c r="N30" s="58">
        <f t="shared" ca="1" si="8"/>
        <v>23100.431936563939</v>
      </c>
      <c r="O30" s="59">
        <f ca="1">IF(Date_y&gt;=1900,DATE(Date_y,Date_m,Date_d)+MOD(Date_d,1),Date_y&amp;"-"&amp;TEXT(Date_m,"00")&amp;"-"&amp;TEXT(INT(Date_d),"00")&amp;"     "&amp;TEXT(MOD(Date_d,1),"hh:mm:ss"))</f>
        <v>954340.75327381818</v>
      </c>
      <c r="P30" s="64">
        <f t="shared" si="14"/>
        <v>328.5219521538404</v>
      </c>
      <c r="Q30" s="66">
        <f t="shared" si="33"/>
        <v>405.22670090577702</v>
      </c>
      <c r="R30" s="66">
        <f t="shared" si="33"/>
        <v>157.71073340974226</v>
      </c>
      <c r="S30" s="66">
        <f t="shared" si="33"/>
        <v>-126.10066841164408</v>
      </c>
      <c r="T30" s="66">
        <f t="shared" si="33"/>
        <v>61.302531314796234</v>
      </c>
      <c r="U30" s="66">
        <f t="shared" si="33"/>
        <v>71.43881871713721</v>
      </c>
      <c r="V30" s="66">
        <f t="shared" si="33"/>
        <v>-31.926645818744365</v>
      </c>
      <c r="W30" s="66">
        <f t="shared" si="33"/>
        <v>-75.821955487560459</v>
      </c>
      <c r="X30" s="66">
        <f t="shared" si="33"/>
        <v>-38.112907172267292</v>
      </c>
      <c r="Y30" s="66">
        <f t="shared" si="33"/>
        <v>-69.970382234741081</v>
      </c>
      <c r="Z30" s="66">
        <f t="shared" si="33"/>
        <v>45.901624456791616</v>
      </c>
      <c r="AA30" s="66">
        <f t="shared" si="34"/>
        <v>-28.673830446229026</v>
      </c>
      <c r="AB30" s="66">
        <f t="shared" si="34"/>
        <v>-12.553065052876237</v>
      </c>
      <c r="AC30" s="66">
        <f t="shared" si="34"/>
        <v>14.674949158663493</v>
      </c>
      <c r="AD30" s="66">
        <f t="shared" si="34"/>
        <v>-42.441751468323687</v>
      </c>
      <c r="AE30" s="66">
        <f t="shared" si="34"/>
        <v>-13.081589233077986</v>
      </c>
      <c r="AF30" s="66">
        <f t="shared" si="34"/>
        <v>11.872090998545493</v>
      </c>
      <c r="AG30" s="66">
        <f t="shared" si="34"/>
        <v>-1.7270033408531735</v>
      </c>
      <c r="AH30" s="66">
        <f t="shared" si="34"/>
        <v>-11.648105005842497</v>
      </c>
      <c r="AI30" s="66">
        <f t="shared" si="34"/>
        <v>10.525257746357948</v>
      </c>
      <c r="AJ30" s="66">
        <f t="shared" si="34"/>
        <v>4.7149512876940456</v>
      </c>
      <c r="AK30" s="66">
        <f t="shared" si="34"/>
        <v>-5.9090402487804567</v>
      </c>
      <c r="AL30" s="66">
        <f t="shared" si="34"/>
        <v>-8.7889538804160594</v>
      </c>
      <c r="AM30" s="66">
        <f t="shared" si="34"/>
        <v>8.3136224043560016</v>
      </c>
      <c r="AN30" s="66">
        <f t="shared" si="34"/>
        <v>3.5965695553354862</v>
      </c>
      <c r="CN30" s="28"/>
    </row>
    <row r="31" spans="2:108" ht="40.049999999999997" customHeight="1">
      <c r="B31" s="35"/>
      <c r="F31" s="37"/>
      <c r="G31" s="37"/>
      <c r="H31" s="69" t="s">
        <v>41</v>
      </c>
      <c r="I31" s="54">
        <f t="shared" si="5"/>
        <v>1.2468049753437729</v>
      </c>
      <c r="J31" s="55">
        <f>IF(m_flag=1,$B$7-callp,IF(m_flag=2,2*$B$7-callp,callp))</f>
        <v>294.47567010785895</v>
      </c>
      <c r="K31" s="56">
        <f t="shared" si="6"/>
        <v>3369374.3067345046</v>
      </c>
      <c r="L31" s="57">
        <f t="shared" ca="1" si="13"/>
        <v>3369374.3758106125</v>
      </c>
      <c r="M31" s="58">
        <f t="shared" si="7"/>
        <v>3.125443889926078E-3</v>
      </c>
      <c r="N31" s="58">
        <f t="shared" ca="1" si="8"/>
        <v>23101.8626456231</v>
      </c>
      <c r="O31" s="59">
        <f ca="1">IF(Date_y&gt;=1900,DATE(Date_y,Date_m,Date_d)+MOD(Date_d,1),Date_y&amp;"-"&amp;TEXT(Date_m,"00")&amp;"-"&amp;TEXT(INT(Date_d),"00")&amp;"     "&amp;TEXT(MOD(Date_d,1),"hh:mm:ss"))</f>
        <v>954355.87581061246</v>
      </c>
      <c r="P31" s="64">
        <f t="shared" si="14"/>
        <v>317.40005659198619</v>
      </c>
      <c r="Q31" s="66">
        <f t="shared" si="33"/>
        <v>408.91162301559035</v>
      </c>
      <c r="R31" s="66">
        <f t="shared" si="33"/>
        <v>183.41674890388381</v>
      </c>
      <c r="S31" s="66">
        <f t="shared" si="33"/>
        <v>-126.1231233158646</v>
      </c>
      <c r="T31" s="66">
        <f t="shared" si="33"/>
        <v>-48.106897515600117</v>
      </c>
      <c r="U31" s="66">
        <f t="shared" si="33"/>
        <v>112.03008150526395</v>
      </c>
      <c r="V31" s="66">
        <f t="shared" si="33"/>
        <v>-52.922229948126649</v>
      </c>
      <c r="W31" s="66">
        <f t="shared" si="33"/>
        <v>-61.225183497473473</v>
      </c>
      <c r="X31" s="66">
        <f t="shared" si="33"/>
        <v>-36.712753296733354</v>
      </c>
      <c r="Y31" s="66">
        <f t="shared" si="33"/>
        <v>-69.688342343070815</v>
      </c>
      <c r="Z31" s="66">
        <f t="shared" si="33"/>
        <v>53.099382218055432</v>
      </c>
      <c r="AA31" s="66">
        <f t="shared" si="34"/>
        <v>-28.721047369320914</v>
      </c>
      <c r="AB31" s="66">
        <f t="shared" si="34"/>
        <v>-13.349165375825777</v>
      </c>
      <c r="AC31" s="66">
        <f t="shared" si="34"/>
        <v>23.462038377560113</v>
      </c>
      <c r="AD31" s="66">
        <f t="shared" si="34"/>
        <v>-38.719401812357404</v>
      </c>
      <c r="AE31" s="66">
        <f t="shared" si="34"/>
        <v>-13.905757199403851</v>
      </c>
      <c r="AF31" s="66">
        <f t="shared" si="34"/>
        <v>16.830959061986359</v>
      </c>
      <c r="AG31" s="66">
        <f t="shared" si="34"/>
        <v>-2.283548380624103</v>
      </c>
      <c r="AH31" s="66">
        <f t="shared" si="34"/>
        <v>-5.6501379647295096</v>
      </c>
      <c r="AI31" s="66">
        <f t="shared" si="34"/>
        <v>12.333966308136574</v>
      </c>
      <c r="AJ31" s="66">
        <f t="shared" si="34"/>
        <v>5.8491258874272969</v>
      </c>
      <c r="AK31" s="66">
        <f t="shared" si="34"/>
        <v>-3.3637484513450713</v>
      </c>
      <c r="AL31" s="66">
        <f t="shared" si="34"/>
        <v>-10.544617238946111</v>
      </c>
      <c r="AM31" s="66">
        <f t="shared" si="34"/>
        <v>8.3437419281594281</v>
      </c>
      <c r="AN31" s="66">
        <f t="shared" si="34"/>
        <v>4.4383430953446368</v>
      </c>
      <c r="CN31" s="28"/>
    </row>
    <row r="32" spans="2:108" ht="40.049999999999997" customHeight="1">
      <c r="B32" s="35"/>
      <c r="F32" s="37"/>
      <c r="G32" s="37"/>
      <c r="H32" s="69" t="s">
        <v>42</v>
      </c>
      <c r="I32" s="54">
        <f t="shared" si="5"/>
        <v>0.98500558754462375</v>
      </c>
      <c r="J32" s="55">
        <f>IF(m_flag=1,$B$7-callp,IF(m_flag=2,2*$B$7-callp,callp))</f>
        <v>309.48311465113881</v>
      </c>
      <c r="K32" s="56">
        <f t="shared" si="6"/>
        <v>3369389.3141790479</v>
      </c>
      <c r="L32" s="57">
        <f t="shared" ca="1" si="13"/>
        <v>3369389.3849246684</v>
      </c>
      <c r="M32" s="58">
        <f t="shared" si="7"/>
        <v>4.7949568684004344E-3</v>
      </c>
      <c r="N32" s="58">
        <f t="shared" ca="1" si="8"/>
        <v>23101.8626456231</v>
      </c>
      <c r="O32" s="59">
        <f ca="1">IF(Date_y&gt;=1900,DATE(Date_y,Date_m,Date_d)+MOD(Date_d,1),Date_y&amp;"-"&amp;TEXT(Date_m,"00")&amp;"-"&amp;TEXT(INT(Date_d),"00")&amp;"     "&amp;TEXT(MOD(Date_d,1),"hh:mm:ss"))</f>
        <v>954370.88492466835</v>
      </c>
      <c r="P32" s="64">
        <f t="shared" si="14"/>
        <v>490.44938709010842</v>
      </c>
      <c r="Q32" s="66">
        <f t="shared" si="33"/>
        <v>412.4894977943232</v>
      </c>
      <c r="R32" s="66">
        <f t="shared" si="33"/>
        <v>198.6887619836217</v>
      </c>
      <c r="S32" s="66">
        <f t="shared" si="33"/>
        <v>-126.14540444553029</v>
      </c>
      <c r="T32" s="66">
        <f t="shared" si="33"/>
        <v>39.003565018713651</v>
      </c>
      <c r="U32" s="66">
        <f t="shared" si="33"/>
        <v>140.69302154329552</v>
      </c>
      <c r="V32" s="66">
        <f t="shared" si="33"/>
        <v>-72.376823116913215</v>
      </c>
      <c r="W32" s="66">
        <f t="shared" si="33"/>
        <v>-33.244874773594489</v>
      </c>
      <c r="X32" s="66">
        <f t="shared" si="33"/>
        <v>-35.305811933773889</v>
      </c>
      <c r="Y32" s="66">
        <f t="shared" si="33"/>
        <v>-69.114711352331653</v>
      </c>
      <c r="Z32" s="66">
        <f t="shared" si="33"/>
        <v>57.141889737063728</v>
      </c>
      <c r="AA32" s="66">
        <f t="shared" si="34"/>
        <v>-28.767870804859086</v>
      </c>
      <c r="AB32" s="66">
        <f t="shared" si="34"/>
        <v>-14.13561323195451</v>
      </c>
      <c r="AC32" s="66">
        <f t="shared" si="34"/>
        <v>31.102353884000529</v>
      </c>
      <c r="AD32" s="66">
        <f t="shared" si="34"/>
        <v>-33.042930817349152</v>
      </c>
      <c r="AE32" s="66">
        <f t="shared" si="34"/>
        <v>-14.70947415132785</v>
      </c>
      <c r="AF32" s="66">
        <f t="shared" si="34"/>
        <v>17.866060925258491</v>
      </c>
      <c r="AG32" s="66">
        <f t="shared" si="34"/>
        <v>-2.8333999971499826</v>
      </c>
      <c r="AH32" s="66">
        <f t="shared" si="34"/>
        <v>1.4397998388012794</v>
      </c>
      <c r="AI32" s="66">
        <f t="shared" si="34"/>
        <v>13.502499626394835</v>
      </c>
      <c r="AJ32" s="66">
        <f t="shared" si="34"/>
        <v>6.9105772272229267</v>
      </c>
      <c r="AK32" s="66">
        <f t="shared" si="34"/>
        <v>-0.66121797114781866</v>
      </c>
      <c r="AL32" s="66">
        <f t="shared" si="34"/>
        <v>-11.632184422294834</v>
      </c>
      <c r="AM32" s="66">
        <f t="shared" si="34"/>
        <v>8.3729885970390647</v>
      </c>
      <c r="AN32" s="66">
        <f t="shared" si="34"/>
        <v>5.2086879326002018</v>
      </c>
      <c r="CN32" s="28"/>
    </row>
    <row r="33" spans="2:93" ht="40.049999999999997" customHeight="1">
      <c r="B33" s="35"/>
      <c r="F33" s="37"/>
      <c r="G33" s="37"/>
      <c r="H33" s="69" t="s">
        <v>43</v>
      </c>
      <c r="I33" s="54">
        <f t="shared" si="5"/>
        <v>0.72320619974547462</v>
      </c>
      <c r="J33" s="55">
        <f>IF(m_flag=1,$B$7-callp,IF(m_flag=2,2*$B$7-callp,callp))</f>
        <v>324.39033625884696</v>
      </c>
      <c r="K33" s="56">
        <f t="shared" si="6"/>
        <v>3369404.2214006558</v>
      </c>
      <c r="L33" s="57">
        <f t="shared" ca="1" si="13"/>
        <v>3369404.2919986341</v>
      </c>
      <c r="M33" s="58">
        <f t="shared" si="7"/>
        <v>4.6638740073679562E-3</v>
      </c>
      <c r="N33" s="58">
        <f t="shared" ca="1" si="8"/>
        <v>23103.293398947109</v>
      </c>
      <c r="O33" s="59">
        <f ca="1">IF(Date_y&gt;=1900,DATE(Date_y,Date_m,Date_d)+MOD(Date_d,1),Date_y&amp;"-"&amp;TEXT(Date_m,"00")&amp;"-"&amp;TEXT(INT(Date_d),"00")&amp;"     "&amp;TEXT(MOD(Date_d,1),"hh:mm:ss"))</f>
        <v>954385.79199863411</v>
      </c>
      <c r="P33" s="64">
        <f t="shared" si="14"/>
        <v>479.73262970106344</v>
      </c>
      <c r="Q33" s="66">
        <f t="shared" si="33"/>
        <v>415.96491959192184</v>
      </c>
      <c r="R33" s="66">
        <f t="shared" si="33"/>
        <v>202.91839625618252</v>
      </c>
      <c r="S33" s="66">
        <f t="shared" si="33"/>
        <v>-126.16753416007253</v>
      </c>
      <c r="T33" s="66">
        <f t="shared" si="33"/>
        <v>-33.618312711097317</v>
      </c>
      <c r="U33" s="66">
        <f t="shared" si="33"/>
        <v>154.76556173984139</v>
      </c>
      <c r="V33" s="66">
        <f t="shared" si="33"/>
        <v>-89.838054611807962</v>
      </c>
      <c r="W33" s="66">
        <f t="shared" si="33"/>
        <v>1.7862845398249283</v>
      </c>
      <c r="X33" s="66">
        <f t="shared" si="33"/>
        <v>-33.891709353661561</v>
      </c>
      <c r="Y33" s="66">
        <f t="shared" si="33"/>
        <v>-68.257599980431223</v>
      </c>
      <c r="Z33" s="66">
        <f t="shared" si="33"/>
        <v>57.866130336134169</v>
      </c>
      <c r="AA33" s="66">
        <f t="shared" si="34"/>
        <v>-28.814348290436627</v>
      </c>
      <c r="AB33" s="66">
        <f t="shared" si="34"/>
        <v>-14.91306435396619</v>
      </c>
      <c r="AC33" s="66">
        <f t="shared" si="34"/>
        <v>37.279285439476126</v>
      </c>
      <c r="AD33" s="66">
        <f t="shared" si="34"/>
        <v>-25.735520655528376</v>
      </c>
      <c r="AE33" s="66">
        <f t="shared" si="34"/>
        <v>-15.493040537901884</v>
      </c>
      <c r="AF33" s="66">
        <f t="shared" si="34"/>
        <v>14.822544746838439</v>
      </c>
      <c r="AG33" s="66">
        <f t="shared" si="34"/>
        <v>-3.3765783238745226</v>
      </c>
      <c r="AH33" s="66">
        <f t="shared" si="34"/>
        <v>8.2004317936900737</v>
      </c>
      <c r="AI33" s="66">
        <f t="shared" si="34"/>
        <v>13.98678540749747</v>
      </c>
      <c r="AJ33" s="66">
        <f t="shared" si="34"/>
        <v>7.8902624443681573</v>
      </c>
      <c r="AK33" s="66">
        <f t="shared" si="34"/>
        <v>2.0577564927207073</v>
      </c>
      <c r="AL33" s="66">
        <f t="shared" si="34"/>
        <v>-11.999998499435518</v>
      </c>
      <c r="AM33" s="66">
        <f t="shared" si="34"/>
        <v>8.4014032677664581</v>
      </c>
      <c r="AN33" s="66">
        <f t="shared" si="34"/>
        <v>5.8986291230149002</v>
      </c>
      <c r="CN33" s="28"/>
      <c r="CO33" s="9" t="s">
        <v>30</v>
      </c>
    </row>
    <row r="34" spans="2:93" ht="40.049999999999997" customHeight="1">
      <c r="B34" s="35"/>
      <c r="F34" s="37"/>
      <c r="G34" s="37"/>
      <c r="H34" s="69" t="s">
        <v>44</v>
      </c>
      <c r="I34" s="54">
        <f t="shared" si="5"/>
        <v>0.4614068119463246</v>
      </c>
      <c r="J34" s="55">
        <f>IF(m_flag=1,$B$7-callp,IF(m_flag=2,2*$B$7-callp,callp))</f>
        <v>339.21866987687781</v>
      </c>
      <c r="K34" s="56">
        <f t="shared" si="6"/>
        <v>3369419.0497342739</v>
      </c>
      <c r="L34" s="57">
        <f t="shared" ca="1" si="13"/>
        <v>3369419.1212155824</v>
      </c>
      <c r="M34" s="58">
        <f t="shared" si="7"/>
        <v>5.5472040491536022E-3</v>
      </c>
      <c r="N34" s="58">
        <f t="shared" ca="1" si="8"/>
        <v>23103.293398947109</v>
      </c>
      <c r="O34" s="59">
        <f ca="1">IF(Date_y&gt;=1900,DATE(Date_y,Date_m,Date_d)+MOD(Date_d,1),Date_y&amp;"-"&amp;TEXT(Date_m,"00")&amp;"-"&amp;TEXT(INT(Date_d),"00")&amp;"     "&amp;TEXT(MOD(Date_d,1),"hh:mm:ss"))</f>
        <v>954400.62121558236</v>
      </c>
      <c r="P34" s="64">
        <f t="shared" si="14"/>
        <v>572.71509996376028</v>
      </c>
      <c r="Q34" s="66">
        <f t="shared" si="33"/>
        <v>419.34361931344654</v>
      </c>
      <c r="R34" s="66">
        <f t="shared" si="33"/>
        <v>196.07607776075616</v>
      </c>
      <c r="S34" s="66">
        <f t="shared" si="33"/>
        <v>-126.18954417770976</v>
      </c>
      <c r="T34" s="66">
        <f t="shared" si="33"/>
        <v>31.21624337611949</v>
      </c>
      <c r="U34" s="66">
        <f t="shared" si="33"/>
        <v>153.09668744419949</v>
      </c>
      <c r="V34" s="66">
        <f t="shared" si="33"/>
        <v>-104.91926388615761</v>
      </c>
      <c r="W34" s="66">
        <f t="shared" si="33"/>
        <v>36.261950526929979</v>
      </c>
      <c r="X34" s="66">
        <f t="shared" si="33"/>
        <v>-32.469375194310345</v>
      </c>
      <c r="Y34" s="66">
        <f t="shared" si="33"/>
        <v>-67.124465786162773</v>
      </c>
      <c r="Z34" s="66">
        <f t="shared" si="33"/>
        <v>55.290447298398938</v>
      </c>
      <c r="AA34" s="66">
        <f t="shared" si="34"/>
        <v>-28.860546888225713</v>
      </c>
      <c r="AB34" s="66">
        <f t="shared" si="34"/>
        <v>-15.682494946780116</v>
      </c>
      <c r="AC34" s="66">
        <f t="shared" si="34"/>
        <v>41.749227630046114</v>
      </c>
      <c r="AD34" s="66">
        <f t="shared" si="34"/>
        <v>-17.181414022512296</v>
      </c>
      <c r="AE34" s="66">
        <f t="shared" si="34"/>
        <v>-16.257064304244206</v>
      </c>
      <c r="AF34" s="66">
        <f t="shared" si="34"/>
        <v>8.4527626694704256</v>
      </c>
      <c r="AG34" s="66">
        <f t="shared" si="34"/>
        <v>-3.9133452682744796</v>
      </c>
      <c r="AH34" s="66">
        <f t="shared" si="34"/>
        <v>13.321462887878477</v>
      </c>
      <c r="AI34" s="66">
        <f t="shared" si="34"/>
        <v>13.775566090439293</v>
      </c>
      <c r="AJ34" s="66">
        <f t="shared" si="34"/>
        <v>8.7804469269173069</v>
      </c>
      <c r="AK34" s="66">
        <f t="shared" si="34"/>
        <v>4.6574152880708182</v>
      </c>
      <c r="AL34" s="66">
        <f t="shared" si="34"/>
        <v>-11.638967269572555</v>
      </c>
      <c r="AM34" s="66">
        <f t="shared" si="34"/>
        <v>8.4290359110402164</v>
      </c>
      <c r="AN34" s="66">
        <f t="shared" si="34"/>
        <v>6.5006385839968805</v>
      </c>
      <c r="CN34" s="28"/>
    </row>
    <row r="35" spans="2:93" ht="40.049999999999997" customHeight="1">
      <c r="B35" s="35"/>
      <c r="F35" s="37"/>
      <c r="G35" s="37"/>
      <c r="H35" s="69" t="s">
        <v>45</v>
      </c>
      <c r="I35" s="54">
        <f t="shared" si="5"/>
        <v>0.19960742414717547</v>
      </c>
      <c r="J35" s="55">
        <f>IF(m_flag=1,$B$7-callp,IF(m_flag=2,2*$B$7-callp,callp))</f>
        <v>353.99428290629027</v>
      </c>
      <c r="K35" s="56">
        <f t="shared" si="6"/>
        <v>3369433.8253473034</v>
      </c>
      <c r="L35" s="57">
        <f t="shared" ca="1" si="13"/>
        <v>3369433.8960895855</v>
      </c>
      <c r="M35" s="58">
        <f t="shared" si="7"/>
        <v>4.8247377899713765E-3</v>
      </c>
      <c r="N35" s="58">
        <f t="shared" ca="1" si="8"/>
        <v>23104.724196535935</v>
      </c>
      <c r="O35" s="59">
        <f ca="1">IF(Date_y&gt;=1900,DATE(Date_y,Date_m,Date_d)+MOD(Date_d,1),Date_y&amp;"-"&amp;TEXT(Date_m,"00")&amp;"-"&amp;TEXT(INT(Date_d),"00")&amp;"     "&amp;TEXT(MOD(Date_d,1),"hh:mm:ss"))</f>
        <v>954415.3960895855</v>
      </c>
      <c r="P35" s="64">
        <f t="shared" si="14"/>
        <v>498.90414802253753</v>
      </c>
      <c r="Q35" s="66">
        <f t="shared" si="33"/>
        <v>422.63196840064523</v>
      </c>
      <c r="R35" s="66">
        <f t="shared" si="33"/>
        <v>178.66506245737466</v>
      </c>
      <c r="S35" s="66">
        <f t="shared" si="33"/>
        <v>-126.21147337322085</v>
      </c>
      <c r="T35" s="66">
        <f t="shared" si="33"/>
        <v>-30.822512567799439</v>
      </c>
      <c r="U35" s="66">
        <f t="shared" si="33"/>
        <v>136.05579738959017</v>
      </c>
      <c r="V35" s="66">
        <f t="shared" si="33"/>
        <v>-117.29600232971869</v>
      </c>
      <c r="W35" s="66">
        <f t="shared" si="33"/>
        <v>62.893404226725437</v>
      </c>
      <c r="X35" s="66">
        <f t="shared" si="33"/>
        <v>-31.037162837246303</v>
      </c>
      <c r="Y35" s="66">
        <f t="shared" si="33"/>
        <v>-65.721657062400325</v>
      </c>
      <c r="Z35" s="66">
        <f t="shared" si="33"/>
        <v>49.599307801685313</v>
      </c>
      <c r="AA35" s="66">
        <f t="shared" si="34"/>
        <v>-28.906548509510891</v>
      </c>
      <c r="AB35" s="66">
        <f t="shared" si="34"/>
        <v>-16.4451146377946</v>
      </c>
      <c r="AC35" s="66">
        <f t="shared" si="34"/>
        <v>44.342809387966653</v>
      </c>
      <c r="AD35" s="66">
        <f t="shared" si="34"/>
        <v>-7.8063310817876079</v>
      </c>
      <c r="AE35" s="66">
        <f t="shared" si="34"/>
        <v>-17.002344525397625</v>
      </c>
      <c r="AF35" s="66">
        <f t="shared" si="34"/>
        <v>0.21354698253682874</v>
      </c>
      <c r="AG35" s="66">
        <f t="shared" si="34"/>
        <v>-4.4441367753569558</v>
      </c>
      <c r="AH35" s="66">
        <f t="shared" si="34"/>
        <v>15.836764287690585</v>
      </c>
      <c r="AI35" s="66">
        <f t="shared" si="34"/>
        <v>12.887987277321505</v>
      </c>
      <c r="AJ35" s="66">
        <f t="shared" si="34"/>
        <v>9.5743752708233458</v>
      </c>
      <c r="AK35" s="66">
        <f t="shared" si="34"/>
        <v>7.0118341671875877</v>
      </c>
      <c r="AL35" s="66">
        <f t="shared" si="34"/>
        <v>-10.579723352870975</v>
      </c>
      <c r="AM35" s="66">
        <f t="shared" si="34"/>
        <v>8.4559416195890975</v>
      </c>
      <c r="AN35" s="66">
        <f t="shared" si="34"/>
        <v>7.008355806505425</v>
      </c>
      <c r="CN35" s="28"/>
    </row>
    <row r="36" spans="2:93" ht="40.049999999999997" customHeight="1">
      <c r="B36" s="35"/>
      <c r="F36" s="37"/>
      <c r="G36" s="37"/>
      <c r="H36" s="69" t="s">
        <v>46</v>
      </c>
      <c r="I36" s="54">
        <f t="shared" si="5"/>
        <v>-6.2191963651973659E-2</v>
      </c>
      <c r="J36" s="55">
        <f>IF(m_flag=1,$B$7-callp,IF(m_flag=2,2*$B$7-callp,callp))</f>
        <v>368.7465054648693</v>
      </c>
      <c r="K36" s="56">
        <f t="shared" si="6"/>
        <v>3369448.5775698619</v>
      </c>
      <c r="L36" s="57">
        <f t="shared" ca="1" si="13"/>
        <v>3369448.6484021042</v>
      </c>
      <c r="M36" s="58">
        <f t="shared" si="7"/>
        <v>4.9146980098112043E-3</v>
      </c>
      <c r="N36" s="58">
        <f t="shared" ca="1" si="8"/>
        <v>23104.724196535935</v>
      </c>
      <c r="O36" s="59">
        <f ca="1">IF(Date_y&gt;=1900,DATE(Date_y,Date_m,Date_d)+MOD(Date_d,1),Date_y&amp;"-"&amp;TEXT(Date_m,"00")&amp;"-"&amp;TEXT(INT(Date_d),"00")&amp;"     "&amp;TEXT(MOD(Date_d,1),"hh:mm:ss"))</f>
        <v>954430.14840210415</v>
      </c>
      <c r="P36" s="64">
        <f t="shared" si="14"/>
        <v>507.86178793159121</v>
      </c>
      <c r="Q36" s="66">
        <f t="shared" si="33"/>
        <v>425.83648677895837</v>
      </c>
      <c r="R36" s="66">
        <f t="shared" si="33"/>
        <v>151.66912625066951</v>
      </c>
      <c r="S36" s="66">
        <f t="shared" si="33"/>
        <v>-126.23336529621236</v>
      </c>
      <c r="T36" s="66">
        <f t="shared" si="33"/>
        <v>31.321274016448445</v>
      </c>
      <c r="U36" s="66">
        <f t="shared" si="33"/>
        <v>105.43147181855571</v>
      </c>
      <c r="V36" s="66">
        <f t="shared" si="33"/>
        <v>-126.70154220332833</v>
      </c>
      <c r="W36" s="66">
        <f t="shared" si="33"/>
        <v>76.132989002448127</v>
      </c>
      <c r="X36" s="66">
        <f t="shared" si="33"/>
        <v>-29.593001001775889</v>
      </c>
      <c r="Y36" s="66">
        <f t="shared" si="33"/>
        <v>-64.054200147104055</v>
      </c>
      <c r="Z36" s="66">
        <f t="shared" si="33"/>
        <v>41.1257874602559</v>
      </c>
      <c r="AA36" s="66">
        <f t="shared" si="34"/>
        <v>-28.952444669724986</v>
      </c>
      <c r="AB36" s="66">
        <f t="shared" si="34"/>
        <v>-17.202271211023245</v>
      </c>
      <c r="AC36" s="66">
        <f t="shared" si="34"/>
        <v>44.964241511614802</v>
      </c>
      <c r="AD36" s="66">
        <f t="shared" si="34"/>
        <v>1.9391507775387589</v>
      </c>
      <c r="AE36" s="66">
        <f t="shared" si="34"/>
        <v>-17.729752071310717</v>
      </c>
      <c r="AF36" s="66">
        <f t="shared" si="34"/>
        <v>-8.0611871364842536</v>
      </c>
      <c r="AG36" s="66">
        <f t="shared" si="34"/>
        <v>-4.9694880701919075</v>
      </c>
      <c r="AH36" s="66">
        <f t="shared" si="34"/>
        <v>15.283531345291816</v>
      </c>
      <c r="AI36" s="66">
        <f t="shared" si="34"/>
        <v>11.370944626444707</v>
      </c>
      <c r="AJ36" s="66">
        <f t="shared" si="34"/>
        <v>10.265951716558076</v>
      </c>
      <c r="AK36" s="66">
        <f t="shared" si="34"/>
        <v>9.0085273553999734</v>
      </c>
      <c r="AL36" s="66">
        <f t="shared" si="34"/>
        <v>-8.8889447687278977</v>
      </c>
      <c r="AM36" s="66">
        <f t="shared" si="34"/>
        <v>8.4821766545940545</v>
      </c>
      <c r="AN36" s="66">
        <f t="shared" si="34"/>
        <v>7.4163251926966547</v>
      </c>
      <c r="CN36" s="28"/>
    </row>
    <row r="37" spans="2:93" ht="40.049999999999997" customHeight="1">
      <c r="B37" s="35"/>
      <c r="F37" s="37"/>
      <c r="G37" s="37"/>
      <c r="H37" s="69" t="s">
        <v>65</v>
      </c>
      <c r="I37" s="54">
        <f t="shared" si="5"/>
        <v>-0.32399135145112279</v>
      </c>
      <c r="J37" s="55">
        <f>IF(m_flag=1,$B$7-callp,IF(m_flag=2,2*$B$7-callp,callp))</f>
        <v>383.50605377064926</v>
      </c>
      <c r="K37" s="56">
        <f t="shared" si="6"/>
        <v>3369463.3371181674</v>
      </c>
      <c r="L37" s="57">
        <f t="shared" ca="1" si="13"/>
        <v>3369463.406455419</v>
      </c>
      <c r="M37" s="58">
        <f t="shared" si="7"/>
        <v>3.436268173204964E-3</v>
      </c>
      <c r="N37" s="58">
        <f t="shared" ca="1" si="8"/>
        <v>23106.155038389603</v>
      </c>
      <c r="O37" s="59">
        <f ca="1">IF(Date_y&gt;=1900,DATE(Date_y,Date_m,Date_d)+MOD(Date_d,1),Date_y&amp;"-"&amp;TEXT(Date_m,"00")&amp;"-"&amp;TEXT(INT(Date_d),"00")&amp;"     "&amp;TEXT(MOD(Date_d,1),"hh:mm:ss"))</f>
        <v>954444.90645541903</v>
      </c>
      <c r="P37" s="64">
        <f t="shared" si="14"/>
        <v>354.07041799248441</v>
      </c>
      <c r="Q37" s="66">
        <f t="shared" si="33"/>
        <v>428.96337857761608</v>
      </c>
      <c r="R37" s="66">
        <f t="shared" si="33"/>
        <v>116.50089647150755</v>
      </c>
      <c r="S37" s="66">
        <f t="shared" si="33"/>
        <v>-126.25526553250346</v>
      </c>
      <c r="T37" s="66">
        <f t="shared" si="33"/>
        <v>-31.540442395230667</v>
      </c>
      <c r="U37" s="66">
        <f t="shared" si="33"/>
        <v>64.247047759813768</v>
      </c>
      <c r="V37" s="66">
        <f t="shared" si="33"/>
        <v>-132.92342391746052</v>
      </c>
      <c r="W37" s="66">
        <f t="shared" si="33"/>
        <v>73.216684751161338</v>
      </c>
      <c r="X37" s="66">
        <f t="shared" si="33"/>
        <v>-28.134567873909763</v>
      </c>
      <c r="Y37" s="66">
        <f t="shared" si="33"/>
        <v>-62.125833897964576</v>
      </c>
      <c r="Z37" s="66">
        <f t="shared" si="33"/>
        <v>30.333913884398392</v>
      </c>
      <c r="AA37" s="66">
        <f t="shared" si="34"/>
        <v>-28.998330932629941</v>
      </c>
      <c r="AB37" s="66">
        <f t="shared" si="34"/>
        <v>-17.95535204740688</v>
      </c>
      <c r="AC37" s="66">
        <f t="shared" si="34"/>
        <v>43.590409191763193</v>
      </c>
      <c r="AD37" s="66">
        <f t="shared" si="34"/>
        <v>11.593762292444314</v>
      </c>
      <c r="AE37" s="66">
        <f t="shared" si="34"/>
        <v>-18.440114122453195</v>
      </c>
      <c r="AF37" s="66">
        <f t="shared" si="34"/>
        <v>-14.544586821651384</v>
      </c>
      <c r="AG37" s="66">
        <f t="shared" si="34"/>
        <v>-5.4899563650275915</v>
      </c>
      <c r="AH37" s="66">
        <f t="shared" si="34"/>
        <v>11.772582318054583</v>
      </c>
      <c r="AI37" s="66">
        <f t="shared" si="34"/>
        <v>9.2966055530921796</v>
      </c>
      <c r="AJ37" s="66">
        <f t="shared" si="34"/>
        <v>10.849473722287778</v>
      </c>
      <c r="AK37" s="66">
        <f t="shared" si="34"/>
        <v>10.551338366924657</v>
      </c>
      <c r="AL37" s="66">
        <f t="shared" si="34"/>
        <v>-6.6653894737031312</v>
      </c>
      <c r="AM37" s="66">
        <f t="shared" si="34"/>
        <v>8.507794717025055</v>
      </c>
      <c r="AN37" s="66">
        <f t="shared" si="34"/>
        <v>7.7197937663367213</v>
      </c>
      <c r="CN37" s="28"/>
      <c r="CO37" s="9" t="s">
        <v>31</v>
      </c>
    </row>
    <row r="38" spans="2:93" ht="40.049999999999997" customHeight="1">
      <c r="CN38" s="20"/>
    </row>
    <row r="39" spans="2:93">
      <c r="CN39" s="20"/>
    </row>
    <row r="40" spans="2:93">
      <c r="CN40" s="20"/>
    </row>
    <row r="41" spans="2:93">
      <c r="CO41" s="9" t="s">
        <v>32</v>
      </c>
    </row>
    <row r="46" spans="2:93">
      <c r="CO46" s="9" t="s">
        <v>33</v>
      </c>
    </row>
    <row r="51" spans="12:95">
      <c r="CP51" s="9" t="s">
        <v>34</v>
      </c>
      <c r="CQ51" s="9" t="s">
        <v>35</v>
      </c>
    </row>
    <row r="62" spans="12:95">
      <c r="L62" s="36"/>
      <c r="N62" s="7"/>
    </row>
    <row r="63" spans="12:95">
      <c r="L63" s="36"/>
      <c r="CO63" s="9" t="s">
        <v>36</v>
      </c>
    </row>
    <row r="64" spans="12:95">
      <c r="L64" s="36"/>
    </row>
    <row r="65" spans="12:105">
      <c r="L65" s="36"/>
      <c r="CO65" s="9" t="s">
        <v>37</v>
      </c>
    </row>
    <row r="66" spans="12:105">
      <c r="L66" s="36"/>
    </row>
    <row r="67" spans="12:105">
      <c r="L67" s="36"/>
    </row>
    <row r="68" spans="12:105">
      <c r="L68" s="36"/>
    </row>
    <row r="69" spans="12:105">
      <c r="L69" s="36"/>
    </row>
    <row r="70" spans="12:105">
      <c r="L70" s="36"/>
      <c r="CO70" s="9" t="s">
        <v>38</v>
      </c>
    </row>
    <row r="71" spans="12:105">
      <c r="L71" s="36"/>
    </row>
    <row r="72" spans="12:105">
      <c r="L72" s="36"/>
    </row>
    <row r="73" spans="12:105">
      <c r="L73" s="36"/>
    </row>
    <row r="74" spans="12:105">
      <c r="L74" s="36"/>
    </row>
    <row r="75" spans="12:105">
      <c r="L75" s="36"/>
      <c r="CO75" s="9" t="s">
        <v>39</v>
      </c>
    </row>
    <row r="76" spans="12:105">
      <c r="L76" s="36"/>
      <c r="CO76" s="9" t="s">
        <v>18</v>
      </c>
    </row>
    <row r="77" spans="12:105" ht="19.95" customHeight="1">
      <c r="L77" s="36"/>
      <c r="CO77" s="45" t="s">
        <v>40</v>
      </c>
      <c r="CP77" s="45"/>
      <c r="CQ77" s="45"/>
      <c r="CR77" s="45"/>
      <c r="CS77" s="45"/>
      <c r="CT77" s="45"/>
      <c r="CU77" s="45"/>
      <c r="CV77" s="45"/>
      <c r="CW77" s="45"/>
      <c r="CX77" s="45"/>
      <c r="CY77" s="45"/>
      <c r="CZ77" s="45"/>
      <c r="DA77" s="45"/>
    </row>
    <row r="78" spans="12:105" ht="19.95" customHeight="1">
      <c r="L78" s="36"/>
      <c r="CO78" s="45"/>
      <c r="CP78" s="45"/>
      <c r="CQ78" s="45"/>
      <c r="CR78" s="45"/>
      <c r="CS78" s="45"/>
      <c r="CT78" s="45"/>
      <c r="CU78" s="45"/>
      <c r="CV78" s="45"/>
      <c r="CW78" s="45"/>
      <c r="CX78" s="45"/>
      <c r="CY78" s="45"/>
      <c r="CZ78" s="45"/>
      <c r="DA78" s="45"/>
    </row>
    <row r="79" spans="12:105" ht="19.95" customHeight="1">
      <c r="L79" s="36"/>
      <c r="CO79" s="45"/>
      <c r="CP79" s="45"/>
      <c r="CQ79" s="45"/>
      <c r="CR79" s="45"/>
      <c r="CS79" s="45"/>
      <c r="CT79" s="45"/>
      <c r="CU79" s="45"/>
      <c r="CV79" s="45"/>
      <c r="CW79" s="45"/>
      <c r="CX79" s="45"/>
      <c r="CY79" s="45"/>
      <c r="CZ79" s="45"/>
      <c r="DA79" s="45"/>
    </row>
    <row r="80" spans="12:105">
      <c r="L80" s="36"/>
    </row>
    <row r="81" spans="12:93">
      <c r="L81" s="36"/>
      <c r="CO81" s="9" t="s">
        <v>60</v>
      </c>
    </row>
    <row r="82" spans="12:93">
      <c r="L82" s="36"/>
    </row>
    <row r="83" spans="12:93" ht="142.5" customHeight="1">
      <c r="L83" s="36"/>
    </row>
    <row r="84" spans="12:93" ht="200.25" customHeight="1">
      <c r="L84" s="36"/>
    </row>
    <row r="85" spans="12:93">
      <c r="L85" s="36"/>
    </row>
  </sheetData>
  <sheetProtection password="AE77" sheet="1" objects="1" scenarios="1" formatCells="0" formatColumns="0" formatRows="0"/>
  <mergeCells count="12">
    <mergeCell ref="G1:L1"/>
    <mergeCell ref="G2:L2"/>
    <mergeCell ref="G3:L3"/>
    <mergeCell ref="G4:L4"/>
    <mergeCell ref="CO15:DD16"/>
    <mergeCell ref="CO20:DD22"/>
    <mergeCell ref="CO77:DA79"/>
    <mergeCell ref="CO1:DC1"/>
    <mergeCell ref="V2:CN2"/>
    <mergeCell ref="CO2:DD2"/>
    <mergeCell ref="CO8:DD8"/>
    <mergeCell ref="CO12:DD14"/>
  </mergeCells>
  <phoneticPr fontId="2" type="noConversion"/>
  <dataValidations count="1">
    <dataValidation type="whole" allowBlank="1" showInputMessage="1" showErrorMessage="1" error="_x000a_ 輸入年分日期請介於 [ -7000 ~ 7000 ]" promptTitle="   輸 入 格 式 提 醒" prompt="_x000a_   請輸入年分日期_x000a__x000a_ex [-7000 ~ 7000]" sqref="B1">
      <formula1>-7000</formula1>
      <formula2>7000</formula2>
    </dataValidation>
  </dataValidations>
  <hyperlinks>
    <hyperlink ref="G3" r:id="rId1" display="http://jieqi.911cha.com/"/>
    <hyperlink ref="G2" r:id="rId2" display="天文與曆法"/>
    <hyperlink ref="CO1:DC1" r:id="rId3" display="用橢圓軌道公式求出24節氣"/>
    <hyperlink ref="G4" r:id="rId4"/>
    <hyperlink ref="G1:L1" r:id="rId5" display="如對本工作表有任何問題歡迎至我的YAHOO部落格留言討論"/>
    <hyperlink ref="G7" r:id="rId6"/>
  </hyperlinks>
  <pageMargins left="0.23622047244094491" right="0.23622047244094491" top="0.74803149606299213" bottom="0.74803149606299213" header="0.31496062992125984" footer="0.31496062992125984"/>
  <pageSetup paperSize="9" orientation="landscape" r:id="rId7"/>
  <ignoredErrors>
    <ignoredError sqref="A26" unlockedFormula="1"/>
    <ignoredError sqref="N14:N37" formula="1"/>
  </ignoredErrors>
  <drawing r:id="rId8"/>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已命名的範圍</vt:lpstr>
      </vt:variant>
      <vt:variant>
        <vt:i4>1</vt:i4>
      </vt:variant>
    </vt:vector>
  </HeadingPairs>
  <TitlesOfParts>
    <vt:vector size="2" baseType="lpstr">
      <vt:lpstr>24節氣查詢</vt:lpstr>
      <vt:lpstr>Picture</vt:lpstr>
    </vt:vector>
  </TitlesOfParts>
  <Company>C.M.T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Win7User</dc:creator>
  <cp:lastModifiedBy>Win7User</cp:lastModifiedBy>
  <cp:lastPrinted>2011-09-05T14:09:14Z</cp:lastPrinted>
  <dcterms:created xsi:type="dcterms:W3CDTF">2011-08-28T01:27:05Z</dcterms:created>
  <dcterms:modified xsi:type="dcterms:W3CDTF">2011-09-07T13:23:18Z</dcterms:modified>
</cp:coreProperties>
</file>