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ee-my.sharepoint.com/personal/jkm06a8_fpl_com/Documents/data/"/>
    </mc:Choice>
  </mc:AlternateContent>
  <xr:revisionPtr revIDLastSave="5" documentId="13_ncr:1_{A5609756-8BC7-4DC4-8D00-64661E4C8410}" xr6:coauthVersionLast="47" xr6:coauthVersionMax="47" xr10:uidLastSave="{68E24666-5C79-43CD-959C-9E885FF6EDE6}"/>
  <bookViews>
    <workbookView xWindow="28680" yWindow="-120" windowWidth="29040" windowHeight="15720" activeTab="2" xr2:uid="{00000000-000D-0000-FFFF-FFFF00000000}"/>
  </bookViews>
  <sheets>
    <sheet name="Instruction" sheetId="2" r:id="rId1"/>
    <sheet name="Inputs" sheetId="1" r:id="rId2"/>
    <sheet name="Forecast" sheetId="3" r:id="rId3"/>
    <sheet name="Seasonal" sheetId="6" r:id="rId4"/>
    <sheet name="Backup_data" sheetId="4" r:id="rId5"/>
    <sheet name="Comparison" sheetId="5" r:id="rId6"/>
  </sheets>
  <externalReferences>
    <externalReference r:id="rId7"/>
  </externalReferences>
  <definedNames>
    <definedName name="AuctionPrice_North">Inputs!$D$15</definedName>
    <definedName name="AuctionPrice_South">Inputs!$E$15</definedName>
    <definedName name="AuctionYr_North">Inputs!$D$8</definedName>
    <definedName name="AuctionYr_South">Inputs!$E$8</definedName>
    <definedName name="Bilateral_North">Inputs!$D$16</definedName>
    <definedName name="Bilateral_South">Inputs!$E$16</definedName>
    <definedName name="CONE_Yr_North">Inputs!$D$9</definedName>
    <definedName name="CONE_Yr_South">Inputs!$E$9</definedName>
    <definedName name="Fund_CONE_North">Inputs!$D$17</definedName>
    <definedName name="Fund_CONE_South">Inputs!$E$17</definedName>
    <definedName name="StartPrice_North">Inputs!$D$12</definedName>
    <definedName name="StartPrice_South">Inputs!$E$12</definedName>
    <definedName name="StartYr_North">Inputs!$D$7</definedName>
    <definedName name="StartYr_South">Inputs!$E$7</definedName>
    <definedName name="WACC">Inputs!$C$3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J5" i="3"/>
  <c r="J9" i="6"/>
  <c r="I9" i="6"/>
  <c r="J8" i="6"/>
  <c r="K8" i="6"/>
  <c r="M7" i="6"/>
  <c r="L7" i="6"/>
  <c r="K7" i="6"/>
  <c r="J7" i="6"/>
  <c r="K6" i="6"/>
  <c r="M8" i="6" l="1"/>
  <c r="L8" i="6"/>
  <c r="R8" i="6" l="1"/>
  <c r="Q8" i="6"/>
  <c r="P8" i="6"/>
  <c r="O8" i="6"/>
  <c r="R7" i="6"/>
  <c r="Q7" i="6"/>
  <c r="P7" i="6"/>
  <c r="O7" i="6"/>
  <c r="R6" i="6"/>
  <c r="Q6" i="6"/>
  <c r="P6" i="6"/>
  <c r="O6" i="6"/>
  <c r="R5" i="6"/>
  <c r="Q5" i="6"/>
  <c r="P5" i="6"/>
  <c r="O5" i="6"/>
  <c r="J6" i="6"/>
  <c r="L6" i="6"/>
  <c r="M6" i="6"/>
  <c r="M5" i="6"/>
  <c r="L5" i="6"/>
  <c r="K5" i="6"/>
  <c r="J5" i="6"/>
  <c r="I5" i="6"/>
  <c r="I6" i="6" s="1"/>
  <c r="I7" i="6" s="1"/>
  <c r="I8" i="6" s="1"/>
  <c r="P2" i="6"/>
  <c r="Q2" i="6"/>
  <c r="R2" i="6"/>
  <c r="O2" i="6"/>
  <c r="C34" i="1"/>
  <c r="D34" i="1"/>
  <c r="E34" i="1"/>
  <c r="F34" i="1"/>
  <c r="G30" i="1"/>
  <c r="K2" i="6"/>
  <c r="L2" i="6"/>
  <c r="M2" i="6"/>
  <c r="J2" i="6"/>
  <c r="A5" i="6"/>
  <c r="A6" i="6" s="1"/>
  <c r="A7" i="6" s="1"/>
  <c r="A8" i="6" s="1"/>
  <c r="A9" i="6" s="1"/>
  <c r="A10" i="6" s="1"/>
  <c r="A11" i="6" s="1"/>
  <c r="A12" i="6" s="1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0" i="3"/>
  <c r="W35" i="3"/>
  <c r="W36" i="3"/>
  <c r="A13" i="6" l="1"/>
  <c r="O44" i="5"/>
  <c r="N44" i="5"/>
  <c r="N42" i="3"/>
  <c r="A14" i="6" l="1"/>
  <c r="N43" i="3"/>
  <c r="A15" i="6" l="1"/>
  <c r="C30" i="1"/>
  <c r="D30" i="1"/>
  <c r="D29" i="1"/>
  <c r="E29" i="1"/>
  <c r="F29" i="1"/>
  <c r="C29" i="1"/>
  <c r="F26" i="1"/>
  <c r="F30" i="1" s="1"/>
  <c r="E26" i="1"/>
  <c r="E30" i="1" s="1"/>
  <c r="G29" i="1" l="1"/>
  <c r="E33" i="1" s="1"/>
  <c r="C33" i="1"/>
  <c r="D33" i="1"/>
  <c r="A16" i="6"/>
  <c r="J47" i="5"/>
  <c r="I47" i="5"/>
  <c r="H47" i="5"/>
  <c r="E39" i="5"/>
  <c r="E40" i="5" s="1"/>
  <c r="F38" i="5"/>
  <c r="F39" i="5" s="1"/>
  <c r="E38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E12" i="1"/>
  <c r="C5" i="3" s="1"/>
  <c r="D12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D17" i="1" s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F5" i="3" l="1"/>
  <c r="C5" i="6"/>
  <c r="F5" i="6" s="1"/>
  <c r="E17" i="1"/>
  <c r="F33" i="1"/>
  <c r="A17" i="6"/>
  <c r="C7" i="5"/>
  <c r="R5" i="3"/>
  <c r="J7" i="5"/>
  <c r="Q7" i="5"/>
  <c r="F40" i="5"/>
  <c r="E41" i="5"/>
  <c r="E7" i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E15" i="1"/>
  <c r="D15" i="1"/>
  <c r="B5" i="3"/>
  <c r="E5" i="3" l="1"/>
  <c r="B5" i="6"/>
  <c r="A18" i="6"/>
  <c r="C12" i="3"/>
  <c r="B7" i="5"/>
  <c r="P7" i="5" s="1"/>
  <c r="Q5" i="3"/>
  <c r="I7" i="5"/>
  <c r="H7" i="5"/>
  <c r="F41" i="5"/>
  <c r="E42" i="5"/>
  <c r="A16" i="3"/>
  <c r="E5" i="6" l="1"/>
  <c r="C13" i="3"/>
  <c r="C12" i="6"/>
  <c r="F12" i="6" s="1"/>
  <c r="A19" i="6"/>
  <c r="F12" i="3"/>
  <c r="C6" i="3"/>
  <c r="C14" i="5"/>
  <c r="R12" i="3"/>
  <c r="J14" i="5"/>
  <c r="Q14" i="5"/>
  <c r="F42" i="5"/>
  <c r="F13" i="3"/>
  <c r="A17" i="3"/>
  <c r="B12" i="3"/>
  <c r="B6" i="3" l="1"/>
  <c r="B12" i="6"/>
  <c r="E12" i="6" s="1"/>
  <c r="C7" i="3"/>
  <c r="C6" i="6"/>
  <c r="C14" i="3"/>
  <c r="C13" i="6"/>
  <c r="F13" i="6" s="1"/>
  <c r="A20" i="6"/>
  <c r="C15" i="5"/>
  <c r="R13" i="3"/>
  <c r="J15" i="5"/>
  <c r="Q15" i="5"/>
  <c r="A18" i="3"/>
  <c r="B17" i="3"/>
  <c r="B13" i="3"/>
  <c r="B13" i="6" s="1"/>
  <c r="E13" i="6" s="1"/>
  <c r="E12" i="3"/>
  <c r="C8" i="3" l="1"/>
  <c r="C7" i="6"/>
  <c r="E17" i="3"/>
  <c r="B17" i="6"/>
  <c r="E17" i="6" s="1"/>
  <c r="C15" i="3"/>
  <c r="C14" i="6"/>
  <c r="F14" i="6" s="1"/>
  <c r="F14" i="3"/>
  <c r="F6" i="6"/>
  <c r="B7" i="3"/>
  <c r="B6" i="6"/>
  <c r="A21" i="6"/>
  <c r="B19" i="5"/>
  <c r="P19" i="5" s="1"/>
  <c r="Q17" i="3"/>
  <c r="B14" i="5"/>
  <c r="P14" i="5" s="1"/>
  <c r="Q12" i="3"/>
  <c r="I19" i="5"/>
  <c r="H19" i="5"/>
  <c r="I14" i="5"/>
  <c r="A19" i="3"/>
  <c r="B18" i="3"/>
  <c r="B14" i="3"/>
  <c r="B14" i="6" s="1"/>
  <c r="E14" i="6" s="1"/>
  <c r="E13" i="3"/>
  <c r="R14" i="3" l="1"/>
  <c r="C16" i="5"/>
  <c r="C15" i="6"/>
  <c r="F15" i="6" s="1"/>
  <c r="F15" i="3"/>
  <c r="C16" i="3"/>
  <c r="E18" i="3"/>
  <c r="B18" i="6"/>
  <c r="E18" i="6" s="1"/>
  <c r="F7" i="6"/>
  <c r="E6" i="6"/>
  <c r="B8" i="3"/>
  <c r="B7" i="6"/>
  <c r="E7" i="6" s="1"/>
  <c r="H14" i="5"/>
  <c r="C9" i="3"/>
  <c r="C8" i="6"/>
  <c r="A22" i="6"/>
  <c r="B15" i="5"/>
  <c r="P15" i="5" s="1"/>
  <c r="Q13" i="3"/>
  <c r="B20" i="5"/>
  <c r="P20" i="5" s="1"/>
  <c r="Q18" i="3"/>
  <c r="E14" i="3"/>
  <c r="B15" i="3"/>
  <c r="B15" i="6" s="1"/>
  <c r="E15" i="6" s="1"/>
  <c r="A20" i="3"/>
  <c r="B19" i="3"/>
  <c r="C10" i="3" l="1"/>
  <c r="C9" i="6"/>
  <c r="F9" i="6" s="1"/>
  <c r="E19" i="3"/>
  <c r="B19" i="6"/>
  <c r="E19" i="6" s="1"/>
  <c r="H20" i="5"/>
  <c r="J16" i="5"/>
  <c r="Q16" i="5"/>
  <c r="F8" i="6"/>
  <c r="B9" i="3"/>
  <c r="B8" i="6"/>
  <c r="H15" i="5"/>
  <c r="I15" i="5"/>
  <c r="C16" i="6"/>
  <c r="F16" i="6" s="1"/>
  <c r="F16" i="3"/>
  <c r="C17" i="3"/>
  <c r="I20" i="5"/>
  <c r="C17" i="5"/>
  <c r="R15" i="3"/>
  <c r="A23" i="6"/>
  <c r="B21" i="5"/>
  <c r="P21" i="5" s="1"/>
  <c r="Q19" i="3"/>
  <c r="B16" i="5"/>
  <c r="H16" i="5" s="1"/>
  <c r="Q14" i="3"/>
  <c r="E15" i="3"/>
  <c r="B16" i="3"/>
  <c r="A21" i="3"/>
  <c r="B20" i="3"/>
  <c r="B20" i="6" s="1"/>
  <c r="E20" i="6" s="1"/>
  <c r="J17" i="5" l="1"/>
  <c r="Q17" i="5"/>
  <c r="C18" i="5"/>
  <c r="R16" i="3"/>
  <c r="E8" i="6"/>
  <c r="B10" i="3"/>
  <c r="B9" i="6"/>
  <c r="I21" i="5"/>
  <c r="I16" i="5"/>
  <c r="C17" i="6"/>
  <c r="F17" i="6" s="1"/>
  <c r="F17" i="3"/>
  <c r="C18" i="3"/>
  <c r="P16" i="5"/>
  <c r="C10" i="6"/>
  <c r="C11" i="3"/>
  <c r="C11" i="6" s="1"/>
  <c r="F11" i="6" s="1"/>
  <c r="H21" i="5"/>
  <c r="E16" i="3"/>
  <c r="B18" i="5" s="1"/>
  <c r="B16" i="6"/>
  <c r="E16" i="6" s="1"/>
  <c r="Y6" i="6"/>
  <c r="A24" i="6"/>
  <c r="B17" i="5"/>
  <c r="P17" i="5" s="1"/>
  <c r="Q15" i="3"/>
  <c r="E20" i="3"/>
  <c r="A22" i="3"/>
  <c r="B21" i="3"/>
  <c r="P18" i="5" l="1"/>
  <c r="H18" i="5"/>
  <c r="I18" i="5"/>
  <c r="E21" i="3"/>
  <c r="B21" i="6"/>
  <c r="E21" i="6" s="1"/>
  <c r="C18" i="6"/>
  <c r="C19" i="3"/>
  <c r="F18" i="3"/>
  <c r="R17" i="3"/>
  <c r="C19" i="5"/>
  <c r="I17" i="5"/>
  <c r="Q18" i="5"/>
  <c r="J18" i="5"/>
  <c r="E9" i="6"/>
  <c r="B10" i="6"/>
  <c r="E10" i="6" s="1"/>
  <c r="B11" i="3"/>
  <c r="B11" i="6" s="1"/>
  <c r="E11" i="6" s="1"/>
  <c r="H17" i="5"/>
  <c r="X7" i="6"/>
  <c r="Q16" i="3"/>
  <c r="F10" i="6"/>
  <c r="Y5" i="6"/>
  <c r="A25" i="6"/>
  <c r="B23" i="5"/>
  <c r="P23" i="5" s="1"/>
  <c r="Q21" i="3"/>
  <c r="B22" i="5"/>
  <c r="P22" i="5" s="1"/>
  <c r="Q20" i="3"/>
  <c r="I22" i="5"/>
  <c r="H22" i="5"/>
  <c r="A23" i="3"/>
  <c r="B22" i="3"/>
  <c r="E22" i="3" l="1"/>
  <c r="B22" i="6"/>
  <c r="E22" i="6" s="1"/>
  <c r="C20" i="5"/>
  <c r="R18" i="3"/>
  <c r="X6" i="6"/>
  <c r="X5" i="6"/>
  <c r="H23" i="5"/>
  <c r="J19" i="5"/>
  <c r="Q19" i="5"/>
  <c r="I23" i="5"/>
  <c r="C19" i="6"/>
  <c r="F19" i="6" s="1"/>
  <c r="F19" i="3"/>
  <c r="C20" i="3"/>
  <c r="F18" i="6"/>
  <c r="A26" i="6"/>
  <c r="B24" i="5"/>
  <c r="P24" i="5" s="1"/>
  <c r="Q22" i="3"/>
  <c r="H24" i="5"/>
  <c r="I24" i="5"/>
  <c r="A24" i="3"/>
  <c r="B23" i="3"/>
  <c r="J20" i="5" l="1"/>
  <c r="Q20" i="5"/>
  <c r="E23" i="3"/>
  <c r="B23" i="6"/>
  <c r="E23" i="6" s="1"/>
  <c r="C20" i="6"/>
  <c r="F20" i="3"/>
  <c r="C21" i="3"/>
  <c r="C21" i="5"/>
  <c r="R19" i="3"/>
  <c r="A27" i="6"/>
  <c r="B25" i="5"/>
  <c r="P25" i="5" s="1"/>
  <c r="Q23" i="3"/>
  <c r="I25" i="5"/>
  <c r="H25" i="5"/>
  <c r="A25" i="3"/>
  <c r="C25" i="3" s="1"/>
  <c r="B24" i="3"/>
  <c r="C21" i="6" l="1"/>
  <c r="F21" i="3"/>
  <c r="C22" i="3"/>
  <c r="F20" i="6"/>
  <c r="Y7" i="6"/>
  <c r="J21" i="5"/>
  <c r="Q21" i="5"/>
  <c r="C22" i="5"/>
  <c r="R20" i="3"/>
  <c r="E24" i="3"/>
  <c r="B24" i="6"/>
  <c r="F25" i="3"/>
  <c r="C25" i="6"/>
  <c r="F25" i="6" s="1"/>
  <c r="A28" i="6"/>
  <c r="B26" i="5"/>
  <c r="P26" i="5" s="1"/>
  <c r="Q24" i="3"/>
  <c r="C27" i="5"/>
  <c r="R25" i="3"/>
  <c r="I26" i="5"/>
  <c r="H26" i="5"/>
  <c r="A26" i="3"/>
  <c r="C26" i="3" s="1"/>
  <c r="B25" i="3"/>
  <c r="B25" i="6" s="1"/>
  <c r="E25" i="6" s="1"/>
  <c r="Q22" i="5" l="1"/>
  <c r="J22" i="5"/>
  <c r="F26" i="3"/>
  <c r="C26" i="6"/>
  <c r="F26" i="6" s="1"/>
  <c r="E24" i="6"/>
  <c r="X8" i="6"/>
  <c r="C22" i="6"/>
  <c r="F22" i="6" s="1"/>
  <c r="F22" i="3"/>
  <c r="C23" i="3"/>
  <c r="R21" i="3"/>
  <c r="C23" i="5"/>
  <c r="F21" i="6"/>
  <c r="A29" i="6"/>
  <c r="C28" i="5"/>
  <c r="R26" i="3"/>
  <c r="Q27" i="5"/>
  <c r="J27" i="5"/>
  <c r="E25" i="3"/>
  <c r="A27" i="3"/>
  <c r="C27" i="3" s="1"/>
  <c r="B26" i="3"/>
  <c r="E26" i="3" l="1"/>
  <c r="B26" i="6"/>
  <c r="E26" i="6" s="1"/>
  <c r="F27" i="3"/>
  <c r="C27" i="6"/>
  <c r="F27" i="6" s="1"/>
  <c r="C23" i="6"/>
  <c r="F23" i="3"/>
  <c r="C24" i="3"/>
  <c r="R22" i="3"/>
  <c r="C24" i="5"/>
  <c r="J23" i="5"/>
  <c r="Q23" i="5"/>
  <c r="A30" i="6"/>
  <c r="C29" i="5"/>
  <c r="R27" i="3"/>
  <c r="Q28" i="5"/>
  <c r="J28" i="5"/>
  <c r="B28" i="5"/>
  <c r="P28" i="5" s="1"/>
  <c r="Q26" i="3"/>
  <c r="B27" i="5"/>
  <c r="P27" i="5" s="1"/>
  <c r="Q25" i="3"/>
  <c r="I28" i="5"/>
  <c r="H28" i="5"/>
  <c r="A28" i="3"/>
  <c r="C28" i="3" s="1"/>
  <c r="B27" i="3"/>
  <c r="E27" i="3" l="1"/>
  <c r="B27" i="6"/>
  <c r="E27" i="6" s="1"/>
  <c r="J24" i="5"/>
  <c r="Q24" i="5"/>
  <c r="F23" i="6"/>
  <c r="F28" i="3"/>
  <c r="C28" i="6"/>
  <c r="F28" i="6" s="1"/>
  <c r="C24" i="6"/>
  <c r="F24" i="6" s="1"/>
  <c r="F24" i="3"/>
  <c r="R23" i="3"/>
  <c r="C25" i="5"/>
  <c r="A31" i="6"/>
  <c r="H27" i="5"/>
  <c r="I27" i="5"/>
  <c r="C30" i="5"/>
  <c r="R28" i="3"/>
  <c r="B29" i="5"/>
  <c r="P29" i="5" s="1"/>
  <c r="Q27" i="3"/>
  <c r="J29" i="5"/>
  <c r="Q29" i="5"/>
  <c r="I29" i="5"/>
  <c r="H29" i="5"/>
  <c r="A29" i="3"/>
  <c r="C29" i="3" s="1"/>
  <c r="B28" i="3"/>
  <c r="E28" i="3" l="1"/>
  <c r="B28" i="6"/>
  <c r="E28" i="6" s="1"/>
  <c r="F29" i="3"/>
  <c r="C29" i="6"/>
  <c r="F29" i="6" s="1"/>
  <c r="J25" i="5"/>
  <c r="Q25" i="5"/>
  <c r="C26" i="5"/>
  <c r="R24" i="3"/>
  <c r="Y8" i="6"/>
  <c r="A32" i="6"/>
  <c r="C31" i="5"/>
  <c r="R29" i="3"/>
  <c r="B30" i="5"/>
  <c r="P30" i="5" s="1"/>
  <c r="Q28" i="3"/>
  <c r="Q30" i="5"/>
  <c r="J30" i="5"/>
  <c r="I30" i="5"/>
  <c r="A30" i="3"/>
  <c r="C30" i="3" s="1"/>
  <c r="B29" i="3"/>
  <c r="F30" i="3" l="1"/>
  <c r="C30" i="6"/>
  <c r="E29" i="3"/>
  <c r="B29" i="6"/>
  <c r="J26" i="5"/>
  <c r="Q26" i="5"/>
  <c r="A33" i="6"/>
  <c r="H30" i="5"/>
  <c r="C32" i="5"/>
  <c r="R30" i="3"/>
  <c r="B31" i="5"/>
  <c r="P31" i="5" s="1"/>
  <c r="Q29" i="3"/>
  <c r="C43" i="3"/>
  <c r="J31" i="5"/>
  <c r="Q31" i="5"/>
  <c r="I31" i="5"/>
  <c r="H31" i="5"/>
  <c r="A31" i="3"/>
  <c r="C31" i="3" s="1"/>
  <c r="B30" i="3"/>
  <c r="B30" i="6" s="1"/>
  <c r="E30" i="6" s="1"/>
  <c r="F31" i="3" l="1"/>
  <c r="C31" i="6"/>
  <c r="F31" i="6" s="1"/>
  <c r="E29" i="6"/>
  <c r="B43" i="6"/>
  <c r="F30" i="6"/>
  <c r="C43" i="6"/>
  <c r="A34" i="6"/>
  <c r="C33" i="5"/>
  <c r="R31" i="3"/>
  <c r="Q32" i="5"/>
  <c r="J32" i="5"/>
  <c r="E30" i="3"/>
  <c r="B43" i="3"/>
  <c r="A32" i="3"/>
  <c r="C32" i="3" s="1"/>
  <c r="B31" i="3"/>
  <c r="E31" i="3" l="1"/>
  <c r="B31" i="6"/>
  <c r="E31" i="6" s="1"/>
  <c r="F32" i="3"/>
  <c r="C32" i="6"/>
  <c r="F32" i="6" s="1"/>
  <c r="B44" i="6"/>
  <c r="E44" i="6" s="1"/>
  <c r="E43" i="6"/>
  <c r="A35" i="6"/>
  <c r="B33" i="5"/>
  <c r="P33" i="5" s="1"/>
  <c r="Q31" i="3"/>
  <c r="C34" i="5"/>
  <c r="R32" i="3"/>
  <c r="B32" i="5"/>
  <c r="Q30" i="3"/>
  <c r="J33" i="5"/>
  <c r="Q33" i="5"/>
  <c r="B44" i="3"/>
  <c r="E44" i="3" s="1"/>
  <c r="E43" i="3"/>
  <c r="I33" i="5"/>
  <c r="H33" i="5"/>
  <c r="A33" i="3"/>
  <c r="C33" i="3" s="1"/>
  <c r="B32" i="3"/>
  <c r="E32" i="3" l="1"/>
  <c r="B32" i="6"/>
  <c r="E32" i="6" s="1"/>
  <c r="F33" i="3"/>
  <c r="C33" i="6"/>
  <c r="F33" i="6" s="1"/>
  <c r="A36" i="6"/>
  <c r="C35" i="5"/>
  <c r="R33" i="3"/>
  <c r="B34" i="5"/>
  <c r="P34" i="5" s="1"/>
  <c r="Q32" i="3"/>
  <c r="P32" i="5"/>
  <c r="I32" i="5"/>
  <c r="H32" i="5"/>
  <c r="J34" i="5"/>
  <c r="Q34" i="5"/>
  <c r="A34" i="3"/>
  <c r="C34" i="3" s="1"/>
  <c r="B33" i="3"/>
  <c r="E33" i="3" l="1"/>
  <c r="B33" i="6"/>
  <c r="E33" i="6" s="1"/>
  <c r="F34" i="3"/>
  <c r="C34" i="6"/>
  <c r="F34" i="6" s="1"/>
  <c r="A37" i="6"/>
  <c r="B35" i="5"/>
  <c r="P35" i="5" s="1"/>
  <c r="Q33" i="3"/>
  <c r="C36" i="5"/>
  <c r="R34" i="3"/>
  <c r="H34" i="5"/>
  <c r="I34" i="5"/>
  <c r="Q35" i="5"/>
  <c r="J35" i="5"/>
  <c r="I35" i="5"/>
  <c r="H35" i="5"/>
  <c r="A35" i="3"/>
  <c r="C35" i="3" s="1"/>
  <c r="B34" i="3"/>
  <c r="E34" i="3" l="1"/>
  <c r="B34" i="6"/>
  <c r="E34" i="6" s="1"/>
  <c r="F35" i="3"/>
  <c r="C35" i="6"/>
  <c r="F35" i="6" s="1"/>
  <c r="A38" i="6"/>
  <c r="C37" i="5"/>
  <c r="R35" i="3"/>
  <c r="B36" i="5"/>
  <c r="P36" i="5" s="1"/>
  <c r="Q34" i="3"/>
  <c r="J36" i="5"/>
  <c r="Q36" i="5"/>
  <c r="I36" i="5"/>
  <c r="H36" i="5"/>
  <c r="A36" i="3"/>
  <c r="C36" i="3" s="1"/>
  <c r="B35" i="3"/>
  <c r="F36" i="3" l="1"/>
  <c r="C36" i="6"/>
  <c r="F36" i="6" s="1"/>
  <c r="E35" i="3"/>
  <c r="B35" i="6"/>
  <c r="E35" i="6" s="1"/>
  <c r="A39" i="6"/>
  <c r="B37" i="5"/>
  <c r="P37" i="5" s="1"/>
  <c r="Q35" i="3"/>
  <c r="C38" i="5"/>
  <c r="R36" i="3"/>
  <c r="Q37" i="5"/>
  <c r="J37" i="5"/>
  <c r="A37" i="3"/>
  <c r="C37" i="3" s="1"/>
  <c r="B36" i="3"/>
  <c r="F37" i="3" l="1"/>
  <c r="C37" i="6"/>
  <c r="F37" i="6" s="1"/>
  <c r="H37" i="5"/>
  <c r="I37" i="5"/>
  <c r="E36" i="3"/>
  <c r="B36" i="6"/>
  <c r="E36" i="6" s="1"/>
  <c r="A40" i="6"/>
  <c r="B38" i="5"/>
  <c r="P38" i="5" s="1"/>
  <c r="Q36" i="3"/>
  <c r="C39" i="5"/>
  <c r="R37" i="3"/>
  <c r="J38" i="5"/>
  <c r="Q38" i="5"/>
  <c r="H38" i="5"/>
  <c r="A38" i="3"/>
  <c r="C38" i="3" s="1"/>
  <c r="B37" i="3"/>
  <c r="F38" i="3" l="1"/>
  <c r="C38" i="6"/>
  <c r="F38" i="6" s="1"/>
  <c r="E37" i="3"/>
  <c r="B37" i="6"/>
  <c r="E37" i="6" s="1"/>
  <c r="I38" i="5"/>
  <c r="B39" i="5"/>
  <c r="P39" i="5" s="1"/>
  <c r="Q37" i="3"/>
  <c r="C40" i="5"/>
  <c r="R38" i="3"/>
  <c r="Q39" i="5"/>
  <c r="J39" i="5"/>
  <c r="H39" i="5"/>
  <c r="I39" i="5"/>
  <c r="A39" i="3"/>
  <c r="C39" i="3" s="1"/>
  <c r="B38" i="3"/>
  <c r="F39" i="3" l="1"/>
  <c r="C39" i="6"/>
  <c r="F39" i="6" s="1"/>
  <c r="E38" i="3"/>
  <c r="B38" i="6"/>
  <c r="E38" i="6" s="1"/>
  <c r="B40" i="5"/>
  <c r="P40" i="5" s="1"/>
  <c r="Q38" i="3"/>
  <c r="C41" i="5"/>
  <c r="R39" i="3"/>
  <c r="J40" i="5"/>
  <c r="Q40" i="5"/>
  <c r="H40" i="5"/>
  <c r="I40" i="5"/>
  <c r="A40" i="3"/>
  <c r="B39" i="3"/>
  <c r="E39" i="3" l="1"/>
  <c r="B39" i="6"/>
  <c r="E39" i="6" s="1"/>
  <c r="B41" i="5"/>
  <c r="P41" i="5" s="1"/>
  <c r="Q39" i="3"/>
  <c r="B40" i="3"/>
  <c r="C40" i="3"/>
  <c r="J41" i="5"/>
  <c r="Q41" i="5"/>
  <c r="H41" i="5"/>
  <c r="I41" i="5"/>
  <c r="E6" i="3"/>
  <c r="E40" i="3" l="1"/>
  <c r="B40" i="6"/>
  <c r="E40" i="6" s="1"/>
  <c r="F40" i="3"/>
  <c r="C40" i="6"/>
  <c r="F40" i="6" s="1"/>
  <c r="B8" i="5"/>
  <c r="P8" i="5" s="1"/>
  <c r="Q6" i="3"/>
  <c r="C42" i="5"/>
  <c r="R40" i="3"/>
  <c r="B42" i="5"/>
  <c r="Q40" i="3"/>
  <c r="I8" i="5"/>
  <c r="H8" i="5"/>
  <c r="E7" i="3"/>
  <c r="P42" i="5" l="1"/>
  <c r="H42" i="5"/>
  <c r="I42" i="5"/>
  <c r="B9" i="5"/>
  <c r="Q7" i="3"/>
  <c r="J42" i="5"/>
  <c r="Q42" i="5"/>
  <c r="I9" i="5"/>
  <c r="P9" i="5"/>
  <c r="H9" i="5"/>
  <c r="E8" i="3"/>
  <c r="B10" i="5" l="1"/>
  <c r="P10" i="5" s="1"/>
  <c r="Q8" i="3"/>
  <c r="H10" i="5"/>
  <c r="I10" i="5"/>
  <c r="E9" i="3"/>
  <c r="B11" i="5" l="1"/>
  <c r="I11" i="5" s="1"/>
  <c r="Q9" i="3"/>
  <c r="J6" i="3"/>
  <c r="E10" i="3"/>
  <c r="F6" i="3"/>
  <c r="H11" i="5" l="1"/>
  <c r="P11" i="5"/>
  <c r="C8" i="5"/>
  <c r="R6" i="3"/>
  <c r="B12" i="5"/>
  <c r="Q10" i="3"/>
  <c r="H12" i="5"/>
  <c r="P12" i="5"/>
  <c r="J8" i="5"/>
  <c r="Q8" i="5"/>
  <c r="F7" i="3"/>
  <c r="I12" i="5"/>
  <c r="E11" i="3"/>
  <c r="J8" i="3"/>
  <c r="J7" i="3"/>
  <c r="B13" i="5" l="1"/>
  <c r="Q11" i="3"/>
  <c r="C9" i="5"/>
  <c r="Q9" i="5" s="1"/>
  <c r="R7" i="3"/>
  <c r="B44" i="5"/>
  <c r="P44" i="5" s="1"/>
  <c r="P13" i="5"/>
  <c r="F8" i="3"/>
  <c r="H13" i="5"/>
  <c r="H44" i="5" s="1"/>
  <c r="I13" i="5"/>
  <c r="I44" i="5" s="1"/>
  <c r="J9" i="5"/>
  <c r="C10" i="5" l="1"/>
  <c r="R8" i="3"/>
  <c r="J10" i="5"/>
  <c r="Q10" i="5"/>
  <c r="F9" i="3"/>
  <c r="C11" i="5" l="1"/>
  <c r="Q11" i="5" s="1"/>
  <c r="R9" i="3"/>
  <c r="J11" i="5"/>
  <c r="F10" i="3"/>
  <c r="F11" i="3"/>
  <c r="C13" i="5" l="1"/>
  <c r="R11" i="3"/>
  <c r="C12" i="5"/>
  <c r="R10" i="3"/>
  <c r="J13" i="5"/>
  <c r="Q13" i="5"/>
  <c r="J12" i="5"/>
  <c r="Q12" i="5"/>
  <c r="K8" i="3"/>
  <c r="C44" i="5"/>
  <c r="Q44" i="5" s="1"/>
  <c r="K6" i="3"/>
  <c r="J44" i="5"/>
  <c r="K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tc={4ACC53AF-7F51-439A-8A1A-9A95D5D038C0}</author>
  </authors>
  <commentList>
    <comment ref="D12" authorId="0" shapeId="0" xr:uid="{4ACC53AF-7F51-439A-8A1A-9A95D5D038C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Assumes $400/MW-day Summer and $50 other seasons = Annual avg $550/4 seasons = $137.5/MW-day</t>
      </text>
    </comment>
  </commentList>
</comments>
</file>

<file path=xl/sharedStrings.xml><?xml version="1.0" encoding="utf-8"?>
<sst xmlns="http://schemas.openxmlformats.org/spreadsheetml/2006/main" count="174" uniqueCount="92">
  <si>
    <t>Methodology:</t>
  </si>
  <si>
    <t>Instructions:</t>
  </si>
  <si>
    <t>MISO Fundamental Capacity Price Forecast</t>
  </si>
  <si>
    <t>Template version:</t>
  </si>
  <si>
    <t>v1</t>
  </si>
  <si>
    <t>Version date:</t>
  </si>
  <si>
    <t>Inputs</t>
  </si>
  <si>
    <t>Start Year</t>
  </si>
  <si>
    <t>Key:</t>
  </si>
  <si>
    <t>Calculations</t>
  </si>
  <si>
    <t>Overrides</t>
  </si>
  <si>
    <t>Results</t>
  </si>
  <si>
    <t>Description</t>
  </si>
  <si>
    <t>Variable name</t>
  </si>
  <si>
    <t>Input</t>
  </si>
  <si>
    <t>First year of forecast</t>
  </si>
  <si>
    <t>Price based on expected MISO auction clearing price</t>
  </si>
  <si>
    <t>Starting Price $/kW-mo</t>
  </si>
  <si>
    <t>Auction CONE Year</t>
  </si>
  <si>
    <t>First year when auction reaches max realistic clearing price</t>
  </si>
  <si>
    <t>Near-term Timing Inputs</t>
  </si>
  <si>
    <t>Fundamental CONE Year</t>
  </si>
  <si>
    <t>First year when price equals NEER fundamental Net CONE</t>
  </si>
  <si>
    <t>Near-term Pricing Inputs</t>
  </si>
  <si>
    <t>Auction CONE multiplier</t>
  </si>
  <si>
    <t>Original MISO CONE</t>
  </si>
  <si>
    <t>Annual multiplier Assuming one season clears at 4x CONE and 3 other seasons clear low</t>
  </si>
  <si>
    <t>Auction CONE raw $/kW-mo</t>
  </si>
  <si>
    <t>Realistic cap on near-term auction results</t>
  </si>
  <si>
    <t>Sets price between Start Year and Auction CONE Year based on bilateral quote</t>
  </si>
  <si>
    <t>Bilateral Levelized Near-term Price $/kW-mo</t>
  </si>
  <si>
    <t>Fundamental Net CONE $/kW-mo</t>
  </si>
  <si>
    <t>NEER Net CONE per CPS solver</t>
  </si>
  <si>
    <t>MISO-North</t>
  </si>
  <si>
    <t>MISO-South</t>
  </si>
  <si>
    <t>Auction Price Cap $/kW-mo</t>
  </si>
  <si>
    <t>Long-term Pricing Inputs from CPS</t>
  </si>
  <si>
    <t>$/kW-yr</t>
  </si>
  <si>
    <t>$/kW-mo</t>
  </si>
  <si>
    <t>Capacity Price</t>
  </si>
  <si>
    <t>G:\Common\Market Intelligence\04 INFORM\05 Quarterly Runs\EIC\2025_Q1\DET\DET07\calibration 2055\Calibration\04_CVC_24Q2_EXP.xlsx</t>
  </si>
  <si>
    <t>Not used yet</t>
  </si>
  <si>
    <t>Generic Inputs</t>
  </si>
  <si>
    <t>Merchant WACC</t>
  </si>
  <si>
    <t>Levelized Summary</t>
  </si>
  <si>
    <t>2026-2030</t>
  </si>
  <si>
    <t>2026-2035</t>
  </si>
  <si>
    <t>2026-2045</t>
  </si>
  <si>
    <t>Period</t>
  </si>
  <si>
    <t># of Years</t>
  </si>
  <si>
    <t>2026-2040</t>
  </si>
  <si>
    <t>North</t>
  </si>
  <si>
    <t>South</t>
  </si>
  <si>
    <t>Notes</t>
  </si>
  <si>
    <t>per 25/26 Auction</t>
  </si>
  <si>
    <t>MISO Auction Reliability Based Demand Curve (RBDC)</t>
  </si>
  <si>
    <t>Price Cap is set at 4x Gross CONE. North and South have slightly different CONE costs.</t>
  </si>
  <si>
    <t>Delivery: Capacity Price</t>
  </si>
  <si>
    <t>Karbone forwards</t>
  </si>
  <si>
    <t>2026/27</t>
  </si>
  <si>
    <t>Solar</t>
  </si>
  <si>
    <t>Wind</t>
  </si>
  <si>
    <t>Accreditation</t>
  </si>
  <si>
    <t>2027-2046 20yr levelized</t>
  </si>
  <si>
    <t>20-yr Levelized Capacity Revenue</t>
  </si>
  <si>
    <t>Summer</t>
  </si>
  <si>
    <t>Fall</t>
  </si>
  <si>
    <t>Winter</t>
  </si>
  <si>
    <t>Spring</t>
  </si>
  <si>
    <t>New</t>
  </si>
  <si>
    <t>Prev Q1/2025</t>
  </si>
  <si>
    <t>Old North</t>
  </si>
  <si>
    <t>v2</t>
  </si>
  <si>
    <t>Template version</t>
  </si>
  <si>
    <t>Date</t>
  </si>
  <si>
    <t>Change</t>
  </si>
  <si>
    <t>Created the template for Q1/2025</t>
  </si>
  <si>
    <t>Change Log</t>
  </si>
  <si>
    <t>Analyst</t>
  </si>
  <si>
    <t>Ryan Moody</t>
  </si>
  <si>
    <t>Yao Wang</t>
  </si>
  <si>
    <t>Update 2025 for the MISO 25/26 PRA auction results</t>
  </si>
  <si>
    <t>Automated the input for the Fund. CONE to look up by Fund. CONE Year. Also updated inputs for coal delays, adding +2 years to Auction CONE and Fund. CONE Years</t>
  </si>
  <si>
    <t>2030-2050 20yr levelized</t>
  </si>
  <si>
    <t>Q1/25 v1</t>
  </si>
  <si>
    <t>delta</t>
  </si>
  <si>
    <t xml:space="preserve">spp old </t>
  </si>
  <si>
    <t xml:space="preserve">new </t>
  </si>
  <si>
    <t xml:space="preserve">Fall </t>
  </si>
  <si>
    <t xml:space="preserve">Winter </t>
  </si>
  <si>
    <t>Scaler</t>
  </si>
  <si>
    <t>2025/26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</si>
</sst>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.0_);[Red]\(&quot;$&quot;#,##0.0\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</numFmts>
  <fonts count="9" x14ac:knownFonts="1">
    <font>
      <sz val="11"/>
      <color theme="1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3" borderId="0" xfId="2"/>
    <xf numFmtId="0" fontId="0" fillId="4" borderId="0" xfId="0" applyFill="1"/>
    <xf numFmtId="0" fontId="1" fillId="2" borderId="0" xfId="1"/>
    <xf numFmtId="0" fontId="0" fillId="5" borderId="0" xfId="0" applyFill="1"/>
    <xf numFmtId="0" fontId="0" fillId="0" borderId="0" xfId="0" applyFont="1"/>
    <xf numFmtId="0" fontId="4" fillId="0" borderId="0" xfId="0" applyFont="1" applyAlignment="1">
      <alignment wrapText="1"/>
    </xf>
    <xf numFmtId="8" fontId="2" fillId="3" borderId="0" xfId="2" applyNumberFormat="1"/>
    <xf numFmtId="8" fontId="0" fillId="0" borderId="0" xfId="0" applyNumberFormat="1"/>
    <xf numFmtId="9" fontId="2" fillId="3" borderId="0" xfId="2" applyNumberFormat="1"/>
    <xf numFmtId="8" fontId="0" fillId="4" borderId="0" xfId="0" applyNumberFormat="1" applyFill="1"/>
    <xf numFmtId="2" fontId="0" fillId="4" borderId="0" xfId="0" applyNumberFormat="1" applyFill="1"/>
    <xf numFmtId="0" fontId="0" fillId="0" borderId="0" xfId="0" applyFont="1" applyAlignment="1">
      <alignment wrapText="1"/>
    </xf>
    <xf numFmtId="8" fontId="1" fillId="2" borderId="0" xfId="1" applyNumberFormat="1"/>
    <xf numFmtId="0" fontId="5" fillId="0" borderId="0" xfId="0" applyFont="1"/>
    <xf numFmtId="10" fontId="2" fillId="3" borderId="0" xfId="2" applyNumberFormat="1"/>
    <xf numFmtId="2" fontId="1" fillId="2" borderId="0" xfId="1" applyNumberFormat="1"/>
    <xf numFmtId="164" fontId="0" fillId="5" borderId="0" xfId="0" applyNumberFormat="1" applyFill="1"/>
    <xf numFmtId="164" fontId="0" fillId="0" borderId="0" xfId="0" applyNumberFormat="1"/>
    <xf numFmtId="165" fontId="0" fillId="0" borderId="0" xfId="3" applyNumberFormat="1" applyFon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7" fontId="0" fillId="0" borderId="0" xfId="4" applyNumberFormat="1" applyFont="1"/>
    <xf numFmtId="0" fontId="3" fillId="5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/>
    <xf numFmtId="0" fontId="8" fillId="6" borderId="2" xfId="6" applyFont="1" applyFill="1" applyBorder="1" applyAlignment="1">
      <alignment horizontal="centerContinuous" wrapText="1"/>
    </xf>
    <xf numFmtId="167" fontId="0" fillId="0" borderId="0" xfId="0" applyNumberFormat="1"/>
    <xf numFmtId="44" fontId="0" fillId="0" borderId="0" xfId="4" applyFont="1"/>
    <xf numFmtId="0" fontId="0" fillId="7" borderId="0" xfId="0" applyFill="1"/>
    <xf numFmtId="43" fontId="0" fillId="7" borderId="0" xfId="5" applyFont="1" applyFill="1"/>
    <xf numFmtId="43" fontId="0" fillId="0" borderId="0" xfId="0" applyNumberFormat="1"/>
    <xf numFmtId="168" fontId="0" fillId="0" borderId="0" xfId="4" applyNumberFormat="1" applyFont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Bad" xfId="1" builtinId="27"/>
    <cellStyle name="Comma" xfId="5" builtinId="3"/>
    <cellStyle name="Currency" xfId="4" builtinId="4"/>
    <cellStyle name="Neutral" xfId="2" builtinId="28"/>
    <cellStyle name="Normal" xfId="0" builtinId="0"/>
    <cellStyle name="Normal 2 2 2" xfId="6" xr:uid="{1DA4A5AD-1DB9-450C-933C-E128B9E90D0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MISO Capacity Price ($/kW-mo)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Forecast!$B$4</c:f>
              <c:strCache>
                <c:ptCount val="1"/>
                <c:pt idx="0">
                  <c:v>MISO-North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Forecast!$A$5:$A$40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cat>
          <c:val>
            <c:numRef>
              <c:f>Forecast!$B$5:$B$40</c:f>
              <c:numCache>
                <c:formatCode>0.00</c:formatCode>
                <c:ptCount val="36"/>
                <c:pt idx="0">
                  <c:v>6.5485562500000007</c:v>
                </c:pt>
                <c:pt idx="1">
                  <c:v>6.8046784375000007</c:v>
                </c:pt>
                <c:pt idx="2">
                  <c:v>7.0608006250000006</c:v>
                </c:pt>
                <c:pt idx="3">
                  <c:v>7.3169228125000005</c:v>
                </c:pt>
                <c:pt idx="4">
                  <c:v>7.5730450000000005</c:v>
                </c:pt>
                <c:pt idx="5">
                  <c:v>8.5975337500000002</c:v>
                </c:pt>
                <c:pt idx="6">
                  <c:v>9.8781446875000007</c:v>
                </c:pt>
                <c:pt idx="7">
                  <c:v>11.671000000000001</c:v>
                </c:pt>
                <c:pt idx="8">
                  <c:v>12.634347633402884</c:v>
                </c:pt>
                <c:pt idx="9">
                  <c:v>13.597695266805767</c:v>
                </c:pt>
                <c:pt idx="10">
                  <c:v>14.561042900208649</c:v>
                </c:pt>
                <c:pt idx="11">
                  <c:v>15.524390533611532</c:v>
                </c:pt>
                <c:pt idx="12">
                  <c:v>16.487738167014417</c:v>
                </c:pt>
                <c:pt idx="13">
                  <c:v>17.130331019869669</c:v>
                </c:pt>
                <c:pt idx="14">
                  <c:v>17.772923872724917</c:v>
                </c:pt>
                <c:pt idx="15">
                  <c:v>18.415516725580083</c:v>
                </c:pt>
                <c:pt idx="16">
                  <c:v>18.961596425545917</c:v>
                </c:pt>
                <c:pt idx="17">
                  <c:v>19.507676125511669</c:v>
                </c:pt>
                <c:pt idx="18">
                  <c:v>20.053755825477499</c:v>
                </c:pt>
                <c:pt idx="19">
                  <c:v>20.599835525443336</c:v>
                </c:pt>
                <c:pt idx="20">
                  <c:v>21.145915225409084</c:v>
                </c:pt>
                <c:pt idx="21">
                  <c:v>21.691994925374917</c:v>
                </c:pt>
                <c:pt idx="22">
                  <c:v>22.238074625340669</c:v>
                </c:pt>
                <c:pt idx="23">
                  <c:v>22.784154325306499</c:v>
                </c:pt>
                <c:pt idx="24">
                  <c:v>23.330234025272333</c:v>
                </c:pt>
                <c:pt idx="25">
                  <c:v>23.876313725238081</c:v>
                </c:pt>
                <c:pt idx="26">
                  <c:v>24.422393425203918</c:v>
                </c:pt>
                <c:pt idx="27">
                  <c:v>24.968473125169666</c:v>
                </c:pt>
                <c:pt idx="28">
                  <c:v>25.5145528251355</c:v>
                </c:pt>
                <c:pt idx="29">
                  <c:v>26.060632525101251</c:v>
                </c:pt>
                <c:pt idx="30">
                  <c:v>26.606712225067085</c:v>
                </c:pt>
                <c:pt idx="31">
                  <c:v>27.112239757343332</c:v>
                </c:pt>
                <c:pt idx="32">
                  <c:v>27.627372312732831</c:v>
                </c:pt>
                <c:pt idx="33">
                  <c:v>28.152292386674834</c:v>
                </c:pt>
                <c:pt idx="34">
                  <c:v>28.687185942021586</c:v>
                </c:pt>
                <c:pt idx="35">
                  <c:v>29.23224247492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429-A048-2BF019AA7B7A}"/>
            </c:ext>
          </c:extLst>
        </c:ser>
        <c:ser>
          <c:idx val="1"/>
          <c:order val="1"/>
          <c:tx>
            <c:strRef>
              <c:f>Forecast!$C$4</c:f>
              <c:strCache>
                <c:ptCount val="1"/>
                <c:pt idx="0">
                  <c:v>MISO-South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Forecast!$A$5:$A$40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cat>
          <c:val>
            <c:numRef>
              <c:f>Forecast!$C$5:$C$40</c:f>
              <c:numCache>
                <c:formatCode>0.00</c:formatCode>
                <c:ptCount val="36"/>
                <c:pt idx="0">
                  <c:v>6.4154072916666669</c:v>
                </c:pt>
                <c:pt idx="1">
                  <c:v>6.6352869270833335</c:v>
                </c:pt>
                <c:pt idx="2">
                  <c:v>6.8551665625</c:v>
                </c:pt>
                <c:pt idx="3">
                  <c:v>7.0750461979166666</c:v>
                </c:pt>
                <c:pt idx="4">
                  <c:v>7.2949258333333331</c:v>
                </c:pt>
                <c:pt idx="5">
                  <c:v>8.1744443750000002</c:v>
                </c:pt>
                <c:pt idx="6">
                  <c:v>9.2738425520833339</c:v>
                </c:pt>
                <c:pt idx="7">
                  <c:v>10.813000000000001</c:v>
                </c:pt>
                <c:pt idx="8">
                  <c:v>11.027145712833519</c:v>
                </c:pt>
                <c:pt idx="9">
                  <c:v>11.241291425667038</c:v>
                </c:pt>
                <c:pt idx="10">
                  <c:v>11.455437138500557</c:v>
                </c:pt>
                <c:pt idx="11">
                  <c:v>11.669582851334075</c:v>
                </c:pt>
                <c:pt idx="12">
                  <c:v>11.883728564167594</c:v>
                </c:pt>
                <c:pt idx="13">
                  <c:v>12.097874277001113</c:v>
                </c:pt>
                <c:pt idx="14">
                  <c:v>12.312019989834631</c:v>
                </c:pt>
                <c:pt idx="15">
                  <c:v>12.52616570266815</c:v>
                </c:pt>
                <c:pt idx="16">
                  <c:v>12.740311415501669</c:v>
                </c:pt>
                <c:pt idx="17">
                  <c:v>12.954457128335187</c:v>
                </c:pt>
                <c:pt idx="18">
                  <c:v>13.168602841168706</c:v>
                </c:pt>
                <c:pt idx="19">
                  <c:v>13.382748554002225</c:v>
                </c:pt>
                <c:pt idx="20">
                  <c:v>13.596894266835749</c:v>
                </c:pt>
                <c:pt idx="21">
                  <c:v>13.855235257905667</c:v>
                </c:pt>
                <c:pt idx="22">
                  <c:v>14.118484727805834</c:v>
                </c:pt>
                <c:pt idx="23">
                  <c:v>14.386735937634166</c:v>
                </c:pt>
                <c:pt idx="24">
                  <c:v>14.660083920449251</c:v>
                </c:pt>
                <c:pt idx="25">
                  <c:v>14.938625514937749</c:v>
                </c:pt>
                <c:pt idx="26">
                  <c:v>15.222459399721584</c:v>
                </c:pt>
                <c:pt idx="27">
                  <c:v>15.511686128316333</c:v>
                </c:pt>
                <c:pt idx="28">
                  <c:v>15.806408164754332</c:v>
                </c:pt>
                <c:pt idx="29">
                  <c:v>16.106729919884668</c:v>
                </c:pt>
                <c:pt idx="30">
                  <c:v>16.412757788362416</c:v>
                </c:pt>
                <c:pt idx="31">
                  <c:v>16.724600186341334</c:v>
                </c:pt>
                <c:pt idx="32">
                  <c:v>17.042367589881831</c:v>
                </c:pt>
                <c:pt idx="33">
                  <c:v>17.366172574089585</c:v>
                </c:pt>
                <c:pt idx="34">
                  <c:v>17.696129852997249</c:v>
                </c:pt>
                <c:pt idx="35">
                  <c:v>18.032356320204169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429-A048-2BF019AA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92768"/>
        <c:axId val="883893488"/>
      </c:lineChart>
      <c:catAx>
        <c:axId val="8838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3488"/>
        <c:crosses val="autoZero"/>
        <c:auto val="1"/>
        <c:lblAlgn val="ctr"/>
        <c:lblOffset val="100"/>
        <c:noMultiLvlLbl val="0"/>
      </c:catAx>
      <c:valAx>
        <c:axId val="883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MISO Capacity Price ($/kW-mo)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Forecast!$B$4</c:f>
              <c:strCache>
                <c:ptCount val="1"/>
                <c:pt idx="0">
                  <c:v>MISO-North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Forecast!$A$5:$A$30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Forecast!$B$5:$B$30</c:f>
              <c:numCache>
                <c:formatCode>0.00</c:formatCode>
                <c:ptCount val="26"/>
                <c:pt idx="0">
                  <c:v>6.5485562500000007</c:v>
                </c:pt>
                <c:pt idx="1">
                  <c:v>6.8046784375000007</c:v>
                </c:pt>
                <c:pt idx="2">
                  <c:v>7.0608006250000006</c:v>
                </c:pt>
                <c:pt idx="3">
                  <c:v>7.3169228125000005</c:v>
                </c:pt>
                <c:pt idx="4">
                  <c:v>7.5730450000000005</c:v>
                </c:pt>
                <c:pt idx="5">
                  <c:v>8.5975337500000002</c:v>
                </c:pt>
                <c:pt idx="6">
                  <c:v>9.8781446875000007</c:v>
                </c:pt>
                <c:pt idx="7">
                  <c:v>11.671000000000001</c:v>
                </c:pt>
                <c:pt idx="8">
                  <c:v>12.634347633402884</c:v>
                </c:pt>
                <c:pt idx="9">
                  <c:v>13.597695266805767</c:v>
                </c:pt>
                <c:pt idx="10">
                  <c:v>14.561042900208649</c:v>
                </c:pt>
                <c:pt idx="11">
                  <c:v>15.524390533611532</c:v>
                </c:pt>
                <c:pt idx="12">
                  <c:v>16.487738167014417</c:v>
                </c:pt>
                <c:pt idx="13">
                  <c:v>17.130331019869669</c:v>
                </c:pt>
                <c:pt idx="14">
                  <c:v>17.772923872724917</c:v>
                </c:pt>
                <c:pt idx="15">
                  <c:v>18.415516725580083</c:v>
                </c:pt>
                <c:pt idx="16">
                  <c:v>18.961596425545917</c:v>
                </c:pt>
                <c:pt idx="17">
                  <c:v>19.507676125511669</c:v>
                </c:pt>
                <c:pt idx="18">
                  <c:v>20.053755825477499</c:v>
                </c:pt>
                <c:pt idx="19">
                  <c:v>20.599835525443336</c:v>
                </c:pt>
                <c:pt idx="20">
                  <c:v>21.145915225409084</c:v>
                </c:pt>
                <c:pt idx="21">
                  <c:v>21.691994925374917</c:v>
                </c:pt>
                <c:pt idx="22">
                  <c:v>22.238074625340669</c:v>
                </c:pt>
                <c:pt idx="23">
                  <c:v>22.784154325306499</c:v>
                </c:pt>
                <c:pt idx="24">
                  <c:v>23.330234025272333</c:v>
                </c:pt>
                <c:pt idx="25">
                  <c:v>23.876313725238081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429-A048-2BF019AA7B7A}"/>
            </c:ext>
          </c:extLst>
        </c:ser>
        <c:ser>
          <c:idx val="1"/>
          <c:order val="1"/>
          <c:tx>
            <c:strRef>
              <c:f>Forecast!$N$3</c:f>
              <c:strCache>
                <c:ptCount val="1"/>
                <c:pt idx="0">
                  <c:v>Old 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Forecast!$A$5:$A$30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Forecast!$N$4:$N$29</c:f>
              <c:numCache>
                <c:formatCode>General</c:formatCode>
                <c:ptCount val="26"/>
                <c:pt idx="0">
                  <c:v>4.182291666666667</c:v>
                </c:pt>
                <c:pt idx="1">
                  <c:v>4.5567270833333335</c:v>
                </c:pt>
                <c:pt idx="2">
                  <c:v>4.9311625000000001</c:v>
                </c:pt>
                <c:pt idx="3">
                  <c:v>6.4289041666666673</c:v>
                </c:pt>
                <c:pt idx="4">
                  <c:v>8.3010812500000011</c:v>
                </c:pt>
                <c:pt idx="5">
                  <c:v>11.671000000000001</c:v>
                </c:pt>
                <c:pt idx="6">
                  <c:v>12.334133246123701</c:v>
                </c:pt>
                <c:pt idx="7">
                  <c:v>12.9972664922474</c:v>
                </c:pt>
                <c:pt idx="8">
                  <c:v>13.660399738371099</c:v>
                </c:pt>
                <c:pt idx="9">
                  <c:v>14.323532984494799</c:v>
                </c:pt>
                <c:pt idx="10">
                  <c:v>14.986666230618502</c:v>
                </c:pt>
                <c:pt idx="11">
                  <c:v>15.692606450936417</c:v>
                </c:pt>
                <c:pt idx="12">
                  <c:v>16.398546671254419</c:v>
                </c:pt>
                <c:pt idx="13">
                  <c:v>17.104486891572417</c:v>
                </c:pt>
                <c:pt idx="14">
                  <c:v>17.810427111890416</c:v>
                </c:pt>
                <c:pt idx="15">
                  <c:v>18.516367332208414</c:v>
                </c:pt>
                <c:pt idx="16">
                  <c:v>18.943912966942666</c:v>
                </c:pt>
                <c:pt idx="17">
                  <c:v>19.371458601677002</c:v>
                </c:pt>
                <c:pt idx="18">
                  <c:v>19.799004236411331</c:v>
                </c:pt>
                <c:pt idx="19">
                  <c:v>20.226549871145668</c:v>
                </c:pt>
                <c:pt idx="20">
                  <c:v>20.654095505880001</c:v>
                </c:pt>
                <c:pt idx="21">
                  <c:v>21.081641140614249</c:v>
                </c:pt>
                <c:pt idx="22">
                  <c:v>21.509186775348581</c:v>
                </c:pt>
                <c:pt idx="23">
                  <c:v>21.936732410082914</c:v>
                </c:pt>
                <c:pt idx="24">
                  <c:v>22.364278044817166</c:v>
                </c:pt>
                <c:pt idx="25">
                  <c:v>22.791823679551499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429-A048-2BF019AA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92768"/>
        <c:axId val="883893488"/>
      </c:lineChart>
      <c:catAx>
        <c:axId val="8838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3488"/>
        <c:crosses val="autoZero"/>
        <c:auto val="1"/>
        <c:lblAlgn val="ctr"/>
        <c:lblOffset val="100"/>
        <c:noMultiLvlLbl val="0"/>
      </c:catAx>
      <c:valAx>
        <c:axId val="883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17</xdr:row>
      <xdr:rowOff>47625</xdr:rowOff>
    </xdr:from>
    <xdr:to>
      <xdr:col>12</xdr:col>
      <xdr:colOff>557212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B1600-AA72-0374-1840-F6129C6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388937</xdr:colOff>
      <xdr:row>35</xdr:row>
      <xdr:rowOff>122414</xdr:rowOff>
    </xdr:from>
    <xdr:to>
      <xdr:col>12</xdr:col>
      <xdr:colOff>646112</xdr:colOff>
      <xdr:row>50</xdr:row>
      <xdr:rowOff>150989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632C6-C74C-5321-DE49-4519D6392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9525</xdr:rowOff>
    </xdr:from>
    <xdr:to>
      <xdr:col>8</xdr:col>
      <xdr:colOff>569630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B07C5-419A-2A91-AE05-6EE07E24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605603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12</xdr:col>
      <xdr:colOff>238125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B8491-8C5E-5FC6-D78C-9E8884DF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61950"/>
          <a:ext cx="5038725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ommon\Market%20Intelligence\04%20INFORM\05%20Quarterly%20Runs\EIC\2025_Q2\7.%20Deterministic\v8\Calibration\04_CVC_25Q2.xlsx" TargetMode="External"/><Relationship Id="rId1" Type="http://schemas.openxmlformats.org/officeDocument/2006/relationships/externalLinkPath" Target="/Common/Market%20Intelligence/04%20INFORM/05%20Quarterly%20Runs/EIC/2025_Q2/7.%20Deterministic/v8/Calibration/04_CVC_25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_Master"/>
      <sheetName val="Process --&gt;"/>
      <sheetName val="CVC"/>
      <sheetName val="CCGT"/>
      <sheetName val="CT"/>
      <sheetName val="Solar"/>
      <sheetName val="Wind"/>
      <sheetName val="Strg_1Hr"/>
      <sheetName val="Strg_2Hr"/>
      <sheetName val="Strg_3Hr"/>
      <sheetName val="Strg_4Hr"/>
      <sheetName val="Strg_5Hr"/>
      <sheetName val="Strg_6Hr"/>
      <sheetName val="Strg_7Hr"/>
      <sheetName val="Strg_8Hr"/>
      <sheetName val="Capacity Price"/>
      <sheetName val="Peak Credit"/>
      <sheetName val="OMNI CPS_23Q4_v1"/>
      <sheetName val="Input --&gt;"/>
      <sheetName val="WACC Rate"/>
      <sheetName val="WACC 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F10">
            <v>76.984887499999999</v>
          </cell>
          <cell r="G10">
            <v>78.582675000000009</v>
          </cell>
        </row>
        <row r="11">
          <cell r="F11">
            <v>79.623443124999994</v>
          </cell>
          <cell r="G11">
            <v>81.656141250000005</v>
          </cell>
        </row>
        <row r="12">
          <cell r="F12">
            <v>82.261998750000004</v>
          </cell>
          <cell r="G12">
            <v>84.729607500000014</v>
          </cell>
        </row>
        <row r="13">
          <cell r="F13">
            <v>84.900554374999999</v>
          </cell>
          <cell r="G13">
            <v>87.80307375000001</v>
          </cell>
        </row>
        <row r="14">
          <cell r="F14">
            <v>87.539109999999994</v>
          </cell>
          <cell r="G14">
            <v>90.876540000000006</v>
          </cell>
        </row>
        <row r="15">
          <cell r="F15">
            <v>98.093332500000002</v>
          </cell>
          <cell r="G15">
            <v>103.170405</v>
          </cell>
        </row>
        <row r="16">
          <cell r="F16">
            <v>111.28611062500001</v>
          </cell>
          <cell r="G16">
            <v>118.53773625000001</v>
          </cell>
        </row>
        <row r="17">
          <cell r="F17">
            <v>129.756</v>
          </cell>
          <cell r="G17">
            <v>140.05200000000002</v>
          </cell>
        </row>
        <row r="18">
          <cell r="F18">
            <v>132.32574855400225</v>
          </cell>
          <cell r="G18">
            <v>151.61217160083461</v>
          </cell>
        </row>
        <row r="19">
          <cell r="F19">
            <v>134.89549710800446</v>
          </cell>
          <cell r="G19">
            <v>163.17234320166921</v>
          </cell>
        </row>
        <row r="20">
          <cell r="F20">
            <v>137.46524566200668</v>
          </cell>
          <cell r="G20">
            <v>174.7325148025038</v>
          </cell>
        </row>
        <row r="21">
          <cell r="F21">
            <v>140.0349942160089</v>
          </cell>
          <cell r="G21">
            <v>186.29268640333839</v>
          </cell>
        </row>
        <row r="22">
          <cell r="F22">
            <v>142.60474277001111</v>
          </cell>
          <cell r="G22">
            <v>197.85285800417302</v>
          </cell>
        </row>
        <row r="23">
          <cell r="F23">
            <v>145.17449132401336</v>
          </cell>
          <cell r="G23">
            <v>205.56397223843601</v>
          </cell>
        </row>
        <row r="24">
          <cell r="F24">
            <v>147.74423987801558</v>
          </cell>
          <cell r="G24">
            <v>213.275086472699</v>
          </cell>
        </row>
        <row r="25">
          <cell r="F25">
            <v>150.31398843201779</v>
          </cell>
          <cell r="G25">
            <v>220.986200706961</v>
          </cell>
        </row>
        <row r="26">
          <cell r="F26">
            <v>152.88373698602004</v>
          </cell>
          <cell r="G26">
            <v>227.53915710655099</v>
          </cell>
        </row>
        <row r="27">
          <cell r="F27">
            <v>155.45348554002226</v>
          </cell>
          <cell r="G27">
            <v>234.09211350614004</v>
          </cell>
        </row>
        <row r="28">
          <cell r="F28">
            <v>158.02323409402447</v>
          </cell>
          <cell r="G28">
            <v>240.64506990573</v>
          </cell>
        </row>
        <row r="29">
          <cell r="F29">
            <v>160.59298264802669</v>
          </cell>
          <cell r="G29">
            <v>247.19802630532001</v>
          </cell>
        </row>
        <row r="30">
          <cell r="F30">
            <v>163.16273120202899</v>
          </cell>
          <cell r="G30">
            <v>253.75098270490901</v>
          </cell>
        </row>
        <row r="31">
          <cell r="F31">
            <v>166.262823094868</v>
          </cell>
          <cell r="G31">
            <v>260.30393910449902</v>
          </cell>
        </row>
        <row r="32">
          <cell r="F32">
            <v>169.42181673367</v>
          </cell>
          <cell r="G32">
            <v>266.85689550408802</v>
          </cell>
        </row>
        <row r="33">
          <cell r="F33">
            <v>172.64083125161</v>
          </cell>
          <cell r="G33">
            <v>273.40985190367797</v>
          </cell>
        </row>
        <row r="34">
          <cell r="F34">
            <v>175.92100704539101</v>
          </cell>
          <cell r="G34">
            <v>279.96280830326799</v>
          </cell>
        </row>
        <row r="35">
          <cell r="F35">
            <v>179.263506179253</v>
          </cell>
          <cell r="G35">
            <v>286.51576470285698</v>
          </cell>
        </row>
        <row r="36">
          <cell r="F36">
            <v>182.66951279665901</v>
          </cell>
          <cell r="G36">
            <v>293.068721102447</v>
          </cell>
        </row>
        <row r="37">
          <cell r="F37">
            <v>186.14023353979599</v>
          </cell>
          <cell r="G37">
            <v>299.62167750203599</v>
          </cell>
        </row>
        <row r="38">
          <cell r="F38">
            <v>189.67689797705199</v>
          </cell>
          <cell r="G38">
            <v>306.17463390162601</v>
          </cell>
        </row>
        <row r="39">
          <cell r="F39">
            <v>193.280759038616</v>
          </cell>
          <cell r="G39">
            <v>312.727590301215</v>
          </cell>
        </row>
        <row r="40">
          <cell r="F40">
            <v>196.95309346034901</v>
          </cell>
          <cell r="G40">
            <v>319.28054670080502</v>
          </cell>
        </row>
        <row r="41">
          <cell r="F41">
            <v>200.69520223609601</v>
          </cell>
          <cell r="G41">
            <v>325.34687708811998</v>
          </cell>
        </row>
        <row r="42">
          <cell r="F42">
            <v>204.50841107858196</v>
          </cell>
          <cell r="G42">
            <v>331.52846775279397</v>
          </cell>
        </row>
        <row r="43">
          <cell r="F43">
            <v>208.39407088907501</v>
          </cell>
          <cell r="G43">
            <v>337.82750864009802</v>
          </cell>
        </row>
        <row r="44">
          <cell r="F44">
            <v>212.353558235967</v>
          </cell>
          <cell r="G44">
            <v>344.24623130425903</v>
          </cell>
        </row>
        <row r="45">
          <cell r="F45">
            <v>216.38827584245001</v>
          </cell>
          <cell r="G45">
            <v>350.78690969904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ody, Ryan" id="{88CE0028-F778-450E-AC0C-33D107759B7C}" userId="S::RGM0YE9@fpl.com::77232f82-9d73-4e06-abf6-f1d989d10485" providerId="AD"/>
</personList>
</file>

<file path=xl/theme/theme1.xml><?xml version="1.0" encoding="utf-8"?>
<a:theme xmlns:a="http://schemas.openxmlformats.org/drawingml/2006/main" name="NEER 16x9">
  <a:themeElements>
    <a:clrScheme name="NEE Corp">
      <a:dk1>
        <a:sysClr val="windowText" lastClr="000000"/>
      </a:dk1>
      <a:lt1>
        <a:sysClr val="window" lastClr="FFFFFF"/>
      </a:lt1>
      <a:dk2>
        <a:srgbClr val="0048B9"/>
      </a:dk2>
      <a:lt2>
        <a:srgbClr val="800000"/>
      </a:lt2>
      <a:accent1>
        <a:srgbClr val="FEB705"/>
      </a:accent1>
      <a:accent2>
        <a:srgbClr val="0048B9"/>
      </a:accent2>
      <a:accent3>
        <a:srgbClr val="3FBD3F"/>
      </a:accent3>
      <a:accent4>
        <a:srgbClr val="8D0041"/>
      </a:accent4>
      <a:accent5>
        <a:srgbClr val="9090F3"/>
      </a:accent5>
      <a:accent6>
        <a:srgbClr val="F87C00"/>
      </a:accent6>
      <a:hlink>
        <a:srgbClr val="0000FF"/>
      </a:hlink>
      <a:folHlink>
        <a:srgbClr val="800080"/>
      </a:folHlink>
    </a:clrScheme>
    <a:fontScheme name="FPL.Group.FINAL-AVH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80000"/>
          </a:lnSpc>
          <a:spcBef>
            <a:spcPct val="20000"/>
          </a:spcBef>
          <a:spcAft>
            <a:spcPct val="20000"/>
          </a:spcAft>
          <a:buClrTx/>
          <a:buSzTx/>
          <a:buFontTx/>
          <a:buChar char="•"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rgbClr val="0048B9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80000"/>
          </a:lnSpc>
          <a:spcBef>
            <a:spcPct val="20000"/>
          </a:spcBef>
          <a:spcAft>
            <a:spcPct val="20000"/>
          </a:spcAft>
          <a:buClrTx/>
          <a:buSzTx/>
          <a:buFontTx/>
          <a:buChar char="•"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rgbClr val="0048B9"/>
            </a:solidFill>
            <a:effectLst/>
            <a:latin typeface="Arial" charset="0"/>
          </a:defRPr>
        </a:defPPr>
      </a:lst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4-11T14:16:39.19" personId="{88CE0028-F778-450E-AC0C-33D107759B7C}" id="{4ACC53AF-7F51-439A-8A1A-9A95D5D038C0}">
    <text>Assumes $400/MW-day Summer and $50 other seasons = Annual avg $550/4 seasons = $137.5/MW-day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041C-0618-4ED8-8338-24B13D8BDE42}">
  <dimension ref="A1:D32"/>
  <sheetViews>
    <sheetView workbookViewId="0">
      <selection activeCell="B4" sqref="B4"/>
    </sheetView>
  </sheetViews>
  <sheetFormatPr defaultRowHeight="14.25" x14ac:dyDescent="0.2"/>
  <cols>
    <col min="1" max="1" width="18.25" customWidth="1"/>
    <col min="2" max="2" width="10.875" bestFit="1" customWidth="1"/>
    <col min="3" max="3" width="22.625" customWidth="1"/>
    <col min="4" max="4" width="71.625" bestFit="1" customWidth="1"/>
  </cols>
  <sheetData>
    <row r="1" spans="1:2" ht="15" x14ac:dyDescent="0.25">
      <c r="A1" s="1" t="s">
        <v>2</v>
      </c>
    </row>
    <row r="2" spans="1:2" x14ac:dyDescent="0.2">
      <c r="A2" t="s">
        <v>3</v>
      </c>
      <c r="B2" t="s">
        <v>72</v>
      </c>
    </row>
    <row r="3" spans="1:2" x14ac:dyDescent="0.2">
      <c r="A3" t="s">
        <v>5</v>
      </c>
      <c r="B3" s="2">
        <v>45776</v>
      </c>
    </row>
    <row r="5" spans="1:2" x14ac:dyDescent="0.2">
      <c r="A5" t="s">
        <v>0</v>
      </c>
    </row>
    <row r="10" spans="1:2" x14ac:dyDescent="0.2">
      <c r="A10" t="s">
        <v>8</v>
      </c>
      <c r="B10" s="3" t="s">
        <v>6</v>
      </c>
    </row>
    <row r="11" spans="1:2" x14ac:dyDescent="0.2">
      <c r="B11" s="4" t="s">
        <v>9</v>
      </c>
    </row>
    <row r="12" spans="1:2" x14ac:dyDescent="0.2">
      <c r="B12" s="5" t="s">
        <v>10</v>
      </c>
    </row>
    <row r="13" spans="1:2" x14ac:dyDescent="0.2">
      <c r="B13" s="6" t="s">
        <v>11</v>
      </c>
    </row>
    <row r="15" spans="1:2" x14ac:dyDescent="0.2">
      <c r="A15" t="s">
        <v>1</v>
      </c>
    </row>
    <row r="28" spans="1:4" x14ac:dyDescent="0.2">
      <c r="A28" t="s">
        <v>77</v>
      </c>
    </row>
    <row r="29" spans="1:4" x14ac:dyDescent="0.2">
      <c r="A29" t="s">
        <v>73</v>
      </c>
      <c r="B29" t="s">
        <v>74</v>
      </c>
      <c r="C29" t="s">
        <v>78</v>
      </c>
      <c r="D29" t="s">
        <v>75</v>
      </c>
    </row>
    <row r="30" spans="1:4" x14ac:dyDescent="0.2">
      <c r="A30" t="s">
        <v>4</v>
      </c>
      <c r="B30" s="2">
        <v>45758</v>
      </c>
      <c r="C30" t="s">
        <v>79</v>
      </c>
      <c r="D30" t="s">
        <v>76</v>
      </c>
    </row>
    <row r="31" spans="1:4" x14ac:dyDescent="0.2">
      <c r="A31" t="s">
        <v>4</v>
      </c>
      <c r="B31" s="2">
        <v>45775</v>
      </c>
      <c r="C31" t="s">
        <v>80</v>
      </c>
      <c r="D31" t="s">
        <v>81</v>
      </c>
    </row>
    <row r="32" spans="1:4" ht="42.75" x14ac:dyDescent="0.2">
      <c r="A32" t="s">
        <v>72</v>
      </c>
      <c r="B32" s="2">
        <v>45776</v>
      </c>
      <c r="C32" t="s">
        <v>79</v>
      </c>
      <c r="D32" s="2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59"/>
  <sheetViews>
    <sheetView zoomScaleNormal="100" workbookViewId="0">
      <selection activeCell="D8" sqref="D8"/>
    </sheetView>
  </sheetViews>
  <sheetFormatPr defaultRowHeight="14.25" x14ac:dyDescent="0.2"/>
  <cols>
    <col min="1" max="1" width="32.75" customWidth="1"/>
    <col min="2" max="2" width="8.5" customWidth="1"/>
    <col min="3" max="3" width="12.125" customWidth="1"/>
    <col min="4" max="4" width="12" customWidth="1"/>
    <col min="5" max="5" width="11.625" bestFit="1" customWidth="1"/>
    <col min="6" max="6" width="15.125" customWidth="1"/>
    <col min="7" max="7" width="10.25" customWidth="1"/>
    <col min="8" max="8" width="2.5" customWidth="1"/>
    <col min="9" max="9" width="25.375" customWidth="1"/>
    <col min="11" max="11" width="11.375" bestFit="1" customWidth="1"/>
    <col min="12" max="12" width="11.625" bestFit="1" customWidth="1"/>
    <col min="14" max="14" width="11.375" bestFit="1" customWidth="1"/>
    <col min="15" max="15" width="11.625" bestFit="1" customWidth="1"/>
  </cols>
  <sheetData>
    <row r="1" spans="1:15" ht="15" x14ac:dyDescent="0.25">
      <c r="A1" s="1" t="s">
        <v>6</v>
      </c>
      <c r="B1" s="1"/>
      <c r="C1" s="1"/>
    </row>
    <row r="2" spans="1:15" ht="15" x14ac:dyDescent="0.25">
      <c r="A2" s="1" t="s">
        <v>42</v>
      </c>
      <c r="B2" s="1"/>
      <c r="C2" s="1"/>
    </row>
    <row r="3" spans="1:15" ht="15" x14ac:dyDescent="0.25">
      <c r="A3" s="7" t="s">
        <v>43</v>
      </c>
      <c r="B3" s="7"/>
      <c r="C3" s="17">
        <v>0.1</v>
      </c>
      <c r="I3" s="1" t="s">
        <v>36</v>
      </c>
      <c r="J3" s="8"/>
    </row>
    <row r="4" spans="1:15" ht="15" x14ac:dyDescent="0.25">
      <c r="A4" s="1"/>
      <c r="B4" s="1"/>
      <c r="C4" s="1"/>
      <c r="I4" t="s">
        <v>40</v>
      </c>
      <c r="J4" s="8"/>
    </row>
    <row r="5" spans="1:15" ht="15" x14ac:dyDescent="0.25">
      <c r="A5" s="1" t="s">
        <v>20</v>
      </c>
      <c r="B5" s="1"/>
      <c r="C5" s="1"/>
      <c r="D5" s="1" t="s">
        <v>33</v>
      </c>
      <c r="E5" s="1" t="s">
        <v>34</v>
      </c>
      <c r="F5" s="1" t="s">
        <v>53</v>
      </c>
      <c r="I5" s="2">
        <v>45758</v>
      </c>
      <c r="K5" s="1" t="s">
        <v>33</v>
      </c>
      <c r="L5" s="1" t="s">
        <v>34</v>
      </c>
      <c r="N5" s="1" t="s">
        <v>33</v>
      </c>
      <c r="O5" s="1" t="s">
        <v>34</v>
      </c>
    </row>
    <row r="6" spans="1:15" x14ac:dyDescent="0.2">
      <c r="A6" s="7" t="s">
        <v>13</v>
      </c>
      <c r="B6" s="7"/>
      <c r="C6" s="7" t="s">
        <v>12</v>
      </c>
      <c r="D6" t="s">
        <v>14</v>
      </c>
      <c r="E6" t="s">
        <v>14</v>
      </c>
      <c r="K6" t="s">
        <v>37</v>
      </c>
      <c r="L6" t="s">
        <v>37</v>
      </c>
      <c r="N6" t="s">
        <v>38</v>
      </c>
      <c r="O6" t="s">
        <v>38</v>
      </c>
    </row>
    <row r="7" spans="1:15" x14ac:dyDescent="0.2">
      <c r="A7" t="s">
        <v>7</v>
      </c>
      <c r="C7" s="8" t="s">
        <v>15</v>
      </c>
      <c r="D7" s="3">
        <v>2025</v>
      </c>
      <c r="E7" s="3">
        <f>StartYr_North</f>
        <v>2025</v>
      </c>
      <c r="J7">
        <v>2025</v>
      </c>
      <c r="K7" s="28">
        <v>134.98506241944301</v>
      </c>
      <c r="L7" s="28">
        <v>122.778934587999</v>
      </c>
      <c r="N7" s="13">
        <f>K7/12</f>
        <v>11.24875520162025</v>
      </c>
      <c r="O7" s="13">
        <f t="shared" ref="O7:O42" si="0">L7/12</f>
        <v>10.23157788233325</v>
      </c>
    </row>
    <row r="8" spans="1:15" ht="25.5" x14ac:dyDescent="0.2">
      <c r="A8" s="7" t="s">
        <v>18</v>
      </c>
      <c r="B8" s="7"/>
      <c r="C8" s="8" t="s">
        <v>19</v>
      </c>
      <c r="D8" s="3">
        <v>2032</v>
      </c>
      <c r="E8" s="3">
        <v>2032</v>
      </c>
      <c r="J8">
        <v>2026</v>
      </c>
      <c r="K8" s="28">
        <v>136.763061608421</v>
      </c>
      <c r="L8" s="28">
        <v>113.204402314738</v>
      </c>
      <c r="N8" s="13">
        <f t="shared" ref="N8:N42" si="1">K8/12</f>
        <v>11.396921800701749</v>
      </c>
      <c r="O8" s="13">
        <f t="shared" si="0"/>
        <v>9.4337001928948343</v>
      </c>
    </row>
    <row r="9" spans="1:15" ht="25.5" x14ac:dyDescent="0.2">
      <c r="A9" s="7" t="s">
        <v>21</v>
      </c>
      <c r="B9" s="7"/>
      <c r="C9" s="8" t="s">
        <v>22</v>
      </c>
      <c r="D9" s="3">
        <v>2037</v>
      </c>
      <c r="E9" s="3">
        <v>2045</v>
      </c>
      <c r="J9">
        <v>2027</v>
      </c>
      <c r="K9" s="28">
        <v>138.54106079740001</v>
      </c>
      <c r="L9" s="28">
        <v>103.629870041478</v>
      </c>
      <c r="N9" s="13">
        <f t="shared" si="1"/>
        <v>11.545088399783333</v>
      </c>
      <c r="O9" s="13">
        <f t="shared" si="0"/>
        <v>8.6358225034565006</v>
      </c>
    </row>
    <row r="10" spans="1:15" x14ac:dyDescent="0.2">
      <c r="C10" s="8"/>
      <c r="J10">
        <v>2028</v>
      </c>
      <c r="K10" s="28">
        <v>140.31905998637799</v>
      </c>
      <c r="L10" s="28">
        <v>94.055337768217896</v>
      </c>
      <c r="N10" s="13">
        <f t="shared" si="1"/>
        <v>11.693254998864832</v>
      </c>
      <c r="O10" s="13">
        <f t="shared" si="0"/>
        <v>7.837944814018158</v>
      </c>
    </row>
    <row r="11" spans="1:15" ht="15" x14ac:dyDescent="0.25">
      <c r="A11" s="1" t="s">
        <v>23</v>
      </c>
      <c r="B11" s="1"/>
      <c r="C11" s="8"/>
      <c r="J11">
        <v>2029</v>
      </c>
      <c r="K11" s="28">
        <v>142.097059175357</v>
      </c>
      <c r="L11" s="28">
        <v>84.480805494957494</v>
      </c>
      <c r="N11" s="13">
        <f t="shared" si="1"/>
        <v>11.841421597946416</v>
      </c>
      <c r="O11" s="13">
        <f t="shared" si="0"/>
        <v>7.0400671245797914</v>
      </c>
    </row>
    <row r="12" spans="1:15" ht="25.5" x14ac:dyDescent="0.2">
      <c r="A12" s="7" t="s">
        <v>17</v>
      </c>
      <c r="B12" s="7"/>
      <c r="C12" s="8" t="s">
        <v>16</v>
      </c>
      <c r="D12" s="9">
        <f>SUM(C25:F25)/4*365/12/1000</f>
        <v>6.5485562500000007</v>
      </c>
      <c r="E12" s="9">
        <f>SUM(C26:F26)/4*365/12/1000</f>
        <v>6.4154072916666669</v>
      </c>
      <c r="J12">
        <v>2030</v>
      </c>
      <c r="K12" s="28">
        <v>143.87505836433499</v>
      </c>
      <c r="L12" s="28">
        <v>74.906273221697006</v>
      </c>
      <c r="N12" s="13">
        <f t="shared" si="1"/>
        <v>11.989588197027915</v>
      </c>
      <c r="O12" s="13">
        <f t="shared" si="0"/>
        <v>6.2421894351414169</v>
      </c>
    </row>
    <row r="13" spans="1:15" x14ac:dyDescent="0.2">
      <c r="A13" s="7" t="s">
        <v>27</v>
      </c>
      <c r="B13" s="7"/>
      <c r="C13" s="8" t="s">
        <v>25</v>
      </c>
      <c r="D13" s="9">
        <v>10.61</v>
      </c>
      <c r="E13" s="9">
        <v>9.83</v>
      </c>
      <c r="F13" t="s">
        <v>54</v>
      </c>
      <c r="J13">
        <v>2031</v>
      </c>
      <c r="K13" s="28">
        <v>151.58617259859801</v>
      </c>
      <c r="L13" s="28">
        <v>77.887709523434197</v>
      </c>
      <c r="N13" s="13">
        <f t="shared" si="1"/>
        <v>12.632181049883167</v>
      </c>
      <c r="O13" s="13">
        <f t="shared" si="0"/>
        <v>6.4906424602861827</v>
      </c>
    </row>
    <row r="14" spans="1:15" ht="38.25" x14ac:dyDescent="0.2">
      <c r="A14" s="7" t="s">
        <v>24</v>
      </c>
      <c r="B14" s="7"/>
      <c r="C14" s="8" t="s">
        <v>26</v>
      </c>
      <c r="D14" s="11">
        <v>1.1000000000000001</v>
      </c>
      <c r="E14" s="11">
        <v>1.1000000000000001</v>
      </c>
      <c r="J14">
        <v>2032</v>
      </c>
      <c r="K14" s="28">
        <v>159.29728683286001</v>
      </c>
      <c r="L14" s="28">
        <v>80.869145825171401</v>
      </c>
      <c r="N14" s="13">
        <f t="shared" si="1"/>
        <v>13.274773902738334</v>
      </c>
      <c r="O14" s="13">
        <f t="shared" si="0"/>
        <v>6.7390954854309504</v>
      </c>
    </row>
    <row r="15" spans="1:15" ht="25.5" x14ac:dyDescent="0.2">
      <c r="A15" s="14" t="s">
        <v>35</v>
      </c>
      <c r="B15" s="14"/>
      <c r="C15" s="8" t="s">
        <v>28</v>
      </c>
      <c r="D15" s="12">
        <f>D13*D14</f>
        <v>11.671000000000001</v>
      </c>
      <c r="E15" s="12">
        <f>E13*E14</f>
        <v>10.813000000000001</v>
      </c>
      <c r="F15" t="s">
        <v>54</v>
      </c>
      <c r="J15">
        <v>2033</v>
      </c>
      <c r="K15" s="28">
        <v>167.008401067123</v>
      </c>
      <c r="L15" s="28">
        <v>83.850582126908606</v>
      </c>
      <c r="N15" s="13">
        <f t="shared" si="1"/>
        <v>13.917366755593584</v>
      </c>
      <c r="O15" s="13">
        <f t="shared" si="0"/>
        <v>6.9875485105757171</v>
      </c>
    </row>
    <row r="16" spans="1:15" ht="39" x14ac:dyDescent="0.25">
      <c r="A16" s="14" t="s">
        <v>30</v>
      </c>
      <c r="B16" s="14"/>
      <c r="C16" s="8" t="s">
        <v>29</v>
      </c>
      <c r="D16" s="15">
        <v>8</v>
      </c>
      <c r="E16" s="15">
        <v>8</v>
      </c>
      <c r="F16" s="16" t="s">
        <v>41</v>
      </c>
      <c r="J16">
        <v>2034</v>
      </c>
      <c r="K16" s="28">
        <v>174.719515301386</v>
      </c>
      <c r="L16" s="28">
        <v>86.832018428645895</v>
      </c>
      <c r="N16" s="13">
        <f t="shared" si="1"/>
        <v>14.559959608448834</v>
      </c>
      <c r="O16" s="13">
        <f t="shared" si="0"/>
        <v>7.236001535720491</v>
      </c>
    </row>
    <row r="17" spans="1:15" x14ac:dyDescent="0.2">
      <c r="A17" s="14" t="s">
        <v>31</v>
      </c>
      <c r="B17" s="14"/>
      <c r="C17" s="8" t="s">
        <v>32</v>
      </c>
      <c r="D17" s="9">
        <f>VLOOKUP(CONE_Yr_North,$J$7:$O$42,5,0)</f>
        <v>16.487738167014417</v>
      </c>
      <c r="E17" s="9">
        <f>VLOOKUP(CONE_Yr_South,$J$7:$O$42,6,0)</f>
        <v>13.596894266835749</v>
      </c>
      <c r="J17">
        <v>2035</v>
      </c>
      <c r="K17" s="28">
        <v>182.43062953564799</v>
      </c>
      <c r="L17" s="28">
        <v>89.8134547303831</v>
      </c>
      <c r="N17" s="13">
        <f t="shared" si="1"/>
        <v>15.202552461304</v>
      </c>
      <c r="O17" s="13">
        <f t="shared" si="0"/>
        <v>7.4844545608652586</v>
      </c>
    </row>
    <row r="18" spans="1:15" x14ac:dyDescent="0.2">
      <c r="C18" s="8"/>
      <c r="J18">
        <v>2036</v>
      </c>
      <c r="K18" s="28">
        <v>190.14174376991099</v>
      </c>
      <c r="L18" s="28">
        <v>92.794891032120404</v>
      </c>
      <c r="N18" s="13">
        <f t="shared" si="1"/>
        <v>15.845145314159248</v>
      </c>
      <c r="O18" s="13">
        <f t="shared" si="0"/>
        <v>7.7329075860100334</v>
      </c>
    </row>
    <row r="19" spans="1:15" x14ac:dyDescent="0.2">
      <c r="C19" s="8"/>
      <c r="J19">
        <v>2037</v>
      </c>
      <c r="K19" s="28">
        <v>197.85285800417299</v>
      </c>
      <c r="L19" s="28">
        <v>95.776327333857594</v>
      </c>
      <c r="N19" s="13">
        <f t="shared" si="1"/>
        <v>16.487738167014417</v>
      </c>
      <c r="O19" s="13">
        <f t="shared" si="0"/>
        <v>7.9813606111547992</v>
      </c>
    </row>
    <row r="20" spans="1:15" x14ac:dyDescent="0.2">
      <c r="D20" s="10"/>
      <c r="J20">
        <v>2038</v>
      </c>
      <c r="K20" s="28">
        <v>205.56397223843601</v>
      </c>
      <c r="L20" s="28">
        <v>98.757763635594898</v>
      </c>
      <c r="N20" s="13">
        <f t="shared" si="1"/>
        <v>17.130331019869669</v>
      </c>
      <c r="O20" s="13">
        <f t="shared" si="0"/>
        <v>8.2298136362995749</v>
      </c>
    </row>
    <row r="21" spans="1:15" x14ac:dyDescent="0.2">
      <c r="D21" s="10"/>
      <c r="J21">
        <v>2039</v>
      </c>
      <c r="K21" s="28">
        <v>213.275086472699</v>
      </c>
      <c r="L21" s="28">
        <v>101.739199937332</v>
      </c>
      <c r="N21" s="13">
        <f t="shared" si="1"/>
        <v>17.772923872724917</v>
      </c>
      <c r="O21" s="13">
        <f t="shared" si="0"/>
        <v>8.4782666614443336</v>
      </c>
    </row>
    <row r="22" spans="1:15" x14ac:dyDescent="0.2">
      <c r="J22">
        <v>2040</v>
      </c>
      <c r="K22" s="28">
        <v>220.986200706961</v>
      </c>
      <c r="L22" s="28">
        <v>104.72063623906899</v>
      </c>
      <c r="N22" s="13">
        <f t="shared" si="1"/>
        <v>18.415516725580083</v>
      </c>
      <c r="O22" s="13">
        <f t="shared" si="0"/>
        <v>8.7267196865890835</v>
      </c>
    </row>
    <row r="23" spans="1:15" x14ac:dyDescent="0.2">
      <c r="J23">
        <v>2041</v>
      </c>
      <c r="K23" s="28">
        <v>227.53915710655099</v>
      </c>
      <c r="L23" s="28">
        <v>116.409055231661</v>
      </c>
      <c r="N23" s="13">
        <f t="shared" si="1"/>
        <v>18.961596425545917</v>
      </c>
      <c r="O23" s="13">
        <f t="shared" si="0"/>
        <v>9.7007546026384173</v>
      </c>
    </row>
    <row r="24" spans="1:15" x14ac:dyDescent="0.2">
      <c r="C24" t="s">
        <v>65</v>
      </c>
      <c r="D24" t="s">
        <v>66</v>
      </c>
      <c r="E24" t="s">
        <v>67</v>
      </c>
      <c r="F24" t="s">
        <v>68</v>
      </c>
      <c r="J24">
        <v>2042</v>
      </c>
      <c r="K24" s="28">
        <v>234.09211350614001</v>
      </c>
      <c r="L24" s="28">
        <v>128.09747422425301</v>
      </c>
      <c r="N24" s="13">
        <f t="shared" si="1"/>
        <v>19.507676125511669</v>
      </c>
      <c r="O24" s="13">
        <f t="shared" si="0"/>
        <v>10.674789518687751</v>
      </c>
    </row>
    <row r="25" spans="1:15" x14ac:dyDescent="0.2">
      <c r="A25" t="s">
        <v>51</v>
      </c>
      <c r="C25">
        <v>666.5</v>
      </c>
      <c r="D25">
        <v>91.6</v>
      </c>
      <c r="E25">
        <v>33.200000000000003</v>
      </c>
      <c r="F25">
        <v>69.88</v>
      </c>
      <c r="J25">
        <v>2043</v>
      </c>
      <c r="K25" s="28">
        <v>240.64506990573</v>
      </c>
      <c r="L25" s="28">
        <v>139.78589321684501</v>
      </c>
      <c r="N25" s="13">
        <f t="shared" si="1"/>
        <v>20.053755825477499</v>
      </c>
      <c r="O25" s="13">
        <f t="shared" si="0"/>
        <v>11.648824434737085</v>
      </c>
    </row>
    <row r="26" spans="1:15" x14ac:dyDescent="0.2">
      <c r="A26" t="s">
        <v>52</v>
      </c>
      <c r="C26">
        <v>666.5</v>
      </c>
      <c r="D26">
        <v>74.09</v>
      </c>
      <c r="E26">
        <f>E25</f>
        <v>33.200000000000003</v>
      </c>
      <c r="F26">
        <f>F25</f>
        <v>69.88</v>
      </c>
      <c r="J26">
        <v>2044</v>
      </c>
      <c r="K26" s="28">
        <v>247.19802630532001</v>
      </c>
      <c r="L26" s="28">
        <v>151.47431220943699</v>
      </c>
      <c r="N26" s="13">
        <f t="shared" si="1"/>
        <v>20.599835525443336</v>
      </c>
      <c r="O26" s="13">
        <f t="shared" si="0"/>
        <v>12.622859350786415</v>
      </c>
    </row>
    <row r="27" spans="1:15" x14ac:dyDescent="0.2">
      <c r="J27">
        <v>2045</v>
      </c>
      <c r="K27" s="28">
        <v>253.75098270490901</v>
      </c>
      <c r="L27" s="28">
        <v>163.16273120202899</v>
      </c>
      <c r="N27" s="13">
        <f t="shared" si="1"/>
        <v>21.145915225409084</v>
      </c>
      <c r="O27" s="13">
        <f t="shared" si="0"/>
        <v>13.596894266835749</v>
      </c>
    </row>
    <row r="28" spans="1:15" x14ac:dyDescent="0.2">
      <c r="J28">
        <v>2046</v>
      </c>
      <c r="K28" s="28">
        <v>260.30393910449902</v>
      </c>
      <c r="L28" s="28">
        <v>166.262823094868</v>
      </c>
      <c r="N28" s="13">
        <f t="shared" si="1"/>
        <v>21.691994925374917</v>
      </c>
      <c r="O28" s="13">
        <f t="shared" si="0"/>
        <v>13.855235257905667</v>
      </c>
    </row>
    <row r="29" spans="1:15" x14ac:dyDescent="0.2">
      <c r="C29" s="25">
        <f>C25*365/1000/12</f>
        <v>20.272708333333334</v>
      </c>
      <c r="D29" s="25">
        <f t="shared" ref="D29:F30" si="2">D25*365/1000/12</f>
        <v>2.7861666666666665</v>
      </c>
      <c r="E29" s="25">
        <f t="shared" si="2"/>
        <v>1.0098333333333336</v>
      </c>
      <c r="F29" s="25">
        <f t="shared" si="2"/>
        <v>2.1255166666666665</v>
      </c>
      <c r="G29" s="31">
        <f>AVERAGE(C29:F29)</f>
        <v>6.5485562499999999</v>
      </c>
      <c r="J29">
        <v>2047</v>
      </c>
      <c r="K29" s="28">
        <v>266.85689550408802</v>
      </c>
      <c r="L29" s="28">
        <v>169.42181673367</v>
      </c>
      <c r="N29" s="13">
        <f t="shared" si="1"/>
        <v>22.238074625340669</v>
      </c>
      <c r="O29" s="13">
        <f t="shared" si="0"/>
        <v>14.118484727805834</v>
      </c>
    </row>
    <row r="30" spans="1:15" x14ac:dyDescent="0.2">
      <c r="C30" s="25">
        <f>C26*365/1000/12</f>
        <v>20.272708333333334</v>
      </c>
      <c r="D30" s="25">
        <f t="shared" si="2"/>
        <v>2.2535708333333333</v>
      </c>
      <c r="E30" s="25">
        <f t="shared" si="2"/>
        <v>1.0098333333333336</v>
      </c>
      <c r="F30" s="25">
        <f t="shared" si="2"/>
        <v>2.1255166666666665</v>
      </c>
      <c r="G30" s="31">
        <f>AVERAGE(C30:F30)</f>
        <v>6.4154072916666669</v>
      </c>
      <c r="J30">
        <v>2048</v>
      </c>
      <c r="K30" s="28">
        <v>273.40985190367797</v>
      </c>
      <c r="L30" s="28">
        <v>172.64083125161</v>
      </c>
      <c r="N30" s="13">
        <f t="shared" si="1"/>
        <v>22.784154325306499</v>
      </c>
      <c r="O30" s="13">
        <f t="shared" si="0"/>
        <v>14.386735937634166</v>
      </c>
    </row>
    <row r="31" spans="1:15" x14ac:dyDescent="0.2">
      <c r="J31">
        <v>2049</v>
      </c>
      <c r="K31" s="28">
        <v>279.96280830326799</v>
      </c>
      <c r="L31" s="28">
        <v>175.92100704539101</v>
      </c>
      <c r="N31" s="13">
        <f t="shared" si="1"/>
        <v>23.330234025272333</v>
      </c>
      <c r="O31" s="13">
        <f t="shared" si="0"/>
        <v>14.660083920449251</v>
      </c>
    </row>
    <row r="32" spans="1:15" x14ac:dyDescent="0.2">
      <c r="J32">
        <v>2050</v>
      </c>
      <c r="K32" s="28">
        <v>286.51576470285698</v>
      </c>
      <c r="L32" s="28">
        <v>179.263506179253</v>
      </c>
      <c r="N32" s="13">
        <f t="shared" si="1"/>
        <v>23.876313725238081</v>
      </c>
      <c r="O32" s="13">
        <f t="shared" si="0"/>
        <v>14.938625514937749</v>
      </c>
    </row>
    <row r="33" spans="1:15" x14ac:dyDescent="0.2">
      <c r="A33" s="33" t="s">
        <v>90</v>
      </c>
      <c r="B33" s="33" t="s">
        <v>91</v>
      </c>
      <c r="C33" s="34">
        <f>C29/$G$29</f>
        <v>3.0957523398128153</v>
      </c>
      <c r="D33" s="34">
        <f t="shared" ref="D33:F34" si="3">D29/$G$29</f>
        <v>0.42546273717457439</v>
      </c>
      <c r="E33" s="34">
        <f t="shared" si="3"/>
        <v>0.15420701827724753</v>
      </c>
      <c r="F33" s="34">
        <f t="shared" si="3"/>
        <v>0.32457790473536308</v>
      </c>
      <c r="J33">
        <v>2051</v>
      </c>
      <c r="K33" s="28">
        <v>293.068721102447</v>
      </c>
      <c r="L33" s="28">
        <v>182.66951279665901</v>
      </c>
      <c r="N33" s="13">
        <f t="shared" si="1"/>
        <v>24.422393425203918</v>
      </c>
      <c r="O33" s="13">
        <f t="shared" si="0"/>
        <v>15.222459399721584</v>
      </c>
    </row>
    <row r="34" spans="1:15" x14ac:dyDescent="0.2">
      <c r="C34" s="34">
        <f>C30/$G$29</f>
        <v>3.0957523398128153</v>
      </c>
      <c r="D34" s="34">
        <f t="shared" si="3"/>
        <v>0.34413246940244779</v>
      </c>
      <c r="E34" s="34">
        <f t="shared" si="3"/>
        <v>0.15420701827724753</v>
      </c>
      <c r="F34" s="34">
        <f t="shared" si="3"/>
        <v>0.32457790473536308</v>
      </c>
      <c r="J34">
        <v>2052</v>
      </c>
      <c r="K34" s="28">
        <v>299.62167750203599</v>
      </c>
      <c r="L34" s="28">
        <v>186.14023353979599</v>
      </c>
      <c r="N34" s="13">
        <f t="shared" si="1"/>
        <v>24.968473125169666</v>
      </c>
      <c r="O34" s="13">
        <f t="shared" si="0"/>
        <v>15.511686128316333</v>
      </c>
    </row>
    <row r="35" spans="1:15" x14ac:dyDescent="0.2">
      <c r="J35">
        <v>2053</v>
      </c>
      <c r="K35" s="28">
        <v>306.17463390162601</v>
      </c>
      <c r="L35" s="28">
        <v>189.67689797705199</v>
      </c>
      <c r="N35" s="13">
        <f t="shared" si="1"/>
        <v>25.5145528251355</v>
      </c>
      <c r="O35" s="13">
        <f t="shared" si="0"/>
        <v>15.806408164754332</v>
      </c>
    </row>
    <row r="36" spans="1:15" x14ac:dyDescent="0.2">
      <c r="J36">
        <v>2054</v>
      </c>
      <c r="K36" s="28">
        <v>312.727590301215</v>
      </c>
      <c r="L36" s="28">
        <v>193.280759038616</v>
      </c>
      <c r="N36" s="13">
        <f t="shared" si="1"/>
        <v>26.060632525101251</v>
      </c>
      <c r="O36" s="13">
        <f t="shared" si="0"/>
        <v>16.106729919884668</v>
      </c>
    </row>
    <row r="37" spans="1:15" x14ac:dyDescent="0.2">
      <c r="J37">
        <v>2055</v>
      </c>
      <c r="K37" s="28">
        <v>319.28054670080502</v>
      </c>
      <c r="L37" s="28">
        <v>196.95309346034901</v>
      </c>
      <c r="N37" s="13">
        <f t="shared" si="1"/>
        <v>26.606712225067085</v>
      </c>
      <c r="O37" s="13">
        <f t="shared" si="0"/>
        <v>16.412757788362416</v>
      </c>
    </row>
    <row r="38" spans="1:15" x14ac:dyDescent="0.2">
      <c r="J38">
        <v>2056</v>
      </c>
      <c r="K38" s="28">
        <v>325.34687708811998</v>
      </c>
      <c r="L38" s="28">
        <v>200.69520223609601</v>
      </c>
      <c r="N38" s="13">
        <f t="shared" si="1"/>
        <v>27.112239757343332</v>
      </c>
      <c r="O38" s="13">
        <f t="shared" si="0"/>
        <v>16.724600186341334</v>
      </c>
    </row>
    <row r="39" spans="1:15" x14ac:dyDescent="0.2">
      <c r="J39">
        <v>2057</v>
      </c>
      <c r="K39" s="28">
        <v>331.52846775279397</v>
      </c>
      <c r="L39" s="28">
        <v>204.50841107858199</v>
      </c>
      <c r="N39" s="13">
        <f t="shared" si="1"/>
        <v>27.627372312732831</v>
      </c>
      <c r="O39" s="13">
        <f t="shared" si="0"/>
        <v>17.042367589881831</v>
      </c>
    </row>
    <row r="40" spans="1:15" x14ac:dyDescent="0.2">
      <c r="J40">
        <v>2058</v>
      </c>
      <c r="K40" s="28">
        <v>337.82750864009802</v>
      </c>
      <c r="L40" s="28">
        <v>208.39407088907501</v>
      </c>
      <c r="N40" s="13">
        <f t="shared" si="1"/>
        <v>28.152292386674834</v>
      </c>
      <c r="O40" s="13">
        <f t="shared" si="0"/>
        <v>17.366172574089585</v>
      </c>
    </row>
    <row r="41" spans="1:15" x14ac:dyDescent="0.2">
      <c r="J41">
        <v>2059</v>
      </c>
      <c r="K41" s="28">
        <v>344.24623130425903</v>
      </c>
      <c r="L41" s="28">
        <v>212.353558235967</v>
      </c>
      <c r="N41" s="13">
        <f t="shared" si="1"/>
        <v>28.687185942021586</v>
      </c>
      <c r="O41" s="13">
        <f t="shared" si="0"/>
        <v>17.696129852997249</v>
      </c>
    </row>
    <row r="42" spans="1:15" x14ac:dyDescent="0.2">
      <c r="J42">
        <v>2060</v>
      </c>
      <c r="K42" s="28">
        <v>350.78690969904</v>
      </c>
      <c r="L42" s="28">
        <v>216.38827584245001</v>
      </c>
      <c r="N42" s="13">
        <f t="shared" si="1"/>
        <v>29.23224247492</v>
      </c>
      <c r="O42" s="13">
        <f t="shared" si="0"/>
        <v>18.032356320204169</v>
      </c>
    </row>
    <row r="43" spans="1:15" x14ac:dyDescent="0.2">
      <c r="K43" s="28">
        <v>357.45186098332198</v>
      </c>
      <c r="L43" s="28"/>
    </row>
    <row r="44" spans="1:15" x14ac:dyDescent="0.2">
      <c r="K44" s="28">
        <v>364.24344634200497</v>
      </c>
      <c r="L44" s="28"/>
    </row>
    <row r="45" spans="1:15" x14ac:dyDescent="0.2">
      <c r="K45" s="28">
        <v>371.16407182250299</v>
      </c>
      <c r="L45" s="28"/>
    </row>
    <row r="46" spans="1:15" x14ac:dyDescent="0.2">
      <c r="K46" s="28">
        <v>378.21618918713102</v>
      </c>
      <c r="L46" s="28"/>
    </row>
    <row r="47" spans="1:15" x14ac:dyDescent="0.2">
      <c r="K47" s="28"/>
      <c r="L47" s="28"/>
    </row>
    <row r="48" spans="1:15" x14ac:dyDescent="0.2">
      <c r="K48" s="28"/>
      <c r="L48" s="28"/>
    </row>
    <row r="49" spans="11:12" x14ac:dyDescent="0.2">
      <c r="K49" s="28"/>
      <c r="L49" s="28"/>
    </row>
    <row r="50" spans="11:12" x14ac:dyDescent="0.2">
      <c r="K50" s="28"/>
      <c r="L50" s="28"/>
    </row>
    <row r="51" spans="11:12" x14ac:dyDescent="0.2">
      <c r="K51" s="28"/>
      <c r="L51" s="28"/>
    </row>
    <row r="52" spans="11:12" x14ac:dyDescent="0.2">
      <c r="K52" s="28"/>
      <c r="L52" s="28"/>
    </row>
    <row r="53" spans="11:12" x14ac:dyDescent="0.2">
      <c r="K53" s="28"/>
      <c r="L53" s="28"/>
    </row>
    <row r="54" spans="11:12" x14ac:dyDescent="0.2">
      <c r="K54" s="28"/>
      <c r="L54" s="28"/>
    </row>
    <row r="55" spans="11:12" x14ac:dyDescent="0.2">
      <c r="K55" s="28"/>
      <c r="L55" s="28"/>
    </row>
    <row r="56" spans="11:12" x14ac:dyDescent="0.2">
      <c r="K56" s="28"/>
      <c r="L56" s="28"/>
    </row>
    <row r="57" spans="11:12" x14ac:dyDescent="0.2">
      <c r="K57" s="28"/>
      <c r="L57" s="28"/>
    </row>
    <row r="58" spans="11:12" x14ac:dyDescent="0.2">
      <c r="K58" s="28"/>
    </row>
    <row r="59" spans="11:12" x14ac:dyDescent="0.2">
      <c r="K59" s="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5F61-2940-4C57-8B3C-3B57D6CA7C01}">
  <sheetPr>
    <tabColor theme="6"/>
  </sheetPr>
  <dimension ref="A2:W44"/>
  <sheetViews>
    <sheetView tabSelected="1" zoomScale="90" zoomScaleNormal="90" workbookViewId="0">
      <selection activeCell="J5" sqref="J5"/>
    </sheetView>
  </sheetViews>
  <sheetFormatPr defaultRowHeight="14.25" x14ac:dyDescent="0.2"/>
  <cols>
    <col min="1" max="1" width="20.875" customWidth="1"/>
    <col min="2" max="2" width="11.375" bestFit="1" customWidth="1"/>
    <col min="3" max="3" width="11.625" bestFit="1" customWidth="1"/>
    <col min="5" max="6" width="12.125" customWidth="1"/>
    <col min="7" max="7" width="7.5" customWidth="1"/>
    <col min="8" max="8" width="21.875" customWidth="1"/>
    <col min="10" max="10" width="11.375" bestFit="1" customWidth="1"/>
    <col min="11" max="11" width="11.625" bestFit="1" customWidth="1"/>
    <col min="17" max="17" width="11.375" bestFit="1" customWidth="1"/>
    <col min="18" max="18" width="11.625" bestFit="1" customWidth="1"/>
    <col min="20" max="21" width="9.375" bestFit="1" customWidth="1"/>
  </cols>
  <sheetData>
    <row r="2" spans="1:22" ht="15" x14ac:dyDescent="0.25">
      <c r="A2" s="1" t="s">
        <v>39</v>
      </c>
      <c r="E2" s="1" t="s">
        <v>57</v>
      </c>
      <c r="N2" t="s">
        <v>84</v>
      </c>
    </row>
    <row r="3" spans="1:22" ht="15" x14ac:dyDescent="0.25">
      <c r="B3" t="s">
        <v>38</v>
      </c>
      <c r="C3" t="s">
        <v>38</v>
      </c>
      <c r="E3" t="s">
        <v>37</v>
      </c>
      <c r="F3" t="s">
        <v>37</v>
      </c>
      <c r="H3" s="1" t="s">
        <v>44</v>
      </c>
      <c r="J3" t="s">
        <v>38</v>
      </c>
      <c r="K3" t="s">
        <v>38</v>
      </c>
      <c r="N3" t="s">
        <v>71</v>
      </c>
    </row>
    <row r="4" spans="1:22" ht="15" x14ac:dyDescent="0.25">
      <c r="B4" s="1" t="s">
        <v>33</v>
      </c>
      <c r="C4" s="1" t="s">
        <v>34</v>
      </c>
      <c r="E4" s="1" t="s">
        <v>33</v>
      </c>
      <c r="F4" s="1" t="s">
        <v>34</v>
      </c>
      <c r="H4" t="s">
        <v>48</v>
      </c>
      <c r="I4" t="s">
        <v>49</v>
      </c>
      <c r="J4" s="1" t="s">
        <v>33</v>
      </c>
      <c r="K4" s="1" t="s">
        <v>34</v>
      </c>
      <c r="N4">
        <v>4.182291666666667</v>
      </c>
      <c r="Q4" s="1" t="s">
        <v>33</v>
      </c>
      <c r="R4" s="1" t="s">
        <v>34</v>
      </c>
      <c r="T4" t="s">
        <v>86</v>
      </c>
      <c r="U4" t="s">
        <v>87</v>
      </c>
    </row>
    <row r="5" spans="1:22" x14ac:dyDescent="0.2">
      <c r="A5">
        <f>StartYr_North</f>
        <v>2025</v>
      </c>
      <c r="B5" s="13">
        <f>StartPrice_North</f>
        <v>6.5485562500000007</v>
      </c>
      <c r="C5" s="13">
        <f>StartPrice_South</f>
        <v>6.4154072916666669</v>
      </c>
      <c r="E5" s="19">
        <f>B5*12</f>
        <v>78.582675000000009</v>
      </c>
      <c r="F5" s="19">
        <f t="shared" ref="F5:F40" si="0">C5*12</f>
        <v>76.984887499999999</v>
      </c>
      <c r="H5" t="s">
        <v>45</v>
      </c>
      <c r="I5">
        <v>6</v>
      </c>
      <c r="J5" s="10">
        <f>-PMT(WACC,Forecast!$I5,NPV(WACC,Forecast!B6:B11))</f>
        <v>7.7160926215008434</v>
      </c>
      <c r="K5" s="10">
        <f>-PMT(WACC,Forecast!$I5,NPV(WACC,Forecast!C6:C11))</f>
        <v>7.4177315112398094</v>
      </c>
      <c r="N5">
        <v>4.5567270833333335</v>
      </c>
      <c r="P5">
        <v>2025</v>
      </c>
      <c r="Q5" s="20">
        <f>E5-'[1]Capacity Price'!G10</f>
        <v>0</v>
      </c>
      <c r="R5" s="20">
        <f>F5-'[1]Capacity Price'!F10</f>
        <v>0</v>
      </c>
      <c r="S5">
        <v>2025</v>
      </c>
      <c r="T5" s="29">
        <v>51</v>
      </c>
      <c r="U5" s="29">
        <v>51</v>
      </c>
      <c r="V5" s="29">
        <f t="shared" ref="V5:V39" si="1">U5-T5</f>
        <v>0</v>
      </c>
    </row>
    <row r="6" spans="1:22" x14ac:dyDescent="0.2">
      <c r="A6">
        <f>A5+1</f>
        <v>2026</v>
      </c>
      <c r="B6" s="18">
        <f t="shared" ref="B6:C9" si="2">B5+(B$12-B$5)*5%</f>
        <v>6.8046784375000007</v>
      </c>
      <c r="C6" s="18">
        <f t="shared" si="2"/>
        <v>6.6352869270833335</v>
      </c>
      <c r="E6" s="19">
        <f t="shared" ref="E6:E40" si="3">B6*12</f>
        <v>81.656141250000005</v>
      </c>
      <c r="F6" s="19">
        <f t="shared" si="0"/>
        <v>79.623443124999994</v>
      </c>
      <c r="H6" t="s">
        <v>46</v>
      </c>
      <c r="I6">
        <v>10</v>
      </c>
      <c r="J6" s="10">
        <f>-PMT(WACC,Forecast!$I6,NPV(WACC,Forecast!B6:B15))</f>
        <v>9.2552235719423521</v>
      </c>
      <c r="K6" s="10">
        <f>-PMT(WACC,Forecast!$I6,NPV(WACC,Forecast!C6:C15))</f>
        <v>8.4925673460411257</v>
      </c>
      <c r="N6">
        <v>4.9311625000000001</v>
      </c>
      <c r="P6">
        <v>2026</v>
      </c>
      <c r="Q6" s="20">
        <f>E6-'[1]Capacity Price'!G11</f>
        <v>0</v>
      </c>
      <c r="R6" s="20">
        <f>F6-'[1]Capacity Price'!F11</f>
        <v>0</v>
      </c>
      <c r="S6">
        <v>2026</v>
      </c>
      <c r="T6" s="29">
        <v>60</v>
      </c>
      <c r="U6" s="29">
        <v>60</v>
      </c>
      <c r="V6" s="29">
        <f t="shared" si="1"/>
        <v>0</v>
      </c>
    </row>
    <row r="7" spans="1:22" x14ac:dyDescent="0.2">
      <c r="A7">
        <f t="shared" ref="A7:A40" si="4">A6+1</f>
        <v>2027</v>
      </c>
      <c r="B7" s="18">
        <f t="shared" si="2"/>
        <v>7.0608006250000006</v>
      </c>
      <c r="C7" s="18">
        <f t="shared" si="2"/>
        <v>6.8551665625</v>
      </c>
      <c r="E7" s="19">
        <f t="shared" si="3"/>
        <v>84.729607500000014</v>
      </c>
      <c r="F7" s="19">
        <f t="shared" si="0"/>
        <v>82.261998750000004</v>
      </c>
      <c r="H7" t="s">
        <v>50</v>
      </c>
      <c r="I7">
        <v>15</v>
      </c>
      <c r="J7" s="10">
        <f>-PMT(WACC,Forecast!$I7,NPV(WACC,Forecast!B6:B20))</f>
        <v>10.730204601823008</v>
      </c>
      <c r="K7" s="10">
        <f>-PMT(WACC,Forecast!$I7,NPV(WACC,Forecast!C6:C20))</f>
        <v>9.1775160964527025</v>
      </c>
      <c r="N7">
        <v>6.4289041666666673</v>
      </c>
      <c r="P7">
        <v>2027</v>
      </c>
      <c r="Q7" s="20">
        <f>E7-'[1]Capacity Price'!G12</f>
        <v>0</v>
      </c>
      <c r="R7" s="20">
        <f>F7-'[1]Capacity Price'!F12</f>
        <v>0</v>
      </c>
      <c r="S7">
        <v>2027</v>
      </c>
      <c r="T7" s="29">
        <v>62.32</v>
      </c>
      <c r="U7" s="29">
        <v>62.32</v>
      </c>
      <c r="V7" s="29">
        <f t="shared" si="1"/>
        <v>0</v>
      </c>
    </row>
    <row r="8" spans="1:22" x14ac:dyDescent="0.2">
      <c r="A8">
        <f t="shared" si="4"/>
        <v>2028</v>
      </c>
      <c r="B8" s="18">
        <f t="shared" si="2"/>
        <v>7.3169228125000005</v>
      </c>
      <c r="C8" s="18">
        <f t="shared" si="2"/>
        <v>7.0750461979166666</v>
      </c>
      <c r="E8" s="19">
        <f t="shared" si="3"/>
        <v>87.80307375000001</v>
      </c>
      <c r="F8" s="19">
        <f t="shared" si="0"/>
        <v>84.900554374999999</v>
      </c>
      <c r="H8" t="s">
        <v>47</v>
      </c>
      <c r="I8">
        <v>20</v>
      </c>
      <c r="J8" s="10">
        <f>-PMT(WACC,Forecast!$I8,NPV(WACC,Forecast!B6:B25))</f>
        <v>11.712975400344973</v>
      </c>
      <c r="K8" s="10">
        <f>-PMT(WACC,Forecast!$I8,NPV(WACC,Forecast!C6:C25))</f>
        <v>9.5986028915331421</v>
      </c>
      <c r="N8">
        <v>8.3010812500000011</v>
      </c>
      <c r="P8">
        <v>2028</v>
      </c>
      <c r="Q8" s="20">
        <f>E8-'[1]Capacity Price'!G13</f>
        <v>0</v>
      </c>
      <c r="R8" s="20">
        <f>F8-'[1]Capacity Price'!F13</f>
        <v>0</v>
      </c>
      <c r="S8">
        <v>2028</v>
      </c>
      <c r="T8" s="29">
        <v>64.64</v>
      </c>
      <c r="U8" s="29">
        <v>64.64</v>
      </c>
      <c r="V8" s="29">
        <f t="shared" si="1"/>
        <v>0</v>
      </c>
    </row>
    <row r="9" spans="1:22" x14ac:dyDescent="0.2">
      <c r="A9">
        <f t="shared" si="4"/>
        <v>2029</v>
      </c>
      <c r="B9" s="18">
        <f t="shared" si="2"/>
        <v>7.5730450000000005</v>
      </c>
      <c r="C9" s="18">
        <f t="shared" si="2"/>
        <v>7.2949258333333331</v>
      </c>
      <c r="E9" s="19">
        <f t="shared" si="3"/>
        <v>90.876540000000006</v>
      </c>
      <c r="F9" s="19">
        <f t="shared" si="0"/>
        <v>87.539109999999994</v>
      </c>
      <c r="N9">
        <v>11.671000000000001</v>
      </c>
      <c r="P9">
        <v>2029</v>
      </c>
      <c r="Q9" s="20">
        <f>E9-'[1]Capacity Price'!G14</f>
        <v>0</v>
      </c>
      <c r="R9" s="20">
        <f>F9-'[1]Capacity Price'!F14</f>
        <v>0</v>
      </c>
      <c r="S9">
        <v>2029</v>
      </c>
      <c r="T9" s="29">
        <v>67.12</v>
      </c>
      <c r="U9" s="29">
        <v>67.12</v>
      </c>
      <c r="V9" s="29">
        <f t="shared" si="1"/>
        <v>0</v>
      </c>
    </row>
    <row r="10" spans="1:22" x14ac:dyDescent="0.2">
      <c r="A10">
        <f t="shared" si="4"/>
        <v>2030</v>
      </c>
      <c r="B10" s="18">
        <f>B9+(B$12-B$5)*20%</f>
        <v>8.5975337500000002</v>
      </c>
      <c r="C10" s="18">
        <f>C9+(C$12-C$5)*20%</f>
        <v>8.1744443750000002</v>
      </c>
      <c r="E10" s="19">
        <f t="shared" si="3"/>
        <v>103.170405</v>
      </c>
      <c r="F10" s="19">
        <f t="shared" si="0"/>
        <v>98.093332500000002</v>
      </c>
      <c r="N10">
        <v>12.334133246123701</v>
      </c>
      <c r="P10">
        <v>2030</v>
      </c>
      <c r="Q10" s="20">
        <f>E10-'[1]Capacity Price'!G15</f>
        <v>0</v>
      </c>
      <c r="R10" s="20">
        <f>F10-'[1]Capacity Price'!F15</f>
        <v>0</v>
      </c>
      <c r="S10">
        <v>2030</v>
      </c>
      <c r="T10" s="29">
        <v>69.600000000000009</v>
      </c>
      <c r="U10" s="29">
        <v>69.600000000000009</v>
      </c>
      <c r="V10" s="29">
        <f t="shared" si="1"/>
        <v>0</v>
      </c>
    </row>
    <row r="11" spans="1:22" x14ac:dyDescent="0.2">
      <c r="A11">
        <f t="shared" si="4"/>
        <v>2031</v>
      </c>
      <c r="B11" s="18">
        <f>B10+(B$12-B$5)*25%</f>
        <v>9.8781446875000007</v>
      </c>
      <c r="C11" s="18">
        <f>C10+(C$12-C$5)*25%</f>
        <v>9.2738425520833339</v>
      </c>
      <c r="E11" s="19">
        <f t="shared" si="3"/>
        <v>118.53773625000001</v>
      </c>
      <c r="F11" s="19">
        <f t="shared" si="0"/>
        <v>111.28611062500001</v>
      </c>
      <c r="N11">
        <v>12.9972664922474</v>
      </c>
      <c r="P11">
        <v>2031</v>
      </c>
      <c r="Q11" s="20">
        <f>E11-'[1]Capacity Price'!G16</f>
        <v>0</v>
      </c>
      <c r="R11" s="20">
        <f>F11-'[1]Capacity Price'!F16</f>
        <v>0</v>
      </c>
      <c r="S11">
        <v>2031</v>
      </c>
      <c r="T11" s="29">
        <v>72.080000000000013</v>
      </c>
      <c r="U11" s="29">
        <v>72.080000000000013</v>
      </c>
      <c r="V11" s="29">
        <f t="shared" si="1"/>
        <v>0</v>
      </c>
    </row>
    <row r="12" spans="1:22" x14ac:dyDescent="0.2">
      <c r="A12">
        <f t="shared" si="4"/>
        <v>2032</v>
      </c>
      <c r="B12" s="13">
        <f>IF($A12=AuctionYr_North,AuctionPrice_North,IF($A12&lt;AuctionYr_North,B11+(AuctionPrice_North-StartPrice_North)/(AuctionYr_North-StartYr_North),IF($A12=CONE_Yr_North,Fund_CONE_North,IF($A12&lt;CONE_Yr_North,B11+(Fund_CONE_North-AuctionPrice_North)/(CONE_Yr_North-AuctionYr_North),INDEX(Inputs!$N$5:$O$42,MATCH(Forecast!$A12,Inputs!$J$5:$J$42,0),MATCH(Forecast!B$4,Inputs!$N$5:$O$5,0))))))</f>
        <v>11.671000000000001</v>
      </c>
      <c r="C12" s="13">
        <f>IF($A12=AuctionYr_South,AuctionPrice_South,IF($A12&lt;AuctionYr_South,C11+(AuctionPrice_South-StartPrice_South)/(AuctionYr_South-StartYr_South),IF($A12=CONE_Yr_South,Fund_CONE_South,IF($A12&lt;CONE_Yr_South,C11+(Fund_CONE_South-AuctionPrice_South)/(CONE_Yr_South-AuctionYr_South),INDEX(Inputs!$N$5:$O$42,MATCH(Forecast!$A12,Inputs!$J$5:$J$42,0),MATCH(Forecast!C$4,Inputs!$N$5:$O$5,0))))))</f>
        <v>10.813000000000001</v>
      </c>
      <c r="E12" s="19">
        <f t="shared" si="3"/>
        <v>140.05200000000002</v>
      </c>
      <c r="F12" s="19">
        <f t="shared" si="0"/>
        <v>129.756</v>
      </c>
      <c r="N12">
        <v>13.660399738371099</v>
      </c>
      <c r="P12">
        <v>2032</v>
      </c>
      <c r="Q12" s="20">
        <f>E12-'[1]Capacity Price'!G17</f>
        <v>0</v>
      </c>
      <c r="R12" s="20">
        <f>F12-'[1]Capacity Price'!F17</f>
        <v>0</v>
      </c>
      <c r="S12">
        <v>2032</v>
      </c>
      <c r="T12" s="29">
        <v>74.560000000000016</v>
      </c>
      <c r="U12" s="29">
        <v>74.560000000000016</v>
      </c>
      <c r="V12" s="29">
        <f t="shared" si="1"/>
        <v>0</v>
      </c>
    </row>
    <row r="13" spans="1:22" x14ac:dyDescent="0.2">
      <c r="A13">
        <f t="shared" si="4"/>
        <v>2033</v>
      </c>
      <c r="B13" s="13">
        <f>IF($A13=AuctionYr_North,AuctionPrice_North,IF($A13&lt;AuctionYr_North,B12+(AuctionPrice_North-StartPrice_North)/(AuctionYr_North-StartYr_North),IF($A13=CONE_Yr_North,Fund_CONE_North,IF($A13&lt;CONE_Yr_North,B12+(Fund_CONE_North-AuctionPrice_North)/(CONE_Yr_North-AuctionYr_North),INDEX(Inputs!$N$5:$O$42,MATCH(Forecast!$A13,Inputs!$J$5:$J$42,0),MATCH(Forecast!B$4,Inputs!$N$5:$O$5,0))))))</f>
        <v>12.634347633402884</v>
      </c>
      <c r="C13" s="13">
        <f>IF($A13=AuctionYr_South,AuctionPrice_South,IF($A13&lt;AuctionYr_South,C12+(AuctionPrice_South-StartPrice_South)/(AuctionYr_South-StartYr_South),IF($A13=CONE_Yr_South,Fund_CONE_South,IF($A13&lt;CONE_Yr_South,C12+(Fund_CONE_South-AuctionPrice_South)/(CONE_Yr_South-AuctionYr_South),INDEX(Inputs!$N$5:$O$42,MATCH(Forecast!$A13,Inputs!$J$5:$J$42,0),MATCH(Forecast!C$4,Inputs!$N$5:$O$5,0))))))</f>
        <v>11.027145712833519</v>
      </c>
      <c r="E13" s="19">
        <f t="shared" si="3"/>
        <v>151.61217160083461</v>
      </c>
      <c r="F13" s="19">
        <f t="shared" si="0"/>
        <v>132.32574855400225</v>
      </c>
      <c r="N13">
        <v>14.323532984494799</v>
      </c>
      <c r="P13">
        <v>2033</v>
      </c>
      <c r="Q13" s="20">
        <f>E13-'[1]Capacity Price'!G18</f>
        <v>0</v>
      </c>
      <c r="R13" s="20">
        <f>F13-'[1]Capacity Price'!F18</f>
        <v>0</v>
      </c>
      <c r="S13">
        <v>2033</v>
      </c>
      <c r="T13" s="29">
        <v>77.04000000000002</v>
      </c>
      <c r="U13" s="29">
        <v>77.04000000000002</v>
      </c>
      <c r="V13" s="29">
        <f t="shared" si="1"/>
        <v>0</v>
      </c>
    </row>
    <row r="14" spans="1:22" x14ac:dyDescent="0.2">
      <c r="A14">
        <f t="shared" si="4"/>
        <v>2034</v>
      </c>
      <c r="B14" s="13">
        <f>IF($A14=AuctionYr_North,AuctionPrice_North,IF($A14&lt;AuctionYr_North,B13+(AuctionPrice_North-StartPrice_North)/(AuctionYr_North-StartYr_North),IF($A14=CONE_Yr_North,Fund_CONE_North,IF($A14&lt;CONE_Yr_North,B13+(Fund_CONE_North-AuctionPrice_North)/(CONE_Yr_North-AuctionYr_North),INDEX(Inputs!$N$5:$O$42,MATCH(Forecast!$A14,Inputs!$J$5:$J$42,0),MATCH(Forecast!B$4,Inputs!$N$5:$O$5,0))))))</f>
        <v>13.597695266805767</v>
      </c>
      <c r="C14" s="13">
        <f>IF($A14=AuctionYr_South,AuctionPrice_South,IF($A14&lt;AuctionYr_South,C13+(AuctionPrice_South-StartPrice_South)/(AuctionYr_South-StartYr_South),IF($A14=CONE_Yr_South,Fund_CONE_South,IF($A14&lt;CONE_Yr_South,C13+(Fund_CONE_South-AuctionPrice_South)/(CONE_Yr_South-AuctionYr_South),INDEX(Inputs!$N$5:$O$42,MATCH(Forecast!$A14,Inputs!$J$5:$J$42,0),MATCH(Forecast!C$4,Inputs!$N$5:$O$5,0))))))</f>
        <v>11.241291425667038</v>
      </c>
      <c r="E14" s="19">
        <f t="shared" si="3"/>
        <v>163.17234320166921</v>
      </c>
      <c r="F14" s="19">
        <f t="shared" si="0"/>
        <v>134.89549710800446</v>
      </c>
      <c r="N14">
        <v>14.986666230618502</v>
      </c>
      <c r="P14">
        <v>2034</v>
      </c>
      <c r="Q14" s="20">
        <f>E14-'[1]Capacity Price'!G19</f>
        <v>0</v>
      </c>
      <c r="R14" s="20">
        <f>F14-'[1]Capacity Price'!F19</f>
        <v>0</v>
      </c>
      <c r="S14">
        <v>2034</v>
      </c>
      <c r="T14" s="29">
        <v>79.520000000000024</v>
      </c>
      <c r="U14" s="29">
        <v>79.520000000000024</v>
      </c>
      <c r="V14" s="29">
        <f t="shared" si="1"/>
        <v>0</v>
      </c>
    </row>
    <row r="15" spans="1:22" x14ac:dyDescent="0.2">
      <c r="A15">
        <f t="shared" si="4"/>
        <v>2035</v>
      </c>
      <c r="B15" s="13">
        <f>IF($A15=AuctionYr_North,AuctionPrice_North,IF($A15&lt;AuctionYr_North,B14+(AuctionPrice_North-StartPrice_North)/(AuctionYr_North-StartYr_North),IF($A15=CONE_Yr_North,Fund_CONE_North,IF($A15&lt;CONE_Yr_North,B14+(Fund_CONE_North-AuctionPrice_North)/(CONE_Yr_North-AuctionYr_North),INDEX(Inputs!$N$5:$O$42,MATCH(Forecast!$A15,Inputs!$J$5:$J$42,0),MATCH(Forecast!B$4,Inputs!$N$5:$O$5,0))))))</f>
        <v>14.561042900208649</v>
      </c>
      <c r="C15" s="13">
        <f>IF($A15=AuctionYr_South,AuctionPrice_South,IF($A15&lt;AuctionYr_South,C14+(AuctionPrice_South-StartPrice_South)/(AuctionYr_South-StartYr_South),IF($A15=CONE_Yr_South,Fund_CONE_South,IF($A15&lt;CONE_Yr_South,C14+(Fund_CONE_South-AuctionPrice_South)/(CONE_Yr_South-AuctionYr_South),INDEX(Inputs!$N$5:$O$42,MATCH(Forecast!$A15,Inputs!$J$5:$J$42,0),MATCH(Forecast!C$4,Inputs!$N$5:$O$5,0))))))</f>
        <v>11.455437138500557</v>
      </c>
      <c r="E15" s="19">
        <f t="shared" si="3"/>
        <v>174.7325148025038</v>
      </c>
      <c r="F15" s="19">
        <f t="shared" si="0"/>
        <v>137.46524566200668</v>
      </c>
      <c r="N15">
        <v>15.692606450936417</v>
      </c>
      <c r="P15">
        <v>2035</v>
      </c>
      <c r="Q15" s="20">
        <f>E15-'[1]Capacity Price'!G20</f>
        <v>0</v>
      </c>
      <c r="R15" s="20">
        <f>F15-'[1]Capacity Price'!F20</f>
        <v>0</v>
      </c>
      <c r="S15">
        <v>2035</v>
      </c>
      <c r="T15" s="29">
        <v>82</v>
      </c>
      <c r="U15" s="29">
        <v>82</v>
      </c>
      <c r="V15" s="29">
        <f t="shared" si="1"/>
        <v>0</v>
      </c>
    </row>
    <row r="16" spans="1:22" x14ac:dyDescent="0.2">
      <c r="A16">
        <f t="shared" si="4"/>
        <v>2036</v>
      </c>
      <c r="B16" s="13">
        <f>IF($A16=AuctionYr_North,AuctionPrice_North,IF($A16&lt;AuctionYr_North,B15+(AuctionPrice_North-StartPrice_North)/(AuctionYr_North-StartYr_North),IF($A16=CONE_Yr_North,Fund_CONE_North,IF($A16&lt;CONE_Yr_North,B15+(Fund_CONE_North-AuctionPrice_North)/(CONE_Yr_North-AuctionYr_North),INDEX(Inputs!$N$5:$O$42,MATCH(Forecast!$A16,Inputs!$J$5:$J$42,0),MATCH(Forecast!B$4,Inputs!$N$5:$O$5,0))))))</f>
        <v>15.524390533611532</v>
      </c>
      <c r="C16" s="13">
        <f>IF($A16=AuctionYr_South,AuctionPrice_South,IF($A16&lt;AuctionYr_South,C15+(AuctionPrice_South-StartPrice_South)/(AuctionYr_South-StartYr_South),IF($A16=CONE_Yr_South,Fund_CONE_South,IF($A16&lt;CONE_Yr_South,C15+(Fund_CONE_South-AuctionPrice_South)/(CONE_Yr_South-AuctionYr_South),INDEX(Inputs!$N$5:$O$42,MATCH(Forecast!$A16,Inputs!$J$5:$J$42,0),MATCH(Forecast!C$4,Inputs!$N$5:$O$5,0))))))</f>
        <v>11.669582851334075</v>
      </c>
      <c r="E16" s="19">
        <f t="shared" si="3"/>
        <v>186.29268640333839</v>
      </c>
      <c r="F16" s="19">
        <f t="shared" si="0"/>
        <v>140.0349942160089</v>
      </c>
      <c r="N16">
        <v>16.398546671254419</v>
      </c>
      <c r="P16">
        <v>2036</v>
      </c>
      <c r="Q16" s="20">
        <f>E16-'[1]Capacity Price'!G21</f>
        <v>0</v>
      </c>
      <c r="R16" s="20">
        <f>F16-'[1]Capacity Price'!F21</f>
        <v>0</v>
      </c>
      <c r="S16">
        <v>2036</v>
      </c>
      <c r="T16" s="29">
        <v>94.038808940368995</v>
      </c>
      <c r="U16" s="29">
        <v>93.704857038579206</v>
      </c>
      <c r="V16" s="29">
        <f t="shared" si="1"/>
        <v>-0.33395190178978851</v>
      </c>
    </row>
    <row r="17" spans="1:22" x14ac:dyDescent="0.2">
      <c r="A17">
        <f t="shared" si="4"/>
        <v>2037</v>
      </c>
      <c r="B17" s="13">
        <f>IF($A17=AuctionYr_North,AuctionPrice_North,IF($A17&lt;AuctionYr_North,B16+(AuctionPrice_North-StartPrice_North)/(AuctionYr_North-StartYr_North),IF($A17=CONE_Yr_North,Fund_CONE_North,IF($A17&lt;CONE_Yr_North,B16+(Fund_CONE_North-AuctionPrice_North)/(CONE_Yr_North-AuctionYr_North),INDEX(Inputs!$N$5:$O$42,MATCH(Forecast!$A17,Inputs!$J$5:$J$42,0),MATCH(Forecast!B$4,Inputs!$N$5:$O$5,0))))))</f>
        <v>16.487738167014417</v>
      </c>
      <c r="C17" s="13">
        <f>IF($A17=AuctionYr_South,AuctionPrice_South,IF($A17&lt;AuctionYr_South,C16+(AuctionPrice_South-StartPrice_South)/(AuctionYr_South-StartYr_South),IF($A17=CONE_Yr_South,Fund_CONE_South,IF($A17&lt;CONE_Yr_South,C16+(Fund_CONE_South-AuctionPrice_South)/(CONE_Yr_South-AuctionYr_South),INDEX(Inputs!$N$5:$O$42,MATCH(Forecast!$A17,Inputs!$J$5:$J$42,0),MATCH(Forecast!C$4,Inputs!$N$5:$O$5,0))))))</f>
        <v>11.883728564167594</v>
      </c>
      <c r="E17" s="19">
        <f t="shared" si="3"/>
        <v>197.85285800417302</v>
      </c>
      <c r="F17" s="19">
        <f t="shared" si="0"/>
        <v>142.60474277001111</v>
      </c>
      <c r="N17">
        <v>17.104486891572417</v>
      </c>
      <c r="P17">
        <v>2037</v>
      </c>
      <c r="Q17" s="20">
        <f>E17-'[1]Capacity Price'!G22</f>
        <v>0</v>
      </c>
      <c r="R17" s="20">
        <f>F17-'[1]Capacity Price'!F22</f>
        <v>0</v>
      </c>
      <c r="S17">
        <v>2037</v>
      </c>
      <c r="T17" s="29">
        <v>106.07761788073799</v>
      </c>
      <c r="U17" s="29">
        <v>105.40971407715841</v>
      </c>
      <c r="V17" s="29">
        <f t="shared" si="1"/>
        <v>-0.66790380357957702</v>
      </c>
    </row>
    <row r="18" spans="1:22" x14ac:dyDescent="0.2">
      <c r="A18">
        <f t="shared" si="4"/>
        <v>2038</v>
      </c>
      <c r="B18" s="13">
        <f>IF($A18=AuctionYr_North,AuctionPrice_North,IF($A18&lt;AuctionYr_North,B17+(AuctionPrice_North-StartPrice_North)/(AuctionYr_North-StartYr_North),IF($A18=CONE_Yr_North,Fund_CONE_North,IF($A18&lt;CONE_Yr_North,B17+(Fund_CONE_North-AuctionPrice_North)/(CONE_Yr_North-AuctionYr_North),INDEX(Inputs!$N$5:$O$42,MATCH(Forecast!$A18,Inputs!$J$5:$J$42,0),MATCH(Forecast!B$4,Inputs!$N$5:$O$5,0))))))</f>
        <v>17.130331019869669</v>
      </c>
      <c r="C18" s="13">
        <f>IF($A18=AuctionYr_South,AuctionPrice_South,IF($A18&lt;AuctionYr_South,C17+(AuctionPrice_South-StartPrice_South)/(AuctionYr_South-StartYr_South),IF($A18=CONE_Yr_South,Fund_CONE_South,IF($A18&lt;CONE_Yr_South,C17+(Fund_CONE_South-AuctionPrice_South)/(CONE_Yr_South-AuctionYr_South),INDEX(Inputs!$N$5:$O$42,MATCH(Forecast!$A18,Inputs!$J$5:$J$42,0),MATCH(Forecast!C$4,Inputs!$N$5:$O$5,0))))))</f>
        <v>12.097874277001113</v>
      </c>
      <c r="E18" s="19">
        <f t="shared" si="3"/>
        <v>205.56397223843601</v>
      </c>
      <c r="F18" s="19">
        <f t="shared" si="0"/>
        <v>145.17449132401336</v>
      </c>
      <c r="N18">
        <v>17.810427111890416</v>
      </c>
      <c r="P18">
        <v>2038</v>
      </c>
      <c r="Q18" s="20">
        <f>E18-'[1]Capacity Price'!G23</f>
        <v>0</v>
      </c>
      <c r="R18" s="20">
        <f>F18-'[1]Capacity Price'!F23</f>
        <v>0</v>
      </c>
      <c r="S18">
        <v>2038</v>
      </c>
      <c r="T18" s="29">
        <v>118.11642682110698</v>
      </c>
      <c r="U18" s="29">
        <v>117.11457111573762</v>
      </c>
      <c r="V18" s="29">
        <f t="shared" si="1"/>
        <v>-1.0018557053693655</v>
      </c>
    </row>
    <row r="19" spans="1:22" x14ac:dyDescent="0.2">
      <c r="A19">
        <f t="shared" si="4"/>
        <v>2039</v>
      </c>
      <c r="B19" s="13">
        <f>IF($A19=AuctionYr_North,AuctionPrice_North,IF($A19&lt;AuctionYr_North,B18+(AuctionPrice_North-StartPrice_North)/(AuctionYr_North-StartYr_North),IF($A19=CONE_Yr_North,Fund_CONE_North,IF($A19&lt;CONE_Yr_North,B18+(Fund_CONE_North-AuctionPrice_North)/(CONE_Yr_North-AuctionYr_North),INDEX(Inputs!$N$5:$O$42,MATCH(Forecast!$A19,Inputs!$J$5:$J$42,0),MATCH(Forecast!B$4,Inputs!$N$5:$O$5,0))))))</f>
        <v>17.772923872724917</v>
      </c>
      <c r="C19" s="13">
        <f>IF($A19=AuctionYr_South,AuctionPrice_South,IF($A19&lt;AuctionYr_South,C18+(AuctionPrice_South-StartPrice_South)/(AuctionYr_South-StartYr_South),IF($A19=CONE_Yr_South,Fund_CONE_South,IF($A19&lt;CONE_Yr_South,C18+(Fund_CONE_South-AuctionPrice_South)/(CONE_Yr_South-AuctionYr_South),INDEX(Inputs!$N$5:$O$42,MATCH(Forecast!$A19,Inputs!$J$5:$J$42,0),MATCH(Forecast!C$4,Inputs!$N$5:$O$5,0))))))</f>
        <v>12.312019989834631</v>
      </c>
      <c r="E19" s="19">
        <f t="shared" si="3"/>
        <v>213.275086472699</v>
      </c>
      <c r="F19" s="19">
        <f t="shared" si="0"/>
        <v>147.74423987801558</v>
      </c>
      <c r="N19">
        <v>18.516367332208414</v>
      </c>
      <c r="P19">
        <v>2039</v>
      </c>
      <c r="Q19" s="20">
        <f>E19-'[1]Capacity Price'!G24</f>
        <v>0</v>
      </c>
      <c r="R19" s="20">
        <f>F19-'[1]Capacity Price'!F24</f>
        <v>0</v>
      </c>
      <c r="S19">
        <v>2039</v>
      </c>
      <c r="T19" s="29">
        <v>130.15523576147598</v>
      </c>
      <c r="U19" s="29">
        <v>128.81942815431682</v>
      </c>
      <c r="V19" s="29">
        <f t="shared" si="1"/>
        <v>-1.335807607159154</v>
      </c>
    </row>
    <row r="20" spans="1:22" x14ac:dyDescent="0.2">
      <c r="A20">
        <f t="shared" si="4"/>
        <v>2040</v>
      </c>
      <c r="B20" s="13">
        <f>IF($A20=AuctionYr_North,AuctionPrice_North,IF($A20&lt;AuctionYr_North,B19+(AuctionPrice_North-StartPrice_North)/(AuctionYr_North-StartYr_North),IF($A20=CONE_Yr_North,Fund_CONE_North,IF($A20&lt;CONE_Yr_North,B19+(Fund_CONE_North-AuctionPrice_North)/(CONE_Yr_North-AuctionYr_North),INDEX(Inputs!$N$5:$O$42,MATCH(Forecast!$A20,Inputs!$J$5:$J$42,0),MATCH(Forecast!B$4,Inputs!$N$5:$O$5,0))))))</f>
        <v>18.415516725580083</v>
      </c>
      <c r="C20" s="13">
        <f>IF($A20=AuctionYr_South,AuctionPrice_South,IF($A20&lt;AuctionYr_South,C19+(AuctionPrice_South-StartPrice_South)/(AuctionYr_South-StartYr_South),IF($A20=CONE_Yr_South,Fund_CONE_South,IF($A20&lt;CONE_Yr_South,C19+(Fund_CONE_South-AuctionPrice_South)/(CONE_Yr_South-AuctionYr_South),INDEX(Inputs!$N$5:$O$42,MATCH(Forecast!$A20,Inputs!$J$5:$J$42,0),MATCH(Forecast!C$4,Inputs!$N$5:$O$5,0))))))</f>
        <v>12.52616570266815</v>
      </c>
      <c r="E20" s="19">
        <f t="shared" si="3"/>
        <v>220.986200706961</v>
      </c>
      <c r="F20" s="19">
        <f t="shared" si="0"/>
        <v>150.31398843201779</v>
      </c>
      <c r="N20">
        <v>18.943912966942666</v>
      </c>
      <c r="P20">
        <v>2040</v>
      </c>
      <c r="Q20" s="20">
        <f>E20-'[1]Capacity Price'!G25</f>
        <v>0</v>
      </c>
      <c r="R20" s="20">
        <f>F20-'[1]Capacity Price'!F25</f>
        <v>0</v>
      </c>
      <c r="S20">
        <v>2040</v>
      </c>
      <c r="T20" s="29">
        <v>142.19404470184497</v>
      </c>
      <c r="U20" s="29">
        <v>140.52428519289603</v>
      </c>
      <c r="V20" s="29">
        <f t="shared" si="1"/>
        <v>-1.6697595089489425</v>
      </c>
    </row>
    <row r="21" spans="1:22" x14ac:dyDescent="0.2">
      <c r="A21">
        <f t="shared" si="4"/>
        <v>2041</v>
      </c>
      <c r="B21" s="13">
        <f>IF($A21=AuctionYr_North,AuctionPrice_North,IF($A21&lt;AuctionYr_North,B20+(AuctionPrice_North-StartPrice_North)/(AuctionYr_North-StartYr_North),IF($A21=CONE_Yr_North,Fund_CONE_North,IF($A21&lt;CONE_Yr_North,B20+(Fund_CONE_North-AuctionPrice_North)/(CONE_Yr_North-AuctionYr_North),INDEX(Inputs!$N$5:$O$42,MATCH(Forecast!$A21,Inputs!$J$5:$J$42,0),MATCH(Forecast!B$4,Inputs!$N$5:$O$5,0))))))</f>
        <v>18.961596425545917</v>
      </c>
      <c r="C21" s="13">
        <f>IF($A21=AuctionYr_South,AuctionPrice_South,IF($A21&lt;AuctionYr_South,C20+(AuctionPrice_South-StartPrice_South)/(AuctionYr_South-StartYr_South),IF($A21=CONE_Yr_South,Fund_CONE_South,IF($A21&lt;CONE_Yr_South,C20+(Fund_CONE_South-AuctionPrice_South)/(CONE_Yr_South-AuctionYr_South),INDEX(Inputs!$N$5:$O$42,MATCH(Forecast!$A21,Inputs!$J$5:$J$42,0),MATCH(Forecast!C$4,Inputs!$N$5:$O$5,0))))))</f>
        <v>12.740311415501669</v>
      </c>
      <c r="E21" s="19">
        <f t="shared" si="3"/>
        <v>227.53915710655099</v>
      </c>
      <c r="F21" s="19">
        <f t="shared" si="0"/>
        <v>152.88373698602004</v>
      </c>
      <c r="N21">
        <v>19.371458601677002</v>
      </c>
      <c r="P21">
        <v>2041</v>
      </c>
      <c r="Q21" s="20">
        <f>E21-'[1]Capacity Price'!G26</f>
        <v>0</v>
      </c>
      <c r="R21" s="20">
        <f>F21-'[1]Capacity Price'!F26</f>
        <v>0</v>
      </c>
      <c r="S21">
        <v>2041</v>
      </c>
      <c r="T21" s="29">
        <v>154.23285364221397</v>
      </c>
      <c r="U21" s="29">
        <v>152.22914223147524</v>
      </c>
      <c r="V21" s="29">
        <f t="shared" si="1"/>
        <v>-2.003711410738731</v>
      </c>
    </row>
    <row r="22" spans="1:22" x14ac:dyDescent="0.2">
      <c r="A22">
        <f t="shared" si="4"/>
        <v>2042</v>
      </c>
      <c r="B22" s="13">
        <f>IF($A22=AuctionYr_North,AuctionPrice_North,IF($A22&lt;AuctionYr_North,B21+(AuctionPrice_North-StartPrice_North)/(AuctionYr_North-StartYr_North),IF($A22=CONE_Yr_North,Fund_CONE_North,IF($A22&lt;CONE_Yr_North,B21+(Fund_CONE_North-AuctionPrice_North)/(CONE_Yr_North-AuctionYr_North),INDEX(Inputs!$N$5:$O$42,MATCH(Forecast!$A22,Inputs!$J$5:$J$42,0),MATCH(Forecast!B$4,Inputs!$N$5:$O$5,0))))))</f>
        <v>19.507676125511669</v>
      </c>
      <c r="C22" s="13">
        <f>IF($A22=AuctionYr_South,AuctionPrice_South,IF($A22&lt;AuctionYr_South,C21+(AuctionPrice_South-StartPrice_South)/(AuctionYr_South-StartYr_South),IF($A22=CONE_Yr_South,Fund_CONE_South,IF($A22&lt;CONE_Yr_South,C21+(Fund_CONE_South-AuctionPrice_South)/(CONE_Yr_South-AuctionYr_South),INDEX(Inputs!$N$5:$O$42,MATCH(Forecast!$A22,Inputs!$J$5:$J$42,0),MATCH(Forecast!C$4,Inputs!$N$5:$O$5,0))))))</f>
        <v>12.954457128335187</v>
      </c>
      <c r="E22" s="19">
        <f t="shared" si="3"/>
        <v>234.09211350614004</v>
      </c>
      <c r="F22" s="19">
        <f t="shared" si="0"/>
        <v>155.45348554002226</v>
      </c>
      <c r="N22">
        <v>19.799004236411331</v>
      </c>
      <c r="P22">
        <v>2042</v>
      </c>
      <c r="Q22" s="20">
        <f>E22-'[1]Capacity Price'!G27</f>
        <v>0</v>
      </c>
      <c r="R22" s="20">
        <f>F22-'[1]Capacity Price'!F27</f>
        <v>0</v>
      </c>
      <c r="S22">
        <v>2042</v>
      </c>
      <c r="T22" s="29">
        <v>166.27166258258296</v>
      </c>
      <c r="U22" s="29">
        <v>163.93399927005444</v>
      </c>
      <c r="V22" s="29">
        <f t="shared" si="1"/>
        <v>-2.3376633125285196</v>
      </c>
    </row>
    <row r="23" spans="1:22" x14ac:dyDescent="0.2">
      <c r="A23">
        <f t="shared" si="4"/>
        <v>2043</v>
      </c>
      <c r="B23" s="13">
        <f>IF($A23=AuctionYr_North,AuctionPrice_North,IF($A23&lt;AuctionYr_North,B22+(AuctionPrice_North-StartPrice_North)/(AuctionYr_North-StartYr_North),IF($A23=CONE_Yr_North,Fund_CONE_North,IF($A23&lt;CONE_Yr_North,B22+(Fund_CONE_North-AuctionPrice_North)/(CONE_Yr_North-AuctionYr_North),INDEX(Inputs!$N$5:$O$42,MATCH(Forecast!$A23,Inputs!$J$5:$J$42,0),MATCH(Forecast!B$4,Inputs!$N$5:$O$5,0))))))</f>
        <v>20.053755825477499</v>
      </c>
      <c r="C23" s="13">
        <f>IF($A23=AuctionYr_South,AuctionPrice_South,IF($A23&lt;AuctionYr_South,C22+(AuctionPrice_South-StartPrice_South)/(AuctionYr_South-StartYr_South),IF($A23=CONE_Yr_South,Fund_CONE_South,IF($A23&lt;CONE_Yr_South,C22+(Fund_CONE_South-AuctionPrice_South)/(CONE_Yr_South-AuctionYr_South),INDEX(Inputs!$N$5:$O$42,MATCH(Forecast!$A23,Inputs!$J$5:$J$42,0),MATCH(Forecast!C$4,Inputs!$N$5:$O$5,0))))))</f>
        <v>13.168602841168706</v>
      </c>
      <c r="E23" s="19">
        <f t="shared" si="3"/>
        <v>240.64506990573</v>
      </c>
      <c r="F23" s="19">
        <f t="shared" si="0"/>
        <v>158.02323409402447</v>
      </c>
      <c r="N23">
        <v>20.226549871145668</v>
      </c>
      <c r="P23">
        <v>2043</v>
      </c>
      <c r="Q23" s="20">
        <f>E23-'[1]Capacity Price'!G28</f>
        <v>0</v>
      </c>
      <c r="R23" s="20">
        <f>F23-'[1]Capacity Price'!F28</f>
        <v>0</v>
      </c>
      <c r="S23">
        <v>2043</v>
      </c>
      <c r="T23" s="29">
        <v>178.31047152295196</v>
      </c>
      <c r="U23" s="29">
        <v>175.63885630863365</v>
      </c>
      <c r="V23" s="29">
        <f t="shared" si="1"/>
        <v>-2.6716152143183081</v>
      </c>
    </row>
    <row r="24" spans="1:22" x14ac:dyDescent="0.2">
      <c r="A24">
        <f t="shared" si="4"/>
        <v>2044</v>
      </c>
      <c r="B24" s="13">
        <f>IF($A24=AuctionYr_North,AuctionPrice_North,IF($A24&lt;AuctionYr_North,B23+(AuctionPrice_North-StartPrice_North)/(AuctionYr_North-StartYr_North),IF($A24=CONE_Yr_North,Fund_CONE_North,IF($A24&lt;CONE_Yr_North,B23+(Fund_CONE_North-AuctionPrice_North)/(CONE_Yr_North-AuctionYr_North),INDEX(Inputs!$N$5:$O$42,MATCH(Forecast!$A24,Inputs!$J$5:$J$42,0),MATCH(Forecast!B$4,Inputs!$N$5:$O$5,0))))))</f>
        <v>20.599835525443336</v>
      </c>
      <c r="C24" s="13">
        <f>IF($A24=AuctionYr_South,AuctionPrice_South,IF($A24&lt;AuctionYr_South,C23+(AuctionPrice_South-StartPrice_South)/(AuctionYr_South-StartYr_South),IF($A24=CONE_Yr_South,Fund_CONE_South,IF($A24&lt;CONE_Yr_South,C23+(Fund_CONE_South-AuctionPrice_South)/(CONE_Yr_South-AuctionYr_South),INDEX(Inputs!$N$5:$O$42,MATCH(Forecast!$A24,Inputs!$J$5:$J$42,0),MATCH(Forecast!C$4,Inputs!$N$5:$O$5,0))))))</f>
        <v>13.382748554002225</v>
      </c>
      <c r="E24" s="19">
        <f t="shared" si="3"/>
        <v>247.19802630532001</v>
      </c>
      <c r="F24" s="19">
        <f t="shared" si="0"/>
        <v>160.59298264802669</v>
      </c>
      <c r="N24">
        <v>20.654095505880001</v>
      </c>
      <c r="P24">
        <v>2044</v>
      </c>
      <c r="Q24" s="20">
        <f>E24-'[1]Capacity Price'!G29</f>
        <v>0</v>
      </c>
      <c r="R24" s="20">
        <f>F24-'[1]Capacity Price'!F29</f>
        <v>0</v>
      </c>
      <c r="S24">
        <v>2044</v>
      </c>
      <c r="T24" s="29">
        <v>190.34928046332095</v>
      </c>
      <c r="U24" s="29">
        <v>187.34371334721286</v>
      </c>
      <c r="V24" s="29">
        <f t="shared" si="1"/>
        <v>-3.0055671161080966</v>
      </c>
    </row>
    <row r="25" spans="1:22" x14ac:dyDescent="0.2">
      <c r="A25">
        <f t="shared" si="4"/>
        <v>2045</v>
      </c>
      <c r="B25" s="13">
        <f>IF($A25=AuctionYr_North,AuctionPrice_North,IF($A25&lt;AuctionYr_North,B24+(AuctionPrice_North-StartPrice_North)/(AuctionYr_North-StartYr_North),IF($A25=CONE_Yr_North,Fund_CONE_North,IF($A25&lt;CONE_Yr_North,B24+(Fund_CONE_North-AuctionPrice_North)/(CONE_Yr_North-AuctionYr_North),INDEX(Inputs!$N$5:$O$42,MATCH(Forecast!$A25,Inputs!$J$5:$J$42,0),MATCH(Forecast!B$4,Inputs!$N$5:$O$5,0))))))</f>
        <v>21.145915225409084</v>
      </c>
      <c r="C25" s="13">
        <f>IF($A25=AuctionYr_South,AuctionPrice_South,IF($A25&lt;AuctionYr_South,C24+(AuctionPrice_South-StartPrice_South)/(AuctionYr_South-StartYr_South),IF($A25=CONE_Yr_South,Fund_CONE_South,IF($A25&lt;CONE_Yr_South,C24+(Fund_CONE_South-AuctionPrice_South)/(CONE_Yr_South-AuctionYr_South),INDEX(Inputs!$N$5:$O$42,MATCH(Forecast!$A25,Inputs!$J$5:$J$42,0),MATCH(Forecast!C$4,Inputs!$N$5:$O$5,0))))))</f>
        <v>13.596894266835749</v>
      </c>
      <c r="E25" s="19">
        <f t="shared" si="3"/>
        <v>253.75098270490901</v>
      </c>
      <c r="F25" s="19">
        <f t="shared" si="0"/>
        <v>163.16273120202899</v>
      </c>
      <c r="N25">
        <v>21.081641140614249</v>
      </c>
      <c r="P25">
        <v>2045</v>
      </c>
      <c r="Q25" s="20">
        <f>E25-'[1]Capacity Price'!G30</f>
        <v>0</v>
      </c>
      <c r="R25" s="20">
        <f>F25-'[1]Capacity Price'!F30</f>
        <v>0</v>
      </c>
      <c r="S25">
        <v>2045</v>
      </c>
      <c r="T25" s="29">
        <v>202.38808940369</v>
      </c>
      <c r="U25" s="29">
        <v>199.048570385792</v>
      </c>
      <c r="V25" s="29">
        <f t="shared" si="1"/>
        <v>-3.3395190178979988</v>
      </c>
    </row>
    <row r="26" spans="1:22" x14ac:dyDescent="0.2">
      <c r="A26">
        <f t="shared" si="4"/>
        <v>2046</v>
      </c>
      <c r="B26" s="13">
        <f>IF($A26=AuctionYr_North,AuctionPrice_North,IF($A26&lt;AuctionYr_North,B25+(AuctionPrice_North-StartPrice_North)/(AuctionYr_North-StartYr_North),IF($A26=CONE_Yr_North,Fund_CONE_North,IF($A26&lt;CONE_Yr_North,B25+(Fund_CONE_North-AuctionPrice_North)/(CONE_Yr_North-AuctionYr_North),INDEX(Inputs!$N$5:$O$42,MATCH(Forecast!$A26,Inputs!$J$5:$J$42,0),MATCH(Forecast!B$4,Inputs!$N$5:$O$5,0))))))</f>
        <v>21.691994925374917</v>
      </c>
      <c r="C26" s="13">
        <f>IF($A26=AuctionYr_South,AuctionPrice_South,IF($A26&lt;AuctionYr_South,C25+(AuctionPrice_South-StartPrice_South)/(AuctionYr_South-StartYr_South),IF($A26=CONE_Yr_South,Fund_CONE_South,IF($A26&lt;CONE_Yr_South,C25+(Fund_CONE_South-AuctionPrice_South)/(CONE_Yr_South-AuctionYr_South),INDEX(Inputs!$N$5:$O$42,MATCH(Forecast!$A26,Inputs!$J$5:$J$42,0),MATCH(Forecast!C$4,Inputs!$N$5:$O$5,0))))))</f>
        <v>13.855235257905667</v>
      </c>
      <c r="E26" s="19">
        <f t="shared" si="3"/>
        <v>260.30393910449902</v>
      </c>
      <c r="F26" s="19">
        <f t="shared" si="0"/>
        <v>166.262823094868</v>
      </c>
      <c r="N26">
        <v>21.509186775348581</v>
      </c>
      <c r="P26">
        <v>2046</v>
      </c>
      <c r="Q26" s="20">
        <f>E26-'[1]Capacity Price'!G31</f>
        <v>0</v>
      </c>
      <c r="R26" s="20">
        <f>F26-'[1]Capacity Price'!F31</f>
        <v>0</v>
      </c>
      <c r="S26">
        <v>2046</v>
      </c>
      <c r="T26" s="29">
        <v>206.23346310235999</v>
      </c>
      <c r="U26" s="29">
        <v>202.83049322312201</v>
      </c>
      <c r="V26" s="29">
        <f t="shared" si="1"/>
        <v>-3.4029698792379861</v>
      </c>
    </row>
    <row r="27" spans="1:22" x14ac:dyDescent="0.2">
      <c r="A27">
        <f t="shared" si="4"/>
        <v>2047</v>
      </c>
      <c r="B27" s="13">
        <f>IF($A27=AuctionYr_North,AuctionPrice_North,IF($A27&lt;AuctionYr_North,B26+(AuctionPrice_North-StartPrice_North)/(AuctionYr_North-StartYr_North),IF($A27=CONE_Yr_North,Fund_CONE_North,IF($A27&lt;CONE_Yr_North,B26+(Fund_CONE_North-AuctionPrice_North)/(CONE_Yr_North-AuctionYr_North),INDEX(Inputs!$N$5:$O$42,MATCH(Forecast!$A27,Inputs!$J$5:$J$42,0),MATCH(Forecast!B$4,Inputs!$N$5:$O$5,0))))))</f>
        <v>22.238074625340669</v>
      </c>
      <c r="C27" s="13">
        <f>IF($A27=AuctionYr_South,AuctionPrice_South,IF($A27&lt;AuctionYr_South,C26+(AuctionPrice_South-StartPrice_South)/(AuctionYr_South-StartYr_South),IF($A27=CONE_Yr_South,Fund_CONE_South,IF($A27&lt;CONE_Yr_South,C26+(Fund_CONE_South-AuctionPrice_South)/(CONE_Yr_South-AuctionYr_South),INDEX(Inputs!$N$5:$O$42,MATCH(Forecast!$A27,Inputs!$J$5:$J$42,0),MATCH(Forecast!C$4,Inputs!$N$5:$O$5,0))))))</f>
        <v>14.118484727805834</v>
      </c>
      <c r="E27" s="19">
        <f t="shared" si="3"/>
        <v>266.85689550408802</v>
      </c>
      <c r="F27" s="19">
        <f t="shared" si="0"/>
        <v>169.42181673367</v>
      </c>
      <c r="N27">
        <v>21.936732410082914</v>
      </c>
      <c r="P27">
        <v>2047</v>
      </c>
      <c r="Q27" s="20">
        <f>E27-'[1]Capacity Price'!G32</f>
        <v>0</v>
      </c>
      <c r="R27" s="20">
        <f>F27-'[1]Capacity Price'!F32</f>
        <v>0</v>
      </c>
      <c r="S27">
        <v>2047</v>
      </c>
      <c r="T27" s="29">
        <v>210.151898901305</v>
      </c>
      <c r="U27" s="29">
        <v>206.684272594362</v>
      </c>
      <c r="V27" s="29">
        <f t="shared" si="1"/>
        <v>-3.4676263069430036</v>
      </c>
    </row>
    <row r="28" spans="1:22" x14ac:dyDescent="0.2">
      <c r="A28">
        <f t="shared" si="4"/>
        <v>2048</v>
      </c>
      <c r="B28" s="13">
        <f>IF($A28=AuctionYr_North,AuctionPrice_North,IF($A28&lt;AuctionYr_North,B27+(AuctionPrice_North-StartPrice_North)/(AuctionYr_North-StartYr_North),IF($A28=CONE_Yr_North,Fund_CONE_North,IF($A28&lt;CONE_Yr_North,B27+(Fund_CONE_North-AuctionPrice_North)/(CONE_Yr_North-AuctionYr_North),INDEX(Inputs!$N$5:$O$42,MATCH(Forecast!$A28,Inputs!$J$5:$J$42,0),MATCH(Forecast!B$4,Inputs!$N$5:$O$5,0))))))</f>
        <v>22.784154325306499</v>
      </c>
      <c r="C28" s="13">
        <f>IF($A28=AuctionYr_South,AuctionPrice_South,IF($A28&lt;AuctionYr_South,C27+(AuctionPrice_South-StartPrice_South)/(AuctionYr_South-StartYr_South),IF($A28=CONE_Yr_South,Fund_CONE_South,IF($A28&lt;CONE_Yr_South,C27+(Fund_CONE_South-AuctionPrice_South)/(CONE_Yr_South-AuctionYr_South),INDEX(Inputs!$N$5:$O$42,MATCH(Forecast!$A28,Inputs!$J$5:$J$42,0),MATCH(Forecast!C$4,Inputs!$N$5:$O$5,0))))))</f>
        <v>14.386735937634166</v>
      </c>
      <c r="E28" s="19">
        <f t="shared" si="3"/>
        <v>273.40985190367797</v>
      </c>
      <c r="F28" s="19">
        <f t="shared" si="0"/>
        <v>172.64083125161</v>
      </c>
      <c r="N28">
        <v>22.364278044817166</v>
      </c>
      <c r="P28">
        <v>2048</v>
      </c>
      <c r="Q28" s="20">
        <f>E28-'[1]Capacity Price'!G33</f>
        <v>0</v>
      </c>
      <c r="R28" s="20">
        <f>F28-'[1]Capacity Price'!F33</f>
        <v>0</v>
      </c>
      <c r="S28">
        <v>2048</v>
      </c>
      <c r="T28" s="29">
        <v>214.14478498042999</v>
      </c>
      <c r="U28" s="29">
        <v>210.611273773655</v>
      </c>
      <c r="V28" s="29">
        <f t="shared" si="1"/>
        <v>-3.533511206774989</v>
      </c>
    </row>
    <row r="29" spans="1:22" x14ac:dyDescent="0.2">
      <c r="A29">
        <f t="shared" si="4"/>
        <v>2049</v>
      </c>
      <c r="B29" s="13">
        <f>IF($A29=AuctionYr_North,AuctionPrice_North,IF($A29&lt;AuctionYr_North,B28+(AuctionPrice_North-StartPrice_North)/(AuctionYr_North-StartYr_North),IF($A29=CONE_Yr_North,Fund_CONE_North,IF($A29&lt;CONE_Yr_North,B28+(Fund_CONE_North-AuctionPrice_North)/(CONE_Yr_North-AuctionYr_North),INDEX(Inputs!$N$5:$O$42,MATCH(Forecast!$A29,Inputs!$J$5:$J$42,0),MATCH(Forecast!B$4,Inputs!$N$5:$O$5,0))))))</f>
        <v>23.330234025272333</v>
      </c>
      <c r="C29" s="13">
        <f>IF($A29=AuctionYr_South,AuctionPrice_South,IF($A29&lt;AuctionYr_South,C28+(AuctionPrice_South-StartPrice_South)/(AuctionYr_South-StartYr_South),IF($A29=CONE_Yr_South,Fund_CONE_South,IF($A29&lt;CONE_Yr_South,C28+(Fund_CONE_South-AuctionPrice_South)/(CONE_Yr_South-AuctionYr_South),INDEX(Inputs!$N$5:$O$42,MATCH(Forecast!$A29,Inputs!$J$5:$J$42,0),MATCH(Forecast!C$4,Inputs!$N$5:$O$5,0))))))</f>
        <v>14.660083920449251</v>
      </c>
      <c r="E29" s="19">
        <f t="shared" si="3"/>
        <v>279.96280830326799</v>
      </c>
      <c r="F29" s="19">
        <f t="shared" si="0"/>
        <v>175.92100704539101</v>
      </c>
      <c r="N29">
        <v>22.791823679551499</v>
      </c>
      <c r="P29">
        <v>2049</v>
      </c>
      <c r="Q29" s="20">
        <f>E29-'[1]Capacity Price'!G34</f>
        <v>0</v>
      </c>
      <c r="R29" s="20">
        <f>F29-'[1]Capacity Price'!F34</f>
        <v>0</v>
      </c>
      <c r="S29">
        <v>2049</v>
      </c>
      <c r="T29" s="29">
        <v>218.21353589505799</v>
      </c>
      <c r="U29" s="29">
        <v>214.612887975354</v>
      </c>
      <c r="V29" s="29">
        <f t="shared" si="1"/>
        <v>-3.600647919703988</v>
      </c>
    </row>
    <row r="30" spans="1:22" x14ac:dyDescent="0.2">
      <c r="A30">
        <f t="shared" si="4"/>
        <v>2050</v>
      </c>
      <c r="B30" s="13">
        <f>IF($A30=AuctionYr_North,AuctionPrice_North,IF($A30&lt;AuctionYr_North,B29+(AuctionPrice_North-StartPrice_North)/(AuctionYr_North-StartYr_North),IF($A30=CONE_Yr_North,Fund_CONE_North,IF($A30&lt;CONE_Yr_North,B29+(Fund_CONE_North-AuctionPrice_North)/(CONE_Yr_North-AuctionYr_North),INDEX(Inputs!$N$5:$O$42,MATCH(Forecast!$A30,Inputs!$J$5:$J$42,0),MATCH(Forecast!B$4,Inputs!$N$5:$O$5,0))))))</f>
        <v>23.876313725238081</v>
      </c>
      <c r="C30" s="13">
        <f>IF($A30=AuctionYr_South,AuctionPrice_South,IF($A30&lt;AuctionYr_South,C29+(AuctionPrice_South-StartPrice_South)/(AuctionYr_South-StartYr_South),IF($A30=CONE_Yr_South,Fund_CONE_South,IF($A30&lt;CONE_Yr_South,C29+(Fund_CONE_South-AuctionPrice_South)/(CONE_Yr_South-AuctionYr_South),INDEX(Inputs!$N$5:$O$42,MATCH(Forecast!$A30,Inputs!$J$5:$J$42,0),MATCH(Forecast!C$4,Inputs!$N$5:$O$5,0))))))</f>
        <v>14.938625514937749</v>
      </c>
      <c r="E30" s="19">
        <f t="shared" si="3"/>
        <v>286.51576470285698</v>
      </c>
      <c r="F30" s="19">
        <f t="shared" si="0"/>
        <v>179.263506179253</v>
      </c>
      <c r="N30">
        <v>23.219369314285753</v>
      </c>
      <c r="P30">
        <v>2050</v>
      </c>
      <c r="Q30" s="20">
        <f>E30-'[1]Capacity Price'!G35</f>
        <v>0</v>
      </c>
      <c r="R30" s="20">
        <f>F30-'[1]Capacity Price'!F35</f>
        <v>0</v>
      </c>
      <c r="S30">
        <v>2050</v>
      </c>
      <c r="T30" s="29">
        <v>222.35959307706401</v>
      </c>
      <c r="U30" s="29">
        <v>218.69053284688599</v>
      </c>
      <c r="V30" s="29">
        <f t="shared" si="1"/>
        <v>-3.6690602301780189</v>
      </c>
    </row>
    <row r="31" spans="1:22" x14ac:dyDescent="0.2">
      <c r="A31">
        <f t="shared" si="4"/>
        <v>2051</v>
      </c>
      <c r="B31" s="13">
        <f>IF($A31=AuctionYr_North,AuctionPrice_North,IF($A31&lt;AuctionYr_North,B30+(AuctionPrice_North-StartPrice_North)/(AuctionYr_North-StartYr_North),IF($A31=CONE_Yr_North,Fund_CONE_North,IF($A31&lt;CONE_Yr_North,B30+(Fund_CONE_North-AuctionPrice_North)/(CONE_Yr_North-AuctionYr_North),INDEX(Inputs!$N$5:$O$42,MATCH(Forecast!$A31,Inputs!$J$5:$J$42,0),MATCH(Forecast!B$4,Inputs!$N$5:$O$5,0))))))</f>
        <v>24.422393425203918</v>
      </c>
      <c r="C31" s="13">
        <f>IF($A31=AuctionYr_South,AuctionPrice_South,IF($A31&lt;AuctionYr_South,C30+(AuctionPrice_South-StartPrice_South)/(AuctionYr_South-StartYr_South),IF($A31=CONE_Yr_South,Fund_CONE_South,IF($A31&lt;CONE_Yr_South,C30+(Fund_CONE_South-AuctionPrice_South)/(CONE_Yr_South-AuctionYr_South),INDEX(Inputs!$N$5:$O$42,MATCH(Forecast!$A31,Inputs!$J$5:$J$42,0),MATCH(Forecast!C$4,Inputs!$N$5:$O$5,0))))))</f>
        <v>15.222459399721584</v>
      </c>
      <c r="E31" s="19">
        <f t="shared" si="3"/>
        <v>293.068721102447</v>
      </c>
      <c r="F31" s="19">
        <f t="shared" si="0"/>
        <v>182.66951279665901</v>
      </c>
      <c r="N31">
        <v>23.646914949020001</v>
      </c>
      <c r="P31">
        <v>2051</v>
      </c>
      <c r="Q31" s="20">
        <f>E31-'[1]Capacity Price'!G36</f>
        <v>0</v>
      </c>
      <c r="R31" s="20">
        <f>F31-'[1]Capacity Price'!F36</f>
        <v>0</v>
      </c>
      <c r="S31">
        <v>2051</v>
      </c>
      <c r="T31" s="29">
        <v>226.58442534552799</v>
      </c>
      <c r="U31" s="29">
        <v>222.845652970977</v>
      </c>
      <c r="V31" s="29">
        <f t="shared" si="1"/>
        <v>-3.7387723745509902</v>
      </c>
    </row>
    <row r="32" spans="1:22" x14ac:dyDescent="0.2">
      <c r="A32">
        <f t="shared" si="4"/>
        <v>2052</v>
      </c>
      <c r="B32" s="13">
        <f>IF($A32=AuctionYr_North,AuctionPrice_North,IF($A32&lt;AuctionYr_North,B31+(AuctionPrice_North-StartPrice_North)/(AuctionYr_North-StartYr_North),IF($A32=CONE_Yr_North,Fund_CONE_North,IF($A32&lt;CONE_Yr_North,B31+(Fund_CONE_North-AuctionPrice_North)/(CONE_Yr_North-AuctionYr_North),INDEX(Inputs!$N$5:$O$42,MATCH(Forecast!$A32,Inputs!$J$5:$J$42,0),MATCH(Forecast!B$4,Inputs!$N$5:$O$5,0))))))</f>
        <v>24.968473125169666</v>
      </c>
      <c r="C32" s="13">
        <f>IF($A32=AuctionYr_South,AuctionPrice_South,IF($A32&lt;AuctionYr_South,C31+(AuctionPrice_South-StartPrice_South)/(AuctionYr_South-StartYr_South),IF($A32=CONE_Yr_South,Fund_CONE_South,IF($A32&lt;CONE_Yr_South,C31+(Fund_CONE_South-AuctionPrice_South)/(CONE_Yr_South-AuctionYr_South),INDEX(Inputs!$N$5:$O$42,MATCH(Forecast!$A32,Inputs!$J$5:$J$42,0),MATCH(Forecast!C$4,Inputs!$N$5:$O$5,0))))))</f>
        <v>15.511686128316333</v>
      </c>
      <c r="E32" s="19">
        <f t="shared" si="3"/>
        <v>299.62167750203599</v>
      </c>
      <c r="F32" s="19">
        <f t="shared" si="0"/>
        <v>186.14023353979599</v>
      </c>
      <c r="N32">
        <v>24.074460583754334</v>
      </c>
      <c r="P32">
        <v>2052</v>
      </c>
      <c r="Q32" s="20">
        <f>E32-'[1]Capacity Price'!G37</f>
        <v>0</v>
      </c>
      <c r="R32" s="20">
        <f>F32-'[1]Capacity Price'!F37</f>
        <v>0</v>
      </c>
      <c r="S32">
        <v>2052</v>
      </c>
      <c r="T32" s="29">
        <v>230.88952942709301</v>
      </c>
      <c r="U32" s="29">
        <v>227.07972037742499</v>
      </c>
      <c r="V32" s="29">
        <f t="shared" si="1"/>
        <v>-3.8098090496680186</v>
      </c>
    </row>
    <row r="33" spans="1:23" x14ac:dyDescent="0.2">
      <c r="A33">
        <f t="shared" si="4"/>
        <v>2053</v>
      </c>
      <c r="B33" s="13">
        <f>IF($A33=AuctionYr_North,AuctionPrice_North,IF($A33&lt;AuctionYr_North,B32+(AuctionPrice_North-StartPrice_North)/(AuctionYr_North-StartYr_North),IF($A33=CONE_Yr_North,Fund_CONE_North,IF($A33&lt;CONE_Yr_North,B32+(Fund_CONE_North-AuctionPrice_North)/(CONE_Yr_North-AuctionYr_North),INDEX(Inputs!$N$5:$O$42,MATCH(Forecast!$A33,Inputs!$J$5:$J$42,0),MATCH(Forecast!B$4,Inputs!$N$5:$O$5,0))))))</f>
        <v>25.5145528251355</v>
      </c>
      <c r="C33" s="13">
        <f>IF($A33=AuctionYr_South,AuctionPrice_South,IF($A33&lt;AuctionYr_South,C32+(AuctionPrice_South-StartPrice_South)/(AuctionYr_South-StartYr_South),IF($A33=CONE_Yr_South,Fund_CONE_South,IF($A33&lt;CONE_Yr_South,C32+(Fund_CONE_South-AuctionPrice_South)/(CONE_Yr_South-AuctionYr_South),INDEX(Inputs!$N$5:$O$42,MATCH(Forecast!$A33,Inputs!$J$5:$J$42,0),MATCH(Forecast!C$4,Inputs!$N$5:$O$5,0))))))</f>
        <v>15.806408164754332</v>
      </c>
      <c r="E33" s="19">
        <f t="shared" si="3"/>
        <v>306.17463390162601</v>
      </c>
      <c r="F33" s="19">
        <f t="shared" si="0"/>
        <v>189.67689797705199</v>
      </c>
      <c r="N33">
        <v>24.502006218488585</v>
      </c>
      <c r="P33">
        <v>2053</v>
      </c>
      <c r="Q33" s="20">
        <f>E33-'[1]Capacity Price'!G38</f>
        <v>0</v>
      </c>
      <c r="R33" s="20">
        <f>F33-'[1]Capacity Price'!F38</f>
        <v>0</v>
      </c>
      <c r="S33">
        <v>2053</v>
      </c>
      <c r="T33" s="29">
        <v>235.276430486208</v>
      </c>
      <c r="U33" s="29">
        <v>231.39423506459599</v>
      </c>
      <c r="V33" s="29">
        <f t="shared" si="1"/>
        <v>-3.8821954216120105</v>
      </c>
    </row>
    <row r="34" spans="1:23" x14ac:dyDescent="0.2">
      <c r="A34">
        <f t="shared" si="4"/>
        <v>2054</v>
      </c>
      <c r="B34" s="13">
        <f>IF($A34=AuctionYr_North,AuctionPrice_North,IF($A34&lt;AuctionYr_North,B33+(AuctionPrice_North-StartPrice_North)/(AuctionYr_North-StartYr_North),IF($A34=CONE_Yr_North,Fund_CONE_North,IF($A34&lt;CONE_Yr_North,B33+(Fund_CONE_North-AuctionPrice_North)/(CONE_Yr_North-AuctionYr_North),INDEX(Inputs!$N$5:$O$42,MATCH(Forecast!$A34,Inputs!$J$5:$J$42,0),MATCH(Forecast!B$4,Inputs!$N$5:$O$5,0))))))</f>
        <v>26.060632525101251</v>
      </c>
      <c r="C34" s="13">
        <f>IF($A34=AuctionYr_South,AuctionPrice_South,IF($A34&lt;AuctionYr_South,C33+(AuctionPrice_South-StartPrice_South)/(AuctionYr_South-StartYr_South),IF($A34=CONE_Yr_South,Fund_CONE_South,IF($A34&lt;CONE_Yr_South,C33+(Fund_CONE_South-AuctionPrice_South)/(CONE_Yr_South-AuctionYr_South),INDEX(Inputs!$N$5:$O$42,MATCH(Forecast!$A34,Inputs!$J$5:$J$42,0),MATCH(Forecast!C$4,Inputs!$N$5:$O$5,0))))))</f>
        <v>16.106729919884668</v>
      </c>
      <c r="E34" s="19">
        <f t="shared" si="3"/>
        <v>312.727590301215</v>
      </c>
      <c r="F34" s="19">
        <f t="shared" si="0"/>
        <v>193.280759038616</v>
      </c>
      <c r="N34">
        <v>24.929551853222918</v>
      </c>
      <c r="P34">
        <v>2054</v>
      </c>
      <c r="Q34" s="20">
        <f>E34-'[1]Capacity Price'!G39</f>
        <v>0</v>
      </c>
      <c r="R34" s="20">
        <f>F34-'[1]Capacity Price'!F39</f>
        <v>0</v>
      </c>
      <c r="S34">
        <v>2054</v>
      </c>
      <c r="T34" s="29">
        <v>239.746682665446</v>
      </c>
      <c r="U34" s="29">
        <v>235.79072553082301</v>
      </c>
      <c r="V34" s="29">
        <f t="shared" si="1"/>
        <v>-3.9559571346229916</v>
      </c>
    </row>
    <row r="35" spans="1:23" x14ac:dyDescent="0.2">
      <c r="A35">
        <f t="shared" si="4"/>
        <v>2055</v>
      </c>
      <c r="B35" s="13">
        <f>IF($A35=AuctionYr_North,AuctionPrice_North,IF($A35&lt;AuctionYr_North,B34+(AuctionPrice_North-StartPrice_North)/(AuctionYr_North-StartYr_North),IF($A35=CONE_Yr_North,Fund_CONE_North,IF($A35&lt;CONE_Yr_North,B34+(Fund_CONE_North-AuctionPrice_North)/(CONE_Yr_North-AuctionYr_North),INDEX(Inputs!$N$5:$O$42,MATCH(Forecast!$A35,Inputs!$J$5:$J$42,0),MATCH(Forecast!B$4,Inputs!$N$5:$O$5,0))))))</f>
        <v>26.606712225067085</v>
      </c>
      <c r="C35" s="13">
        <f>IF($A35=AuctionYr_South,AuctionPrice_South,IF($A35&lt;AuctionYr_South,C34+(AuctionPrice_South-StartPrice_South)/(AuctionYr_South-StartYr_South),IF($A35=CONE_Yr_South,Fund_CONE_South,IF($A35&lt;CONE_Yr_South,C34+(Fund_CONE_South-AuctionPrice_South)/(CONE_Yr_South-AuctionYr_South),INDEX(Inputs!$N$5:$O$42,MATCH(Forecast!$A35,Inputs!$J$5:$J$42,0),MATCH(Forecast!C$4,Inputs!$N$5:$O$5,0))))))</f>
        <v>16.412757788362416</v>
      </c>
      <c r="E35" s="19">
        <f t="shared" si="3"/>
        <v>319.28054670080502</v>
      </c>
      <c r="F35" s="19">
        <f t="shared" si="0"/>
        <v>196.95309346034901</v>
      </c>
      <c r="N35">
        <v>25.403213338434167</v>
      </c>
      <c r="P35">
        <v>2055</v>
      </c>
      <c r="Q35" s="20">
        <f>E35-'[1]Capacity Price'!G40</f>
        <v>0</v>
      </c>
      <c r="R35" s="20">
        <f>F35-'[1]Capacity Price'!F40</f>
        <v>0</v>
      </c>
      <c r="S35">
        <v>2055</v>
      </c>
      <c r="T35" s="29">
        <v>244.30186963608901</v>
      </c>
      <c r="U35" s="29">
        <v>240.270749315909</v>
      </c>
      <c r="V35" s="29">
        <f t="shared" si="1"/>
        <v>-4.0311203201800083</v>
      </c>
      <c r="W35">
        <f>W36+5.7</f>
        <v>15.3</v>
      </c>
    </row>
    <row r="36" spans="1:23" x14ac:dyDescent="0.2">
      <c r="A36">
        <f t="shared" si="4"/>
        <v>2056</v>
      </c>
      <c r="B36" s="13">
        <f>IF($A36=AuctionYr_North,AuctionPrice_North,IF($A36&lt;AuctionYr_North,B35+(AuctionPrice_North-StartPrice_North)/(AuctionYr_North-StartYr_North),IF($A36=CONE_Yr_North,Fund_CONE_North,IF($A36&lt;CONE_Yr_North,B35+(Fund_CONE_North-AuctionPrice_North)/(CONE_Yr_North-AuctionYr_North),INDEX(Inputs!$N$5:$O$42,MATCH(Forecast!$A36,Inputs!$J$5:$J$42,0),MATCH(Forecast!B$4,Inputs!$N$5:$O$5,0))))))</f>
        <v>27.112239757343332</v>
      </c>
      <c r="C36" s="13">
        <f>IF($A36=AuctionYr_South,AuctionPrice_South,IF($A36&lt;AuctionYr_South,C35+(AuctionPrice_South-StartPrice_South)/(AuctionYr_South-StartYr_South),IF($A36=CONE_Yr_South,Fund_CONE_South,IF($A36&lt;CONE_Yr_South,C35+(Fund_CONE_South-AuctionPrice_South)/(CONE_Yr_South-AuctionYr_South),INDEX(Inputs!$N$5:$O$42,MATCH(Forecast!$A36,Inputs!$J$5:$J$42,0),MATCH(Forecast!C$4,Inputs!$N$5:$O$5,0))))))</f>
        <v>16.724600186341334</v>
      </c>
      <c r="E36" s="19">
        <f t="shared" si="3"/>
        <v>325.34687708811998</v>
      </c>
      <c r="F36" s="19">
        <f t="shared" si="0"/>
        <v>200.69520223609601</v>
      </c>
      <c r="N36">
        <v>25.885874391864416</v>
      </c>
      <c r="P36">
        <v>2056</v>
      </c>
      <c r="Q36" s="20">
        <f>E36-'[1]Capacity Price'!G41</f>
        <v>0</v>
      </c>
      <c r="R36" s="20">
        <f>F36-'[1]Capacity Price'!F41</f>
        <v>0</v>
      </c>
      <c r="S36">
        <v>2056</v>
      </c>
      <c r="T36" s="29">
        <v>248.94360515917501</v>
      </c>
      <c r="U36" s="29">
        <v>244.83589355291099</v>
      </c>
      <c r="V36" s="29">
        <f t="shared" si="1"/>
        <v>-4.1077116062640187</v>
      </c>
      <c r="W36">
        <f>4000*2.4/1000</f>
        <v>9.6</v>
      </c>
    </row>
    <row r="37" spans="1:23" x14ac:dyDescent="0.2">
      <c r="A37">
        <f t="shared" si="4"/>
        <v>2057</v>
      </c>
      <c r="B37" s="13">
        <f>IF($A37=AuctionYr_North,AuctionPrice_North,IF($A37&lt;AuctionYr_North,B36+(AuctionPrice_North-StartPrice_North)/(AuctionYr_North-StartYr_North),IF($A37=CONE_Yr_North,Fund_CONE_North,IF($A37&lt;CONE_Yr_North,B36+(Fund_CONE_North-AuctionPrice_North)/(CONE_Yr_North-AuctionYr_North),INDEX(Inputs!$N$5:$O$42,MATCH(Forecast!$A37,Inputs!$J$5:$J$42,0),MATCH(Forecast!B$4,Inputs!$N$5:$O$5,0))))))</f>
        <v>27.627372312732831</v>
      </c>
      <c r="C37" s="13">
        <f>IF($A37=AuctionYr_South,AuctionPrice_South,IF($A37&lt;AuctionYr_South,C36+(AuctionPrice_South-StartPrice_South)/(AuctionYr_South-StartYr_South),IF($A37=CONE_Yr_South,Fund_CONE_South,IF($A37&lt;CONE_Yr_South,C36+(Fund_CONE_South-AuctionPrice_South)/(CONE_Yr_South-AuctionYr_South),INDEX(Inputs!$N$5:$O$42,MATCH(Forecast!$A37,Inputs!$J$5:$J$42,0),MATCH(Forecast!C$4,Inputs!$N$5:$O$5,0))))))</f>
        <v>17.042367589881831</v>
      </c>
      <c r="E37" s="19">
        <f t="shared" si="3"/>
        <v>331.52846775279397</v>
      </c>
      <c r="F37" s="19">
        <f t="shared" si="0"/>
        <v>204.50841107858196</v>
      </c>
      <c r="N37">
        <v>26.377706005309832</v>
      </c>
      <c r="P37">
        <v>2057</v>
      </c>
      <c r="Q37" s="20">
        <f>E37-'[1]Capacity Price'!G42</f>
        <v>0</v>
      </c>
      <c r="R37" s="20">
        <f>F37-'[1]Capacity Price'!F42</f>
        <v>0</v>
      </c>
      <c r="S37">
        <v>2057</v>
      </c>
      <c r="T37" s="29">
        <v>253.67353365719899</v>
      </c>
      <c r="U37" s="29">
        <v>249.487775530417</v>
      </c>
      <c r="V37" s="29">
        <f t="shared" si="1"/>
        <v>-4.185758126781991</v>
      </c>
    </row>
    <row r="38" spans="1:23" x14ac:dyDescent="0.2">
      <c r="A38">
        <f>A37+1</f>
        <v>2058</v>
      </c>
      <c r="B38" s="13">
        <f>IF($A38=AuctionYr_North,AuctionPrice_North,IF($A38&lt;AuctionYr_North,B37+(AuctionPrice_North-StartPrice_North)/(AuctionYr_North-StartYr_North),IF($A38=CONE_Yr_North,Fund_CONE_North,IF($A38&lt;CONE_Yr_North,B37+(Fund_CONE_North-AuctionPrice_North)/(CONE_Yr_North-AuctionYr_North),INDEX(Inputs!$N$5:$O$42,MATCH(Forecast!$A38,Inputs!$J$5:$J$42,0),MATCH(Forecast!B$4,Inputs!$N$5:$O$5,0))))))</f>
        <v>28.152292386674834</v>
      </c>
      <c r="C38" s="13">
        <f>IF($A38=AuctionYr_South,AuctionPrice_South,IF($A38&lt;AuctionYr_South,C37+(AuctionPrice_South-StartPrice_South)/(AuctionYr_South-StartYr_South),IF($A38=CONE_Yr_South,Fund_CONE_South,IF($A38&lt;CONE_Yr_South,C37+(Fund_CONE_South-AuctionPrice_South)/(CONE_Yr_South-AuctionYr_South),INDEX(Inputs!$N$5:$O$42,MATCH(Forecast!$A38,Inputs!$J$5:$J$42,0),MATCH(Forecast!C$4,Inputs!$N$5:$O$5,0))))))</f>
        <v>17.366172574089585</v>
      </c>
      <c r="E38" s="19">
        <f t="shared" si="3"/>
        <v>337.82750864009802</v>
      </c>
      <c r="F38" s="19">
        <f t="shared" si="0"/>
        <v>208.39407088907501</v>
      </c>
      <c r="N38">
        <v>26.878882419410669</v>
      </c>
      <c r="P38">
        <v>2058</v>
      </c>
      <c r="Q38" s="20">
        <f>E38-'[1]Capacity Price'!G43</f>
        <v>0</v>
      </c>
      <c r="R38" s="20">
        <f>F38-'[1]Capacity Price'!F43</f>
        <v>0</v>
      </c>
      <c r="S38">
        <v>2058</v>
      </c>
      <c r="T38" s="29">
        <v>258.493330796686</v>
      </c>
      <c r="U38" s="29">
        <v>254.22804326549399</v>
      </c>
      <c r="V38" s="29">
        <f t="shared" si="1"/>
        <v>-4.2652875311920013</v>
      </c>
    </row>
    <row r="39" spans="1:23" x14ac:dyDescent="0.2">
      <c r="A39">
        <f t="shared" si="4"/>
        <v>2059</v>
      </c>
      <c r="B39" s="13">
        <f>IF($A39=AuctionYr_North,AuctionPrice_North,IF($A39&lt;AuctionYr_North,B38+(AuctionPrice_North-StartPrice_North)/(AuctionYr_North-StartYr_North),IF($A39=CONE_Yr_North,Fund_CONE_North,IF($A39&lt;CONE_Yr_North,B38+(Fund_CONE_North-AuctionPrice_North)/(CONE_Yr_North-AuctionYr_North),INDEX(Inputs!$N$5:$O$42,MATCH(Forecast!$A39,Inputs!$J$5:$J$42,0),MATCH(Forecast!B$4,Inputs!$N$5:$O$5,0))))))</f>
        <v>28.687185942021586</v>
      </c>
      <c r="C39" s="13">
        <f>IF($A39=AuctionYr_South,AuctionPrice_South,IF($A39&lt;AuctionYr_South,C38+(AuctionPrice_South-StartPrice_South)/(AuctionYr_South-StartYr_South),IF($A39=CONE_Yr_South,Fund_CONE_South,IF($A39&lt;CONE_Yr_South,C38+(Fund_CONE_South-AuctionPrice_South)/(CONE_Yr_South-AuctionYr_South),INDEX(Inputs!$N$5:$O$42,MATCH(Forecast!$A39,Inputs!$J$5:$J$42,0),MATCH(Forecast!C$4,Inputs!$N$5:$O$5,0))))))</f>
        <v>17.696129852997249</v>
      </c>
      <c r="E39" s="19">
        <f t="shared" si="3"/>
        <v>344.24623130425903</v>
      </c>
      <c r="F39" s="19">
        <f t="shared" si="0"/>
        <v>212.353558235967</v>
      </c>
      <c r="N39">
        <v>27.389581185379498</v>
      </c>
      <c r="P39">
        <v>2059</v>
      </c>
      <c r="Q39" s="20">
        <f>E39-'[1]Capacity Price'!G44</f>
        <v>0</v>
      </c>
      <c r="R39" s="20">
        <f>F39-'[1]Capacity Price'!F44</f>
        <v>0</v>
      </c>
      <c r="S39">
        <v>2059</v>
      </c>
      <c r="T39" s="29">
        <v>263.40470408182301</v>
      </c>
      <c r="U39" s="29">
        <v>259.05837608753899</v>
      </c>
      <c r="V39" s="29">
        <f t="shared" si="1"/>
        <v>-4.3463279942840245</v>
      </c>
    </row>
    <row r="40" spans="1:23" x14ac:dyDescent="0.2">
      <c r="A40">
        <f t="shared" si="4"/>
        <v>2060</v>
      </c>
      <c r="B40" s="13">
        <f>IF($A40=AuctionYr_North,AuctionPrice_North,IF($A40&lt;AuctionYr_North,B39+(AuctionPrice_North-StartPrice_North)/(AuctionYr_North-StartYr_North),IF($A40=CONE_Yr_North,Fund_CONE_North,IF($A40&lt;CONE_Yr_North,B39+(Fund_CONE_North-AuctionPrice_North)/(CONE_Yr_North-AuctionYr_North),INDEX(Inputs!$N$5:$O$42,MATCH(Forecast!$A40,Inputs!$J$5:$J$42,0),MATCH(Forecast!B$4,Inputs!$N$5:$O$5,0))))))</f>
        <v>29.23224247492</v>
      </c>
      <c r="C40" s="13">
        <f>IF($A40=AuctionYr_South,AuctionPrice_South,IF($A40&lt;AuctionYr_South,C39+(AuctionPrice_South-StartPrice_South)/(AuctionYr_South-StartYr_South),IF($A40=CONE_Yr_South,Fund_CONE_South,IF($A40&lt;CONE_Yr_South,C39+(Fund_CONE_South-AuctionPrice_South)/(CONE_Yr_South-AuctionYr_South),INDEX(Inputs!$N$5:$O$42,MATCH(Forecast!$A40,Inputs!$J$5:$J$42,0),MATCH(Forecast!C$4,Inputs!$N$5:$O$5,0))))))</f>
        <v>18.032356320204169</v>
      </c>
      <c r="E40" s="19">
        <f t="shared" si="3"/>
        <v>350.78690969904</v>
      </c>
      <c r="F40" s="19">
        <f t="shared" si="0"/>
        <v>216.38827584245001</v>
      </c>
      <c r="P40">
        <v>2060</v>
      </c>
      <c r="Q40" s="20">
        <f>E40-'[1]Capacity Price'!G45</f>
        <v>0</v>
      </c>
      <c r="R40" s="20">
        <f>F40-'[1]Capacity Price'!F45</f>
        <v>0</v>
      </c>
      <c r="S40">
        <v>2060</v>
      </c>
      <c r="T40" s="29">
        <v>268.40939345937801</v>
      </c>
      <c r="U40" s="29">
        <v>263.98048523320199</v>
      </c>
      <c r="V40" s="29">
        <f>U40-T40</f>
        <v>-4.42890822617602</v>
      </c>
    </row>
    <row r="42" spans="1:23" x14ac:dyDescent="0.2">
      <c r="N42" s="10">
        <f>-PMT(WACC,20,NPV(WACC,N9:N29))</f>
        <v>16.1852397106369</v>
      </c>
      <c r="O42" s="10"/>
    </row>
    <row r="43" spans="1:23" x14ac:dyDescent="0.2">
      <c r="A43" t="s">
        <v>83</v>
      </c>
      <c r="B43" s="10">
        <f>-PMT(WACC,20,NPV(WACC,B10:B30))</f>
        <v>15.444487731702139</v>
      </c>
      <c r="C43" s="10">
        <f>-PMT(WACC,20,NPV(WACC,C10:C30))</f>
        <v>11.660293379414743</v>
      </c>
      <c r="E43" s="10">
        <f>B43-N42</f>
        <v>-0.7407519789347603</v>
      </c>
      <c r="N43" s="10">
        <f>N42*12000/8760/0.85</f>
        <v>26.084189702879776</v>
      </c>
      <c r="O43" s="10"/>
    </row>
    <row r="44" spans="1:23" x14ac:dyDescent="0.2">
      <c r="B44" s="10">
        <f>B43*12000/8760/0.85</f>
        <v>24.890391187271778</v>
      </c>
      <c r="E44" s="10">
        <f>B44-N43</f>
        <v>-1.1937985156079982</v>
      </c>
    </row>
  </sheetData>
  <conditionalFormatting sqref="Q5:R4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FE88-22B6-4373-8DB0-14E1947469EE}">
  <sheetPr>
    <tabColor theme="6"/>
  </sheetPr>
  <dimension ref="A2:Y44"/>
  <sheetViews>
    <sheetView topLeftCell="A12" zoomScale="90" zoomScaleNormal="90" workbookViewId="0">
      <selection activeCell="A5" sqref="A5:A40"/>
    </sheetView>
  </sheetViews>
  <sheetFormatPr defaultRowHeight="14.25" x14ac:dyDescent="0.2"/>
  <cols>
    <col min="1" max="1" width="20.875" customWidth="1"/>
    <col min="2" max="2" width="11.375" bestFit="1" customWidth="1"/>
    <col min="3" max="3" width="11.625" bestFit="1" customWidth="1"/>
    <col min="5" max="7" width="12.125" customWidth="1"/>
    <col min="8" max="10" width="7.5" customWidth="1"/>
    <col min="11" max="11" width="9.625" customWidth="1"/>
    <col min="12" max="13" width="7.5" customWidth="1"/>
    <col min="14" max="14" width="8.75" customWidth="1"/>
    <col min="15" max="15" width="7.5" customWidth="1"/>
    <col min="16" max="16" width="8.625" customWidth="1"/>
    <col min="17" max="18" width="7.5" customWidth="1"/>
    <col min="19" max="19" width="9.875" customWidth="1"/>
    <col min="20" max="21" width="7.5" customWidth="1"/>
    <col min="22" max="22" width="21.875" customWidth="1"/>
    <col min="24" max="24" width="11.375" bestFit="1" customWidth="1"/>
    <col min="25" max="25" width="11.625" bestFit="1" customWidth="1"/>
  </cols>
  <sheetData>
    <row r="2" spans="1:25" ht="15" x14ac:dyDescent="0.25">
      <c r="A2" s="1" t="s">
        <v>39</v>
      </c>
      <c r="E2" s="1" t="s">
        <v>57</v>
      </c>
      <c r="H2" s="33" t="s">
        <v>90</v>
      </c>
      <c r="I2" s="33" t="s">
        <v>91</v>
      </c>
      <c r="J2" s="34">
        <f>Inputs!C33</f>
        <v>3.0957523398128153</v>
      </c>
      <c r="K2" s="34">
        <f>Inputs!D33</f>
        <v>0.42546273717457439</v>
      </c>
      <c r="L2" s="34">
        <f>Inputs!E33</f>
        <v>0.15420701827724753</v>
      </c>
      <c r="M2" s="34">
        <f>Inputs!F33</f>
        <v>0.32457790473536308</v>
      </c>
      <c r="O2" s="34">
        <f>Inputs!C34</f>
        <v>3.0957523398128153</v>
      </c>
      <c r="P2" s="34">
        <f>Inputs!D34</f>
        <v>0.34413246940244779</v>
      </c>
      <c r="Q2" s="34">
        <f>Inputs!E34</f>
        <v>0.15420701827724753</v>
      </c>
      <c r="R2" s="34">
        <f>Inputs!F34</f>
        <v>0.32457790473536308</v>
      </c>
    </row>
    <row r="3" spans="1:25" ht="15.75" thickBot="1" x14ac:dyDescent="0.3">
      <c r="B3" t="s">
        <v>38</v>
      </c>
      <c r="C3" t="s">
        <v>38</v>
      </c>
      <c r="E3" t="s">
        <v>37</v>
      </c>
      <c r="F3" t="s">
        <v>37</v>
      </c>
      <c r="J3" s="37" t="s">
        <v>51</v>
      </c>
      <c r="K3" s="37"/>
      <c r="L3" s="37"/>
      <c r="M3" s="37"/>
      <c r="O3" s="38" t="s">
        <v>52</v>
      </c>
      <c r="P3" s="38"/>
      <c r="Q3" s="38"/>
      <c r="R3" s="38"/>
      <c r="V3" s="1" t="s">
        <v>44</v>
      </c>
      <c r="X3" t="s">
        <v>38</v>
      </c>
      <c r="Y3" t="s">
        <v>38</v>
      </c>
    </row>
    <row r="4" spans="1:25" ht="15" x14ac:dyDescent="0.25">
      <c r="B4" s="1" t="s">
        <v>33</v>
      </c>
      <c r="C4" s="1" t="s">
        <v>34</v>
      </c>
      <c r="E4" s="1" t="s">
        <v>33</v>
      </c>
      <c r="F4" s="1" t="s">
        <v>34</v>
      </c>
      <c r="G4" s="1"/>
      <c r="J4" s="30" t="s">
        <v>68</v>
      </c>
      <c r="K4" s="30" t="s">
        <v>65</v>
      </c>
      <c r="L4" s="30" t="s">
        <v>88</v>
      </c>
      <c r="M4" s="30" t="s">
        <v>89</v>
      </c>
      <c r="O4" s="30" t="s">
        <v>68</v>
      </c>
      <c r="P4" s="30" t="s">
        <v>65</v>
      </c>
      <c r="Q4" s="30" t="s">
        <v>88</v>
      </c>
      <c r="R4" s="30" t="s">
        <v>89</v>
      </c>
      <c r="V4" t="s">
        <v>48</v>
      </c>
      <c r="W4" t="s">
        <v>49</v>
      </c>
      <c r="X4" s="1" t="s">
        <v>33</v>
      </c>
      <c r="Y4" s="1" t="s">
        <v>34</v>
      </c>
    </row>
    <row r="5" spans="1:25" x14ac:dyDescent="0.2">
      <c r="A5">
        <f>StartYr_North</f>
        <v>2025</v>
      </c>
      <c r="B5" s="13">
        <f>Forecast!B5</f>
        <v>6.5485562500000007</v>
      </c>
      <c r="C5" s="13">
        <f>Forecast!C5</f>
        <v>6.4154072916666669</v>
      </c>
      <c r="E5" s="19">
        <f>B5*12</f>
        <v>78.582675000000009</v>
      </c>
      <c r="F5" s="19">
        <f t="shared" ref="F5:F40" si="0">C5*12</f>
        <v>76.984887499999999</v>
      </c>
      <c r="G5" s="19"/>
      <c r="I5">
        <f>StartYr_North</f>
        <v>2025</v>
      </c>
      <c r="J5" s="35">
        <f>$B5*J$2</f>
        <v>20.272708333333338</v>
      </c>
      <c r="K5" s="35">
        <f t="shared" ref="K5:M6" si="1">$B5*K$2</f>
        <v>2.7861666666666669</v>
      </c>
      <c r="L5" s="35">
        <f t="shared" si="1"/>
        <v>1.0098333333333336</v>
      </c>
      <c r="M5" s="35">
        <f t="shared" si="1"/>
        <v>2.1255166666666665</v>
      </c>
      <c r="O5" s="35">
        <f>$C5*O$2</f>
        <v>19.860512134029282</v>
      </c>
      <c r="P5" s="35">
        <f t="shared" ref="P5:R8" si="2">$C5*P$2</f>
        <v>2.2077499535037197</v>
      </c>
      <c r="Q5" s="35">
        <f t="shared" si="2"/>
        <v>0.9893008294820288</v>
      </c>
      <c r="R5" s="35">
        <f t="shared" si="2"/>
        <v>2.082299456753137</v>
      </c>
      <c r="V5" t="s">
        <v>45</v>
      </c>
      <c r="W5">
        <v>5</v>
      </c>
      <c r="X5" s="10">
        <f>-PMT(WACC,Seasonal!$W5,NPV(WACC,Seasonal!B6:B10))</f>
        <v>7.3941483653574451</v>
      </c>
      <c r="Y5" s="10">
        <f>-PMT(WACC,Seasonal!$W5,NPV(WACC,Seasonal!C6:C10))</f>
        <v>7.1413439543620969</v>
      </c>
    </row>
    <row r="6" spans="1:25" x14ac:dyDescent="0.2">
      <c r="A6">
        <f>A5+1</f>
        <v>2026</v>
      </c>
      <c r="B6" s="18">
        <f>Forecast!B6</f>
        <v>6.8046784375000007</v>
      </c>
      <c r="C6" s="18">
        <f>Forecast!C6</f>
        <v>6.6352869270833335</v>
      </c>
      <c r="E6" s="19">
        <f t="shared" ref="E6:E40" si="3">B6*12</f>
        <v>81.656141250000005</v>
      </c>
      <c r="F6" s="19">
        <f t="shared" si="0"/>
        <v>79.623443124999994</v>
      </c>
      <c r="G6" s="19"/>
      <c r="I6">
        <f>I5+1</f>
        <v>2026</v>
      </c>
      <c r="J6" s="35">
        <f t="shared" ref="J6" si="4">$B6*J$2</f>
        <v>21.065599194564438</v>
      </c>
      <c r="K6" s="35">
        <f t="shared" si="1"/>
        <v>2.8951371136115562</v>
      </c>
      <c r="L6" s="35">
        <f t="shared" si="1"/>
        <v>1.0493291721823548</v>
      </c>
      <c r="M6" s="35">
        <f t="shared" si="1"/>
        <v>2.2086482696416545</v>
      </c>
      <c r="O6" s="35">
        <f t="shared" ref="O6:O8" si="5">$C6*O$2</f>
        <v>20.541205029847614</v>
      </c>
      <c r="P6" s="35">
        <f t="shared" si="2"/>
        <v>2.2834176754109672</v>
      </c>
      <c r="Q6" s="35">
        <f t="shared" si="2"/>
        <v>1.0232078124395212</v>
      </c>
      <c r="R6" s="35">
        <f t="shared" si="2"/>
        <v>2.1536675281106543</v>
      </c>
      <c r="V6" t="s">
        <v>46</v>
      </c>
      <c r="W6">
        <v>10</v>
      </c>
      <c r="X6" s="10">
        <f>-PMT(WACC,Seasonal!$W6,NPV(WACC,Seasonal!B6:B15))</f>
        <v>9.2552235719423521</v>
      </c>
      <c r="Y6" s="10">
        <f>-PMT(WACC,Seasonal!$W6,NPV(WACC,Seasonal!C6:C15))</f>
        <v>8.4925673460411257</v>
      </c>
    </row>
    <row r="7" spans="1:25" x14ac:dyDescent="0.2">
      <c r="A7">
        <f t="shared" ref="A7:A40" si="6">A6+1</f>
        <v>2027</v>
      </c>
      <c r="B7" s="18">
        <f>Forecast!B7</f>
        <v>7.0608006250000006</v>
      </c>
      <c r="C7" s="18">
        <f>Forecast!C7</f>
        <v>6.8551665625</v>
      </c>
      <c r="E7" s="19">
        <f t="shared" si="3"/>
        <v>84.729607500000014</v>
      </c>
      <c r="F7" s="19">
        <f t="shared" si="0"/>
        <v>82.261998750000004</v>
      </c>
      <c r="G7" s="19"/>
      <c r="I7">
        <f t="shared" ref="I7:I9" si="7">I6+1</f>
        <v>2027</v>
      </c>
      <c r="J7" s="35">
        <f>N7*365/12/1000</f>
        <v>13.391732178703229</v>
      </c>
      <c r="K7" s="35">
        <f>($B7*4-J7)/3</f>
        <v>4.9504901070989247</v>
      </c>
      <c r="L7" s="35">
        <f>($B7*4-J7)/3</f>
        <v>4.9504901070989247</v>
      </c>
      <c r="M7" s="35">
        <f>($B7*4-J7)/3</f>
        <v>4.9504901070989247</v>
      </c>
      <c r="N7" s="36">
        <v>440.27612642311988</v>
      </c>
      <c r="O7" s="35">
        <f t="shared" si="5"/>
        <v>21.221897925665949</v>
      </c>
      <c r="P7" s="35">
        <f t="shared" si="2"/>
        <v>2.3590853973182146</v>
      </c>
      <c r="Q7" s="35">
        <f t="shared" si="2"/>
        <v>1.0571147953970137</v>
      </c>
      <c r="R7" s="35">
        <f t="shared" si="2"/>
        <v>2.2250355994681712</v>
      </c>
      <c r="S7" s="32"/>
      <c r="V7" t="s">
        <v>50</v>
      </c>
      <c r="W7">
        <v>15</v>
      </c>
      <c r="X7" s="10">
        <f>-PMT(WACC,Seasonal!$W7,NPV(WACC,Seasonal!B6:B20))</f>
        <v>10.730204601823008</v>
      </c>
      <c r="Y7" s="10">
        <f>-PMT(WACC,Seasonal!$W7,NPV(WACC,Seasonal!C6:C20))</f>
        <v>9.1775160964527025</v>
      </c>
    </row>
    <row r="8" spans="1:25" x14ac:dyDescent="0.2">
      <c r="A8">
        <f t="shared" si="6"/>
        <v>2028</v>
      </c>
      <c r="B8" s="18">
        <f>Forecast!B8</f>
        <v>7.3169228125000005</v>
      </c>
      <c r="C8" s="18">
        <f>Forecast!C8</f>
        <v>7.0750461979166666</v>
      </c>
      <c r="E8" s="19">
        <f t="shared" si="3"/>
        <v>87.80307375000001</v>
      </c>
      <c r="F8" s="19">
        <f t="shared" si="0"/>
        <v>84.900554374999999</v>
      </c>
      <c r="G8" s="19"/>
      <c r="I8">
        <f t="shared" si="7"/>
        <v>2028</v>
      </c>
      <c r="J8" s="35">
        <f>N8*365/12/1000</f>
        <v>13.249275442668559</v>
      </c>
      <c r="K8" s="35">
        <f>($B8*4-J8)/3</f>
        <v>5.3394719357771478</v>
      </c>
      <c r="L8" s="35">
        <f>($B8*4-J8)/3</f>
        <v>5.3394719357771478</v>
      </c>
      <c r="M8" s="35">
        <f>($B8*4-J8)/3</f>
        <v>5.3394719357771478</v>
      </c>
      <c r="N8" s="36">
        <v>435.59261729321292</v>
      </c>
      <c r="O8" s="35">
        <f t="shared" si="5"/>
        <v>21.902590821484281</v>
      </c>
      <c r="P8" s="35">
        <f t="shared" si="2"/>
        <v>2.4347531192254617</v>
      </c>
      <c r="Q8" s="35">
        <f t="shared" si="2"/>
        <v>1.091021778354506</v>
      </c>
      <c r="R8" s="35">
        <f t="shared" si="2"/>
        <v>2.2964036708256885</v>
      </c>
      <c r="S8" s="32"/>
      <c r="V8" t="s">
        <v>47</v>
      </c>
      <c r="W8">
        <v>20</v>
      </c>
      <c r="X8" s="10">
        <f>-PMT(WACC,Seasonal!$W8,NPV(WACC,Seasonal!B6:B25))</f>
        <v>11.712975400344973</v>
      </c>
      <c r="Y8" s="10">
        <f>-PMT(WACC,Seasonal!$W8,NPV(WACC,Seasonal!C6:C25))</f>
        <v>9.5986028915331421</v>
      </c>
    </row>
    <row r="9" spans="1:25" x14ac:dyDescent="0.2">
      <c r="A9">
        <f t="shared" si="6"/>
        <v>2029</v>
      </c>
      <c r="B9" s="18">
        <f>Forecast!B9</f>
        <v>7.5730450000000005</v>
      </c>
      <c r="C9" s="18">
        <f>Forecast!C9</f>
        <v>7.2949258333333331</v>
      </c>
      <c r="E9" s="19">
        <f t="shared" si="3"/>
        <v>90.876540000000006</v>
      </c>
      <c r="F9" s="19">
        <f t="shared" si="0"/>
        <v>87.539109999999994</v>
      </c>
      <c r="G9" s="19"/>
      <c r="I9">
        <f t="shared" si="7"/>
        <v>2029</v>
      </c>
      <c r="J9" s="35">
        <f>N9*365/12/1000</f>
        <v>28.616412261281045</v>
      </c>
      <c r="K9" s="35"/>
      <c r="L9" s="35"/>
      <c r="M9" s="35"/>
      <c r="N9" s="36">
        <v>940.81355379554122</v>
      </c>
      <c r="O9" s="35"/>
      <c r="P9" s="35"/>
      <c r="Q9" s="35"/>
      <c r="R9" s="35"/>
      <c r="S9" s="32"/>
    </row>
    <row r="10" spans="1:25" x14ac:dyDescent="0.2">
      <c r="A10">
        <f t="shared" si="6"/>
        <v>2030</v>
      </c>
      <c r="B10" s="18">
        <f>Forecast!B10</f>
        <v>8.5975337500000002</v>
      </c>
      <c r="C10" s="18">
        <f>Forecast!C10</f>
        <v>8.1744443750000002</v>
      </c>
      <c r="E10" s="19">
        <f t="shared" si="3"/>
        <v>103.170405</v>
      </c>
      <c r="F10" s="19">
        <f t="shared" si="0"/>
        <v>98.093332500000002</v>
      </c>
      <c r="G10" s="19"/>
    </row>
    <row r="11" spans="1:25" x14ac:dyDescent="0.2">
      <c r="A11">
        <f t="shared" si="6"/>
        <v>2031</v>
      </c>
      <c r="B11" s="18">
        <f>Forecast!B11</f>
        <v>9.8781446875000007</v>
      </c>
      <c r="C11" s="18">
        <f>Forecast!C11</f>
        <v>9.2738425520833339</v>
      </c>
      <c r="E11" s="19">
        <f t="shared" si="3"/>
        <v>118.53773625000001</v>
      </c>
      <c r="F11" s="19">
        <f t="shared" si="0"/>
        <v>111.28611062500001</v>
      </c>
      <c r="G11" s="19"/>
    </row>
    <row r="12" spans="1:25" x14ac:dyDescent="0.2">
      <c r="A12">
        <f t="shared" si="6"/>
        <v>2032</v>
      </c>
      <c r="B12" s="13">
        <f>Forecast!B12</f>
        <v>11.671000000000001</v>
      </c>
      <c r="C12" s="13">
        <f>Forecast!C12</f>
        <v>10.813000000000001</v>
      </c>
      <c r="E12" s="19">
        <f t="shared" si="3"/>
        <v>140.05200000000002</v>
      </c>
      <c r="F12" s="19">
        <f t="shared" si="0"/>
        <v>129.756</v>
      </c>
      <c r="G12" s="19"/>
    </row>
    <row r="13" spans="1:25" x14ac:dyDescent="0.2">
      <c r="A13">
        <f t="shared" si="6"/>
        <v>2033</v>
      </c>
      <c r="B13" s="13">
        <f>Forecast!B13</f>
        <v>12.634347633402884</v>
      </c>
      <c r="C13" s="13">
        <f>Forecast!C13</f>
        <v>11.027145712833519</v>
      </c>
      <c r="E13" s="19">
        <f t="shared" si="3"/>
        <v>151.61217160083461</v>
      </c>
      <c r="F13" s="19">
        <f t="shared" si="0"/>
        <v>132.32574855400225</v>
      </c>
      <c r="G13" s="19"/>
    </row>
    <row r="14" spans="1:25" ht="15" x14ac:dyDescent="0.25">
      <c r="A14">
        <f t="shared" si="6"/>
        <v>2034</v>
      </c>
      <c r="B14" s="13">
        <f>Forecast!B14</f>
        <v>13.597695266805767</v>
      </c>
      <c r="C14" s="13">
        <f>Forecast!C14</f>
        <v>11.241291425667038</v>
      </c>
      <c r="E14" s="19">
        <f t="shared" si="3"/>
        <v>163.17234320166921</v>
      </c>
      <c r="F14" s="19">
        <f t="shared" si="0"/>
        <v>134.89549710800446</v>
      </c>
      <c r="G14" s="19"/>
      <c r="K14" s="1"/>
    </row>
    <row r="15" spans="1:25" x14ac:dyDescent="0.2">
      <c r="A15">
        <f t="shared" si="6"/>
        <v>2035</v>
      </c>
      <c r="B15" s="13">
        <f>Forecast!B15</f>
        <v>14.561042900208649</v>
      </c>
      <c r="C15" s="13">
        <f>Forecast!C15</f>
        <v>11.455437138500557</v>
      </c>
      <c r="E15" s="19">
        <f t="shared" si="3"/>
        <v>174.7325148025038</v>
      </c>
      <c r="F15" s="19">
        <f t="shared" si="0"/>
        <v>137.46524566200668</v>
      </c>
      <c r="G15" s="19"/>
    </row>
    <row r="16" spans="1:25" x14ac:dyDescent="0.2">
      <c r="A16">
        <f t="shared" si="6"/>
        <v>2036</v>
      </c>
      <c r="B16" s="13">
        <f>Forecast!B16</f>
        <v>15.524390533611532</v>
      </c>
      <c r="C16" s="13">
        <f>Forecast!C16</f>
        <v>11.669582851334075</v>
      </c>
      <c r="E16" s="19">
        <f t="shared" si="3"/>
        <v>186.29268640333839</v>
      </c>
      <c r="F16" s="19">
        <f t="shared" si="0"/>
        <v>140.0349942160089</v>
      </c>
      <c r="G16" s="19"/>
    </row>
    <row r="17" spans="1:7" x14ac:dyDescent="0.2">
      <c r="A17">
        <f t="shared" si="6"/>
        <v>2037</v>
      </c>
      <c r="B17" s="13">
        <f>Forecast!B17</f>
        <v>16.487738167014417</v>
      </c>
      <c r="C17" s="13">
        <f>Forecast!C17</f>
        <v>11.883728564167594</v>
      </c>
      <c r="E17" s="19">
        <f t="shared" si="3"/>
        <v>197.85285800417302</v>
      </c>
      <c r="F17" s="19">
        <f t="shared" si="0"/>
        <v>142.60474277001111</v>
      </c>
      <c r="G17" s="19"/>
    </row>
    <row r="18" spans="1:7" x14ac:dyDescent="0.2">
      <c r="A18">
        <f t="shared" si="6"/>
        <v>2038</v>
      </c>
      <c r="B18" s="13">
        <f>Forecast!B18</f>
        <v>17.130331019869669</v>
      </c>
      <c r="C18" s="13">
        <f>Forecast!C18</f>
        <v>12.097874277001113</v>
      </c>
      <c r="E18" s="19">
        <f t="shared" si="3"/>
        <v>205.56397223843601</v>
      </c>
      <c r="F18" s="19">
        <f t="shared" si="0"/>
        <v>145.17449132401336</v>
      </c>
      <c r="G18" s="19"/>
    </row>
    <row r="19" spans="1:7" x14ac:dyDescent="0.2">
      <c r="A19">
        <f t="shared" si="6"/>
        <v>2039</v>
      </c>
      <c r="B19" s="13">
        <f>Forecast!B19</f>
        <v>17.772923872724917</v>
      </c>
      <c r="C19" s="13">
        <f>Forecast!C19</f>
        <v>12.312019989834631</v>
      </c>
      <c r="E19" s="19">
        <f t="shared" si="3"/>
        <v>213.275086472699</v>
      </c>
      <c r="F19" s="19">
        <f t="shared" si="0"/>
        <v>147.74423987801558</v>
      </c>
      <c r="G19" s="19"/>
    </row>
    <row r="20" spans="1:7" x14ac:dyDescent="0.2">
      <c r="A20">
        <f t="shared" si="6"/>
        <v>2040</v>
      </c>
      <c r="B20" s="13">
        <f>Forecast!B20</f>
        <v>18.415516725580083</v>
      </c>
      <c r="C20" s="13">
        <f>Forecast!C20</f>
        <v>12.52616570266815</v>
      </c>
      <c r="E20" s="19">
        <f t="shared" si="3"/>
        <v>220.986200706961</v>
      </c>
      <c r="F20" s="19">
        <f t="shared" si="0"/>
        <v>150.31398843201779</v>
      </c>
      <c r="G20" s="19"/>
    </row>
    <row r="21" spans="1:7" x14ac:dyDescent="0.2">
      <c r="A21">
        <f t="shared" si="6"/>
        <v>2041</v>
      </c>
      <c r="B21" s="13">
        <f>Forecast!B21</f>
        <v>18.961596425545917</v>
      </c>
      <c r="C21" s="13">
        <f>Forecast!C21</f>
        <v>12.740311415501669</v>
      </c>
      <c r="E21" s="19">
        <f t="shared" si="3"/>
        <v>227.53915710655099</v>
      </c>
      <c r="F21" s="19">
        <f t="shared" si="0"/>
        <v>152.88373698602004</v>
      </c>
      <c r="G21" s="19"/>
    </row>
    <row r="22" spans="1:7" x14ac:dyDescent="0.2">
      <c r="A22">
        <f t="shared" si="6"/>
        <v>2042</v>
      </c>
      <c r="B22" s="13">
        <f>Forecast!B22</f>
        <v>19.507676125511669</v>
      </c>
      <c r="C22" s="13">
        <f>Forecast!C22</f>
        <v>12.954457128335187</v>
      </c>
      <c r="E22" s="19">
        <f t="shared" si="3"/>
        <v>234.09211350614004</v>
      </c>
      <c r="F22" s="19">
        <f t="shared" si="0"/>
        <v>155.45348554002226</v>
      </c>
      <c r="G22" s="19"/>
    </row>
    <row r="23" spans="1:7" x14ac:dyDescent="0.2">
      <c r="A23">
        <f t="shared" si="6"/>
        <v>2043</v>
      </c>
      <c r="B23" s="13">
        <f>Forecast!B23</f>
        <v>20.053755825477499</v>
      </c>
      <c r="C23" s="13">
        <f>Forecast!C23</f>
        <v>13.168602841168706</v>
      </c>
      <c r="E23" s="19">
        <f t="shared" si="3"/>
        <v>240.64506990573</v>
      </c>
      <c r="F23" s="19">
        <f t="shared" si="0"/>
        <v>158.02323409402447</v>
      </c>
      <c r="G23" s="19"/>
    </row>
    <row r="24" spans="1:7" x14ac:dyDescent="0.2">
      <c r="A24">
        <f t="shared" si="6"/>
        <v>2044</v>
      </c>
      <c r="B24" s="13">
        <f>Forecast!B24</f>
        <v>20.599835525443336</v>
      </c>
      <c r="C24" s="13">
        <f>Forecast!C24</f>
        <v>13.382748554002225</v>
      </c>
      <c r="E24" s="19">
        <f t="shared" si="3"/>
        <v>247.19802630532001</v>
      </c>
      <c r="F24" s="19">
        <f t="shared" si="0"/>
        <v>160.59298264802669</v>
      </c>
      <c r="G24" s="19"/>
    </row>
    <row r="25" spans="1:7" x14ac:dyDescent="0.2">
      <c r="A25">
        <f t="shared" si="6"/>
        <v>2045</v>
      </c>
      <c r="B25" s="13">
        <f>Forecast!B25</f>
        <v>21.145915225409084</v>
      </c>
      <c r="C25" s="13">
        <f>Forecast!C25</f>
        <v>13.596894266835749</v>
      </c>
      <c r="E25" s="19">
        <f t="shared" si="3"/>
        <v>253.75098270490901</v>
      </c>
      <c r="F25" s="19">
        <f t="shared" si="0"/>
        <v>163.16273120202899</v>
      </c>
      <c r="G25" s="19"/>
    </row>
    <row r="26" spans="1:7" x14ac:dyDescent="0.2">
      <c r="A26">
        <f t="shared" si="6"/>
        <v>2046</v>
      </c>
      <c r="B26" s="13">
        <f>Forecast!B26</f>
        <v>21.691994925374917</v>
      </c>
      <c r="C26" s="13">
        <f>Forecast!C26</f>
        <v>13.855235257905667</v>
      </c>
      <c r="E26" s="19">
        <f t="shared" si="3"/>
        <v>260.30393910449902</v>
      </c>
      <c r="F26" s="19">
        <f t="shared" si="0"/>
        <v>166.262823094868</v>
      </c>
      <c r="G26" s="19"/>
    </row>
    <row r="27" spans="1:7" x14ac:dyDescent="0.2">
      <c r="A27">
        <f t="shared" si="6"/>
        <v>2047</v>
      </c>
      <c r="B27" s="13">
        <f>Forecast!B27</f>
        <v>22.238074625340669</v>
      </c>
      <c r="C27" s="13">
        <f>Forecast!C27</f>
        <v>14.118484727805834</v>
      </c>
      <c r="E27" s="19">
        <f t="shared" si="3"/>
        <v>266.85689550408802</v>
      </c>
      <c r="F27" s="19">
        <f t="shared" si="0"/>
        <v>169.42181673367</v>
      </c>
      <c r="G27" s="19"/>
    </row>
    <row r="28" spans="1:7" x14ac:dyDescent="0.2">
      <c r="A28">
        <f t="shared" si="6"/>
        <v>2048</v>
      </c>
      <c r="B28" s="13">
        <f>Forecast!B28</f>
        <v>22.784154325306499</v>
      </c>
      <c r="C28" s="13">
        <f>Forecast!C28</f>
        <v>14.386735937634166</v>
      </c>
      <c r="E28" s="19">
        <f t="shared" si="3"/>
        <v>273.40985190367797</v>
      </c>
      <c r="F28" s="19">
        <f t="shared" si="0"/>
        <v>172.64083125161</v>
      </c>
      <c r="G28" s="19"/>
    </row>
    <row r="29" spans="1:7" x14ac:dyDescent="0.2">
      <c r="A29">
        <f t="shared" si="6"/>
        <v>2049</v>
      </c>
      <c r="B29" s="13">
        <f>Forecast!B29</f>
        <v>23.330234025272333</v>
      </c>
      <c r="C29" s="13">
        <f>Forecast!C29</f>
        <v>14.660083920449251</v>
      </c>
      <c r="E29" s="19">
        <f t="shared" si="3"/>
        <v>279.96280830326799</v>
      </c>
      <c r="F29" s="19">
        <f t="shared" si="0"/>
        <v>175.92100704539101</v>
      </c>
      <c r="G29" s="19"/>
    </row>
    <row r="30" spans="1:7" x14ac:dyDescent="0.2">
      <c r="A30">
        <f t="shared" si="6"/>
        <v>2050</v>
      </c>
      <c r="B30" s="13">
        <f>Forecast!B30</f>
        <v>23.876313725238081</v>
      </c>
      <c r="C30" s="13">
        <f>Forecast!C30</f>
        <v>14.938625514937749</v>
      </c>
      <c r="E30" s="19">
        <f t="shared" si="3"/>
        <v>286.51576470285698</v>
      </c>
      <c r="F30" s="19">
        <f t="shared" si="0"/>
        <v>179.263506179253</v>
      </c>
      <c r="G30" s="19"/>
    </row>
    <row r="31" spans="1:7" x14ac:dyDescent="0.2">
      <c r="A31">
        <f t="shared" si="6"/>
        <v>2051</v>
      </c>
      <c r="B31" s="13">
        <f>Forecast!B31</f>
        <v>24.422393425203918</v>
      </c>
      <c r="C31" s="13">
        <f>Forecast!C31</f>
        <v>15.222459399721584</v>
      </c>
      <c r="E31" s="19">
        <f t="shared" si="3"/>
        <v>293.068721102447</v>
      </c>
      <c r="F31" s="19">
        <f t="shared" si="0"/>
        <v>182.66951279665901</v>
      </c>
      <c r="G31" s="19"/>
    </row>
    <row r="32" spans="1:7" x14ac:dyDescent="0.2">
      <c r="A32">
        <f t="shared" si="6"/>
        <v>2052</v>
      </c>
      <c r="B32" s="13">
        <f>Forecast!B32</f>
        <v>24.968473125169666</v>
      </c>
      <c r="C32" s="13">
        <f>Forecast!C32</f>
        <v>15.511686128316333</v>
      </c>
      <c r="E32" s="19">
        <f t="shared" si="3"/>
        <v>299.62167750203599</v>
      </c>
      <c r="F32" s="19">
        <f t="shared" si="0"/>
        <v>186.14023353979599</v>
      </c>
      <c r="G32" s="19"/>
    </row>
    <row r="33" spans="1:7" x14ac:dyDescent="0.2">
      <c r="A33">
        <f t="shared" si="6"/>
        <v>2053</v>
      </c>
      <c r="B33" s="13">
        <f>Forecast!B33</f>
        <v>25.5145528251355</v>
      </c>
      <c r="C33" s="13">
        <f>Forecast!C33</f>
        <v>15.806408164754332</v>
      </c>
      <c r="E33" s="19">
        <f t="shared" si="3"/>
        <v>306.17463390162601</v>
      </c>
      <c r="F33" s="19">
        <f t="shared" si="0"/>
        <v>189.67689797705199</v>
      </c>
      <c r="G33" s="19"/>
    </row>
    <row r="34" spans="1:7" x14ac:dyDescent="0.2">
      <c r="A34">
        <f t="shared" si="6"/>
        <v>2054</v>
      </c>
      <c r="B34" s="13">
        <f>Forecast!B34</f>
        <v>26.060632525101251</v>
      </c>
      <c r="C34" s="13">
        <f>Forecast!C34</f>
        <v>16.106729919884668</v>
      </c>
      <c r="E34" s="19">
        <f t="shared" si="3"/>
        <v>312.727590301215</v>
      </c>
      <c r="F34" s="19">
        <f t="shared" si="0"/>
        <v>193.280759038616</v>
      </c>
      <c r="G34" s="19"/>
    </row>
    <row r="35" spans="1:7" x14ac:dyDescent="0.2">
      <c r="A35">
        <f t="shared" si="6"/>
        <v>2055</v>
      </c>
      <c r="B35" s="13">
        <f>Forecast!B35</f>
        <v>26.606712225067085</v>
      </c>
      <c r="C35" s="13">
        <f>Forecast!C35</f>
        <v>16.412757788362416</v>
      </c>
      <c r="E35" s="19">
        <f t="shared" si="3"/>
        <v>319.28054670080502</v>
      </c>
      <c r="F35" s="19">
        <f t="shared" si="0"/>
        <v>196.95309346034901</v>
      </c>
      <c r="G35" s="19"/>
    </row>
    <row r="36" spans="1:7" x14ac:dyDescent="0.2">
      <c r="A36">
        <f t="shared" si="6"/>
        <v>2056</v>
      </c>
      <c r="B36" s="13">
        <f>Forecast!B36</f>
        <v>27.112239757343332</v>
      </c>
      <c r="C36" s="13">
        <f>Forecast!C36</f>
        <v>16.724600186341334</v>
      </c>
      <c r="E36" s="19">
        <f t="shared" si="3"/>
        <v>325.34687708811998</v>
      </c>
      <c r="F36" s="19">
        <f t="shared" si="0"/>
        <v>200.69520223609601</v>
      </c>
      <c r="G36" s="19"/>
    </row>
    <row r="37" spans="1:7" x14ac:dyDescent="0.2">
      <c r="A37">
        <f t="shared" si="6"/>
        <v>2057</v>
      </c>
      <c r="B37" s="13">
        <f>Forecast!B37</f>
        <v>27.627372312732831</v>
      </c>
      <c r="C37" s="13">
        <f>Forecast!C37</f>
        <v>17.042367589881831</v>
      </c>
      <c r="E37" s="19">
        <f t="shared" si="3"/>
        <v>331.52846775279397</v>
      </c>
      <c r="F37" s="19">
        <f t="shared" si="0"/>
        <v>204.50841107858196</v>
      </c>
      <c r="G37" s="19"/>
    </row>
    <row r="38" spans="1:7" x14ac:dyDescent="0.2">
      <c r="A38">
        <f>A37+1</f>
        <v>2058</v>
      </c>
      <c r="B38" s="13">
        <f>Forecast!B38</f>
        <v>28.152292386674834</v>
      </c>
      <c r="C38" s="13">
        <f>Forecast!C38</f>
        <v>17.366172574089585</v>
      </c>
      <c r="E38" s="19">
        <f t="shared" si="3"/>
        <v>337.82750864009802</v>
      </c>
      <c r="F38" s="19">
        <f t="shared" si="0"/>
        <v>208.39407088907501</v>
      </c>
      <c r="G38" s="19"/>
    </row>
    <row r="39" spans="1:7" x14ac:dyDescent="0.2">
      <c r="A39">
        <f t="shared" si="6"/>
        <v>2059</v>
      </c>
      <c r="B39" s="13">
        <f>Forecast!B39</f>
        <v>28.687185942021586</v>
      </c>
      <c r="C39" s="13">
        <f>Forecast!C39</f>
        <v>17.696129852997249</v>
      </c>
      <c r="E39" s="19">
        <f t="shared" si="3"/>
        <v>344.24623130425903</v>
      </c>
      <c r="F39" s="19">
        <f t="shared" si="0"/>
        <v>212.353558235967</v>
      </c>
      <c r="G39" s="19"/>
    </row>
    <row r="40" spans="1:7" x14ac:dyDescent="0.2">
      <c r="A40">
        <f t="shared" si="6"/>
        <v>2060</v>
      </c>
      <c r="B40" s="13">
        <f>Forecast!B40</f>
        <v>29.23224247492</v>
      </c>
      <c r="C40" s="13">
        <f>Forecast!C40</f>
        <v>18.032356320204169</v>
      </c>
      <c r="E40" s="19">
        <f t="shared" si="3"/>
        <v>350.78690969904</v>
      </c>
      <c r="F40" s="19">
        <f t="shared" si="0"/>
        <v>216.38827584245001</v>
      </c>
      <c r="G40" s="19"/>
    </row>
    <row r="43" spans="1:7" x14ac:dyDescent="0.2">
      <c r="A43" t="s">
        <v>83</v>
      </c>
      <c r="B43" s="10">
        <f>-PMT(WACC,20,NPV(WACC,B10:B30))</f>
        <v>15.444487731702139</v>
      </c>
      <c r="C43" s="10">
        <f>-PMT(WACC,20,NPV(WACC,C10:C30))</f>
        <v>11.660293379414743</v>
      </c>
      <c r="E43" s="10" t="e">
        <f>B43-#REF!</f>
        <v>#REF!</v>
      </c>
    </row>
    <row r="44" spans="1:7" x14ac:dyDescent="0.2">
      <c r="B44" s="10">
        <f>B43*12000/8760/0.85</f>
        <v>24.890391187271778</v>
      </c>
      <c r="E44" s="10" t="e">
        <f>B44-#REF!</f>
        <v>#REF!</v>
      </c>
    </row>
  </sheetData>
  <mergeCells count="2">
    <mergeCell ref="J3:M3"/>
    <mergeCell ref="O3:R3"/>
  </mergeCells>
  <conditionalFormatting sqref="N7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C166-B9E4-4901-A1E6-B68A4A5E3506}">
  <dimension ref="A2:N18"/>
  <sheetViews>
    <sheetView workbookViewId="0">
      <selection activeCell="A6" sqref="A6"/>
    </sheetView>
  </sheetViews>
  <sheetFormatPr defaultRowHeight="14.25" x14ac:dyDescent="0.2"/>
  <sheetData>
    <row r="2" spans="1:14" x14ac:dyDescent="0.2">
      <c r="A2" t="s">
        <v>58</v>
      </c>
    </row>
    <row r="3" spans="1:14" x14ac:dyDescent="0.2">
      <c r="B3" t="s">
        <v>51</v>
      </c>
      <c r="C3" t="s">
        <v>52</v>
      </c>
    </row>
    <row r="4" spans="1:14" x14ac:dyDescent="0.2">
      <c r="A4" t="s">
        <v>59</v>
      </c>
      <c r="B4">
        <v>5.44</v>
      </c>
      <c r="C4">
        <v>4.13</v>
      </c>
      <c r="N4">
        <v>5.18</v>
      </c>
    </row>
    <row r="5" spans="1:14" x14ac:dyDescent="0.2">
      <c r="N5">
        <v>5.13</v>
      </c>
    </row>
    <row r="6" spans="1:14" x14ac:dyDescent="0.2">
      <c r="N6">
        <v>5.25</v>
      </c>
    </row>
    <row r="7" spans="1:14" x14ac:dyDescent="0.2">
      <c r="N7">
        <v>5.38</v>
      </c>
    </row>
    <row r="8" spans="1:14" x14ac:dyDescent="0.2">
      <c r="N8">
        <v>5.5</v>
      </c>
    </row>
    <row r="9" spans="1:14" x14ac:dyDescent="0.2">
      <c r="N9">
        <v>5.88</v>
      </c>
    </row>
    <row r="10" spans="1:14" x14ac:dyDescent="0.2">
      <c r="N10">
        <v>5.75</v>
      </c>
    </row>
    <row r="17" spans="1:1" ht="15" x14ac:dyDescent="0.25">
      <c r="A17" s="1" t="s">
        <v>55</v>
      </c>
    </row>
    <row r="18" spans="1:1" x14ac:dyDescent="0.2">
      <c r="A18" t="s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2D5F-B59D-4039-A93A-2589366B64CB}">
  <dimension ref="A3:Q49"/>
  <sheetViews>
    <sheetView workbookViewId="0">
      <selection activeCell="Q13" sqref="Q13"/>
    </sheetView>
  </sheetViews>
  <sheetFormatPr defaultRowHeight="14.25" x14ac:dyDescent="0.2"/>
  <cols>
    <col min="1" max="1" width="21.375" bestFit="1" customWidth="1"/>
    <col min="2" max="2" width="10.875" customWidth="1"/>
    <col min="3" max="3" width="10.75" bestFit="1" customWidth="1"/>
    <col min="8" max="9" width="10.375" bestFit="1" customWidth="1"/>
    <col min="10" max="10" width="10.75" bestFit="1" customWidth="1"/>
    <col min="13" max="13" width="13.125" customWidth="1"/>
    <col min="14" max="14" width="13" customWidth="1"/>
    <col min="15" max="15" width="11.75" bestFit="1" customWidth="1"/>
    <col min="16" max="16" width="9.25" bestFit="1" customWidth="1"/>
  </cols>
  <sheetData>
    <row r="3" spans="1:17" ht="15" x14ac:dyDescent="0.25">
      <c r="A3" s="26" t="s">
        <v>69</v>
      </c>
      <c r="B3" s="6"/>
      <c r="C3" s="6"/>
      <c r="D3" s="6"/>
      <c r="E3" s="6"/>
      <c r="F3" s="6"/>
      <c r="G3" s="6"/>
      <c r="H3" s="6"/>
      <c r="I3" s="6"/>
      <c r="J3" s="6"/>
      <c r="M3" t="s">
        <v>70</v>
      </c>
    </row>
    <row r="4" spans="1:17" x14ac:dyDescent="0.2">
      <c r="B4" t="s">
        <v>57</v>
      </c>
      <c r="N4" t="s">
        <v>57</v>
      </c>
    </row>
    <row r="5" spans="1:17" x14ac:dyDescent="0.2">
      <c r="B5" t="s">
        <v>37</v>
      </c>
      <c r="C5" t="s">
        <v>37</v>
      </c>
      <c r="E5" t="s">
        <v>62</v>
      </c>
      <c r="H5" t="s">
        <v>33</v>
      </c>
      <c r="J5" t="s">
        <v>34</v>
      </c>
      <c r="N5" t="s">
        <v>37</v>
      </c>
      <c r="O5" t="s">
        <v>37</v>
      </c>
      <c r="P5" t="s">
        <v>85</v>
      </c>
    </row>
    <row r="6" spans="1:17" x14ac:dyDescent="0.2">
      <c r="B6" t="s">
        <v>33</v>
      </c>
      <c r="C6" t="s">
        <v>34</v>
      </c>
      <c r="E6" t="s">
        <v>60</v>
      </c>
      <c r="F6" t="s">
        <v>61</v>
      </c>
      <c r="H6" t="s">
        <v>60</v>
      </c>
      <c r="I6" t="s">
        <v>61</v>
      </c>
      <c r="J6" t="s">
        <v>60</v>
      </c>
      <c r="N6" t="s">
        <v>33</v>
      </c>
      <c r="O6" t="s">
        <v>34</v>
      </c>
      <c r="P6" t="s">
        <v>33</v>
      </c>
      <c r="Q6" t="s">
        <v>34</v>
      </c>
    </row>
    <row r="7" spans="1:17" x14ac:dyDescent="0.2">
      <c r="A7">
        <f>StartYr_North</f>
        <v>2025</v>
      </c>
      <c r="B7" s="20">
        <f>Forecast!E5</f>
        <v>78.582675000000009</v>
      </c>
      <c r="C7" s="20">
        <f>Forecast!F5</f>
        <v>76.984887499999999</v>
      </c>
      <c r="E7" s="21">
        <v>0.32800000000000001</v>
      </c>
      <c r="F7" s="21">
        <v>0.26450000000000001</v>
      </c>
      <c r="H7" s="20">
        <f>$B7*E7</f>
        <v>25.775117400000003</v>
      </c>
      <c r="I7" s="20">
        <f t="shared" ref="I7:I42" si="0">$B7*F7</f>
        <v>20.785117537500003</v>
      </c>
      <c r="J7" s="20">
        <f>C7*E7</f>
        <v>25.2510431</v>
      </c>
      <c r="M7">
        <v>2025</v>
      </c>
      <c r="N7" s="20">
        <v>50.1875</v>
      </c>
      <c r="O7" s="20">
        <v>18.25</v>
      </c>
      <c r="P7" s="20">
        <f>B7-N7</f>
        <v>28.395175000000009</v>
      </c>
      <c r="Q7" s="20">
        <f t="shared" ref="Q7:Q44" si="1">C7-O7</f>
        <v>58.734887499999999</v>
      </c>
    </row>
    <row r="8" spans="1:17" x14ac:dyDescent="0.2">
      <c r="A8">
        <f>A7+1</f>
        <v>2026</v>
      </c>
      <c r="B8" s="20">
        <f>Forecast!E6</f>
        <v>81.656141250000005</v>
      </c>
      <c r="C8" s="20">
        <f>Forecast!F6</f>
        <v>79.623443124999994</v>
      </c>
      <c r="E8" s="21">
        <v>0.29744012721281887</v>
      </c>
      <c r="F8" s="21">
        <v>0.26169621779146535</v>
      </c>
      <c r="H8" s="20">
        <f t="shared" ref="H8:H42" si="2">$B8*E8</f>
        <v>24.287813041107906</v>
      </c>
      <c r="I8" s="20">
        <f t="shared" si="0"/>
        <v>21.369103324570659</v>
      </c>
      <c r="J8" s="20">
        <f t="shared" ref="J8:J42" si="3">C8*E8</f>
        <v>23.683207052222645</v>
      </c>
      <c r="M8">
        <v>2026</v>
      </c>
      <c r="N8" s="20">
        <v>54.680725000000002</v>
      </c>
      <c r="O8" s="20">
        <v>22.743225000000002</v>
      </c>
      <c r="P8" s="20">
        <f t="shared" ref="P8:P44" si="4">B8-N8</f>
        <v>26.975416250000002</v>
      </c>
      <c r="Q8" s="20">
        <f t="shared" si="1"/>
        <v>56.880218124999992</v>
      </c>
    </row>
    <row r="9" spans="1:17" x14ac:dyDescent="0.2">
      <c r="A9">
        <f t="shared" ref="A9:A42" si="5">A8+1</f>
        <v>2027</v>
      </c>
      <c r="B9" s="20">
        <f>Forecast!E7</f>
        <v>84.729607500000014</v>
      </c>
      <c r="C9" s="20">
        <f>Forecast!F7</f>
        <v>82.261998750000004</v>
      </c>
      <c r="E9" s="21">
        <v>0.26993897762998353</v>
      </c>
      <c r="F9" s="21">
        <v>0.25881984808344161</v>
      </c>
      <c r="H9" s="20">
        <f t="shared" si="2"/>
        <v>22.87182362353979</v>
      </c>
      <c r="I9" s="20">
        <f t="shared" si="0"/>
        <v>21.92970414131964</v>
      </c>
      <c r="J9" s="20">
        <f t="shared" si="3"/>
        <v>22.205719840373984</v>
      </c>
      <c r="M9">
        <v>2027</v>
      </c>
      <c r="N9" s="20">
        <v>59.173950000000005</v>
      </c>
      <c r="O9" s="20">
        <v>27.236449999999998</v>
      </c>
      <c r="P9" s="20">
        <f t="shared" si="4"/>
        <v>25.555657500000009</v>
      </c>
      <c r="Q9" s="20">
        <f t="shared" si="1"/>
        <v>55.025548750000006</v>
      </c>
    </row>
    <row r="10" spans="1:17" x14ac:dyDescent="0.2">
      <c r="A10">
        <f t="shared" si="5"/>
        <v>2028</v>
      </c>
      <c r="B10" s="20">
        <f>Forecast!E8</f>
        <v>87.80307375000001</v>
      </c>
      <c r="C10" s="20">
        <f>Forecast!F8</f>
        <v>84.900554374999999</v>
      </c>
      <c r="E10" s="21">
        <v>9.6682478210053838E-2</v>
      </c>
      <c r="F10" s="21">
        <v>0.13951992571394456</v>
      </c>
      <c r="H10" s="20">
        <f t="shared" si="2"/>
        <v>8.4890187646101261</v>
      </c>
      <c r="I10" s="20">
        <f t="shared" si="0"/>
        <v>12.250278327055996</v>
      </c>
      <c r="J10" s="20">
        <f t="shared" si="3"/>
        <v>8.2083959983824286</v>
      </c>
      <c r="M10">
        <v>2028</v>
      </c>
      <c r="N10" s="20">
        <v>77.146850000000001</v>
      </c>
      <c r="O10" s="20">
        <v>45.209350000000001</v>
      </c>
      <c r="P10" s="20">
        <f t="shared" si="4"/>
        <v>10.656223750000009</v>
      </c>
      <c r="Q10" s="20">
        <f t="shared" si="1"/>
        <v>39.691204374999998</v>
      </c>
    </row>
    <row r="11" spans="1:17" x14ac:dyDescent="0.2">
      <c r="A11">
        <f t="shared" si="5"/>
        <v>2029</v>
      </c>
      <c r="B11" s="20">
        <f>Forecast!E9</f>
        <v>90.876540000000006</v>
      </c>
      <c r="C11" s="20">
        <f>Forecast!F9</f>
        <v>87.539109999999994</v>
      </c>
      <c r="E11" s="21">
        <v>9.4152883981747426E-2</v>
      </c>
      <c r="F11" s="21">
        <v>0.13903985142788911</v>
      </c>
      <c r="H11" s="20">
        <f t="shared" si="2"/>
        <v>8.5562883272826298</v>
      </c>
      <c r="I11" s="20">
        <f t="shared" si="0"/>
        <v>12.635460619880622</v>
      </c>
      <c r="J11" s="20">
        <f t="shared" si="3"/>
        <v>8.2420596676954254</v>
      </c>
      <c r="M11">
        <v>2029</v>
      </c>
      <c r="N11" s="20">
        <v>99.612975000000006</v>
      </c>
      <c r="O11" s="20">
        <v>67.675475000000006</v>
      </c>
      <c r="P11" s="20">
        <f t="shared" si="4"/>
        <v>-8.7364350000000002</v>
      </c>
      <c r="Q11" s="20">
        <f t="shared" si="1"/>
        <v>19.863634999999988</v>
      </c>
    </row>
    <row r="12" spans="1:17" x14ac:dyDescent="0.2">
      <c r="A12">
        <f t="shared" si="5"/>
        <v>2030</v>
      </c>
      <c r="B12" s="20">
        <f>Forecast!E10</f>
        <v>103.170405</v>
      </c>
      <c r="C12" s="20">
        <f>Forecast!F10</f>
        <v>98.093332500000002</v>
      </c>
      <c r="E12" s="21">
        <v>9.1623289753441001E-2</v>
      </c>
      <c r="F12" s="21">
        <v>0.13855977714183365</v>
      </c>
      <c r="H12" s="20">
        <f t="shared" si="2"/>
        <v>9.4528119112948588</v>
      </c>
      <c r="I12" s="20">
        <f t="shared" si="0"/>
        <v>14.295268324432721</v>
      </c>
      <c r="J12" s="20">
        <f t="shared" si="3"/>
        <v>8.9876338265281319</v>
      </c>
      <c r="M12">
        <v>2030</v>
      </c>
      <c r="N12" s="20">
        <v>140.05200000000002</v>
      </c>
      <c r="O12" s="20">
        <v>129.756</v>
      </c>
      <c r="P12" s="20">
        <f t="shared" si="4"/>
        <v>-36.881595000000019</v>
      </c>
      <c r="Q12" s="20">
        <f t="shared" si="1"/>
        <v>-31.662667499999998</v>
      </c>
    </row>
    <row r="13" spans="1:17" x14ac:dyDescent="0.2">
      <c r="A13">
        <f t="shared" si="5"/>
        <v>2031</v>
      </c>
      <c r="B13" s="20">
        <f>Forecast!E11</f>
        <v>118.53773625000001</v>
      </c>
      <c r="C13" s="20">
        <f>Forecast!F11</f>
        <v>111.28611062500001</v>
      </c>
      <c r="E13" s="21">
        <v>8.9093695525134589E-2</v>
      </c>
      <c r="F13" s="21">
        <v>0.1380797028557782</v>
      </c>
      <c r="H13" s="20">
        <f t="shared" si="2"/>
        <v>10.560964981696211</v>
      </c>
      <c r="I13" s="20">
        <f t="shared" si="0"/>
        <v>16.367655398596607</v>
      </c>
      <c r="J13" s="20">
        <f t="shared" si="3"/>
        <v>9.9148908562001967</v>
      </c>
      <c r="M13">
        <v>2031</v>
      </c>
      <c r="N13" s="20">
        <v>148.00959895348441</v>
      </c>
      <c r="O13" s="20">
        <v>138.606622426987</v>
      </c>
      <c r="P13" s="20">
        <f t="shared" si="4"/>
        <v>-29.471862703484405</v>
      </c>
      <c r="Q13" s="20">
        <f t="shared" si="1"/>
        <v>-27.320511801986996</v>
      </c>
    </row>
    <row r="14" spans="1:17" x14ac:dyDescent="0.2">
      <c r="A14">
        <f t="shared" si="5"/>
        <v>2032</v>
      </c>
      <c r="B14" s="20">
        <f>Forecast!E12</f>
        <v>140.05200000000002</v>
      </c>
      <c r="C14" s="20">
        <f>Forecast!F12</f>
        <v>129.756</v>
      </c>
      <c r="E14" s="21">
        <v>8.6564101296828178E-2</v>
      </c>
      <c r="F14" s="21">
        <v>0.13759962856972274</v>
      </c>
      <c r="H14" s="20">
        <f t="shared" si="2"/>
        <v>12.123475514823381</v>
      </c>
      <c r="I14" s="20">
        <f t="shared" si="0"/>
        <v>19.271103180446811</v>
      </c>
      <c r="J14" s="20">
        <f t="shared" si="3"/>
        <v>11.232211527871238</v>
      </c>
      <c r="M14">
        <v>2032</v>
      </c>
      <c r="N14" s="20">
        <v>155.96719790696881</v>
      </c>
      <c r="O14" s="20">
        <v>147.457244853974</v>
      </c>
      <c r="P14" s="20">
        <f t="shared" si="4"/>
        <v>-15.915197906968785</v>
      </c>
      <c r="Q14" s="20">
        <f t="shared" si="1"/>
        <v>-17.701244853974003</v>
      </c>
    </row>
    <row r="15" spans="1:17" x14ac:dyDescent="0.2">
      <c r="A15">
        <f t="shared" si="5"/>
        <v>2033</v>
      </c>
      <c r="B15" s="20">
        <f>Forecast!E13</f>
        <v>151.61217160083461</v>
      </c>
      <c r="C15" s="20">
        <f>Forecast!F13</f>
        <v>132.32574855400225</v>
      </c>
      <c r="E15" s="21">
        <v>8.4034507068521766E-2</v>
      </c>
      <c r="F15" s="21">
        <v>0.13711955428366729</v>
      </c>
      <c r="H15" s="20">
        <f t="shared" si="2"/>
        <v>12.740654106064271</v>
      </c>
      <c r="I15" s="20">
        <f t="shared" si="0"/>
        <v>20.78899339388532</v>
      </c>
      <c r="J15" s="20">
        <f t="shared" si="3"/>
        <v>11.119929052208736</v>
      </c>
      <c r="M15">
        <v>2033</v>
      </c>
      <c r="N15" s="20">
        <v>163.9247968604532</v>
      </c>
      <c r="O15" s="20">
        <v>156.30786728096098</v>
      </c>
      <c r="P15" s="20">
        <f t="shared" si="4"/>
        <v>-12.312625259618585</v>
      </c>
      <c r="Q15" s="20">
        <f t="shared" si="1"/>
        <v>-23.982118726958731</v>
      </c>
    </row>
    <row r="16" spans="1:17" x14ac:dyDescent="0.2">
      <c r="A16">
        <f t="shared" si="5"/>
        <v>2034</v>
      </c>
      <c r="B16" s="20">
        <f>Forecast!E14</f>
        <v>163.17234320166921</v>
      </c>
      <c r="C16" s="20">
        <f>Forecast!F14</f>
        <v>134.89549710800446</v>
      </c>
      <c r="E16" s="21">
        <v>8.1504912840215354E-2</v>
      </c>
      <c r="F16" s="21">
        <v>0.13663947999761183</v>
      </c>
      <c r="H16" s="20">
        <f t="shared" si="2"/>
        <v>13.299347610585755</v>
      </c>
      <c r="I16" s="20">
        <f t="shared" si="0"/>
        <v>22.295784125067932</v>
      </c>
      <c r="J16" s="20">
        <f t="shared" si="3"/>
        <v>10.994645734325426</v>
      </c>
      <c r="M16">
        <v>2034</v>
      </c>
      <c r="N16" s="20">
        <v>171.88239581393759</v>
      </c>
      <c r="O16" s="20">
        <v>165.15848970794798</v>
      </c>
      <c r="P16" s="20">
        <f t="shared" si="4"/>
        <v>-8.7100526122683846</v>
      </c>
      <c r="Q16" s="20">
        <f t="shared" si="1"/>
        <v>-30.262992599943516</v>
      </c>
    </row>
    <row r="17" spans="1:17" x14ac:dyDescent="0.2">
      <c r="A17">
        <f t="shared" si="5"/>
        <v>2035</v>
      </c>
      <c r="B17" s="20">
        <f>Forecast!E15</f>
        <v>174.7325148025038</v>
      </c>
      <c r="C17" s="20">
        <f>Forecast!F15</f>
        <v>137.46524566200668</v>
      </c>
      <c r="E17" s="21">
        <v>7.8975318611908915E-2</v>
      </c>
      <c r="F17" s="21">
        <v>0.13615940571155638</v>
      </c>
      <c r="H17" s="20">
        <f t="shared" si="2"/>
        <v>13.799556028387828</v>
      </c>
      <c r="I17" s="20">
        <f t="shared" si="0"/>
        <v>23.791475373994647</v>
      </c>
      <c r="J17" s="20">
        <f t="shared" si="3"/>
        <v>10.856361574221307</v>
      </c>
      <c r="M17">
        <v>2035</v>
      </c>
      <c r="N17" s="20">
        <v>179.83999476742201</v>
      </c>
      <c r="O17" s="20">
        <v>174.00911213493501</v>
      </c>
      <c r="P17" s="20">
        <f t="shared" si="4"/>
        <v>-5.1074799649182125</v>
      </c>
      <c r="Q17" s="20">
        <f t="shared" si="1"/>
        <v>-36.543866472928329</v>
      </c>
    </row>
    <row r="18" spans="1:17" x14ac:dyDescent="0.2">
      <c r="A18">
        <f t="shared" si="5"/>
        <v>2036</v>
      </c>
      <c r="B18" s="20">
        <f>Forecast!E16</f>
        <v>186.29268640333839</v>
      </c>
      <c r="C18" s="20">
        <f>Forecast!F16</f>
        <v>140.0349942160089</v>
      </c>
      <c r="E18" s="21">
        <v>7.6445724383602504E-2</v>
      </c>
      <c r="F18" s="21">
        <v>0.13567933142550093</v>
      </c>
      <c r="H18" s="20">
        <f t="shared" si="2"/>
        <v>14.2412793594705</v>
      </c>
      <c r="I18" s="20">
        <f t="shared" si="0"/>
        <v>25.276067140665461</v>
      </c>
      <c r="J18" s="20">
        <f t="shared" si="3"/>
        <v>10.705076571896386</v>
      </c>
      <c r="M18">
        <v>2036</v>
      </c>
      <c r="N18" s="20">
        <v>188.311277411237</v>
      </c>
      <c r="O18" s="20">
        <v>187.82554512687901</v>
      </c>
      <c r="P18" s="20">
        <f t="shared" si="4"/>
        <v>-2.0185910078986069</v>
      </c>
      <c r="Q18" s="20">
        <f t="shared" si="1"/>
        <v>-47.79055091087011</v>
      </c>
    </row>
    <row r="19" spans="1:17" x14ac:dyDescent="0.2">
      <c r="A19">
        <f t="shared" si="5"/>
        <v>2037</v>
      </c>
      <c r="B19" s="20">
        <f>Forecast!E17</f>
        <v>197.85285800417302</v>
      </c>
      <c r="C19" s="20">
        <f>Forecast!F17</f>
        <v>142.60474277001111</v>
      </c>
      <c r="E19" s="21">
        <v>7.3916130155296092E-2</v>
      </c>
      <c r="F19" s="21">
        <v>0.13519925713944547</v>
      </c>
      <c r="H19" s="20">
        <f t="shared" si="2"/>
        <v>14.62451760383377</v>
      </c>
      <c r="I19" s="20">
        <f t="shared" si="0"/>
        <v>26.749559425080381</v>
      </c>
      <c r="J19" s="20">
        <f t="shared" si="3"/>
        <v>10.540790727350661</v>
      </c>
      <c r="M19">
        <v>2037</v>
      </c>
      <c r="N19" s="20">
        <v>196.78256005505301</v>
      </c>
      <c r="O19" s="20">
        <v>201.64197811882201</v>
      </c>
      <c r="P19" s="20">
        <f t="shared" si="4"/>
        <v>1.070297949120004</v>
      </c>
      <c r="Q19" s="20">
        <f t="shared" si="1"/>
        <v>-59.037235348810896</v>
      </c>
    </row>
    <row r="20" spans="1:17" x14ac:dyDescent="0.2">
      <c r="A20">
        <f t="shared" si="5"/>
        <v>2038</v>
      </c>
      <c r="B20" s="20">
        <f>Forecast!E18</f>
        <v>205.56397223843601</v>
      </c>
      <c r="C20" s="20">
        <f>Forecast!F18</f>
        <v>145.17449132401336</v>
      </c>
      <c r="E20" s="21">
        <v>7.138653592698968E-2</v>
      </c>
      <c r="F20" s="21">
        <v>0.13471918285339002</v>
      </c>
      <c r="H20" s="20">
        <f t="shared" si="2"/>
        <v>14.674499889493822</v>
      </c>
      <c r="I20" s="20">
        <f t="shared" si="0"/>
        <v>27.693410364059051</v>
      </c>
      <c r="J20" s="20">
        <f t="shared" si="3"/>
        <v>10.363504040584131</v>
      </c>
      <c r="M20">
        <v>2038</v>
      </c>
      <c r="N20" s="20">
        <v>205.25384269886899</v>
      </c>
      <c r="O20" s="20">
        <v>215.45841111076601</v>
      </c>
      <c r="P20" s="20">
        <f t="shared" si="4"/>
        <v>0.31012953956701494</v>
      </c>
      <c r="Q20" s="20">
        <f t="shared" si="1"/>
        <v>-70.283919786752648</v>
      </c>
    </row>
    <row r="21" spans="1:17" x14ac:dyDescent="0.2">
      <c r="A21">
        <f t="shared" si="5"/>
        <v>2039</v>
      </c>
      <c r="B21" s="20">
        <f>Forecast!E19</f>
        <v>213.275086472699</v>
      </c>
      <c r="C21" s="20">
        <f>Forecast!F19</f>
        <v>147.74423987801558</v>
      </c>
      <c r="E21" s="21">
        <v>6.8856941698683255E-2</v>
      </c>
      <c r="F21" s="21">
        <v>0.13423910856733456</v>
      </c>
      <c r="H21" s="20">
        <f t="shared" si="2"/>
        <v>14.685470195032265</v>
      </c>
      <c r="I21" s="20">
        <f t="shared" si="0"/>
        <v>28.629857487716308</v>
      </c>
      <c r="J21" s="20">
        <f t="shared" si="3"/>
        <v>10.173216511596792</v>
      </c>
      <c r="M21">
        <v>2039</v>
      </c>
      <c r="N21" s="20">
        <v>213.72512534268498</v>
      </c>
      <c r="O21" s="20">
        <v>229.27484410270901</v>
      </c>
      <c r="P21" s="20">
        <f t="shared" si="4"/>
        <v>-0.45003886998597409</v>
      </c>
      <c r="Q21" s="20">
        <f t="shared" si="1"/>
        <v>-81.530604224693434</v>
      </c>
    </row>
    <row r="22" spans="1:17" x14ac:dyDescent="0.2">
      <c r="A22">
        <f t="shared" si="5"/>
        <v>2040</v>
      </c>
      <c r="B22" s="20">
        <f>Forecast!E20</f>
        <v>220.986200706961</v>
      </c>
      <c r="C22" s="20">
        <f>Forecast!F20</f>
        <v>150.31398843201779</v>
      </c>
      <c r="E22" s="21">
        <v>6.6327347470376843E-2</v>
      </c>
      <c r="F22" s="21">
        <v>0.13375903428127911</v>
      </c>
      <c r="H22" s="20">
        <f t="shared" si="2"/>
        <v>14.65742852044904</v>
      </c>
      <c r="I22" s="20">
        <f t="shared" si="0"/>
        <v>29.558900796052022</v>
      </c>
      <c r="J22" s="20">
        <f t="shared" si="3"/>
        <v>9.9699281403886495</v>
      </c>
      <c r="M22">
        <v>2040</v>
      </c>
      <c r="N22" s="20">
        <v>222.19640798650096</v>
      </c>
      <c r="O22" s="20">
        <v>243.09127709465301</v>
      </c>
      <c r="P22" s="20">
        <f t="shared" si="4"/>
        <v>-1.2102072795399579</v>
      </c>
      <c r="Q22" s="20">
        <f t="shared" si="1"/>
        <v>-92.777288662635215</v>
      </c>
    </row>
    <row r="23" spans="1:17" x14ac:dyDescent="0.2">
      <c r="A23">
        <f t="shared" si="5"/>
        <v>2041</v>
      </c>
      <c r="B23" s="20">
        <f>Forecast!E21</f>
        <v>227.53915710655099</v>
      </c>
      <c r="C23" s="20">
        <f>Forecast!F21</f>
        <v>152.88373698602004</v>
      </c>
      <c r="E23" s="21">
        <v>6.3797753242070418E-2</v>
      </c>
      <c r="F23" s="21">
        <v>0.13255884856614053</v>
      </c>
      <c r="H23" s="20">
        <f t="shared" si="2"/>
        <v>14.516486997992434</v>
      </c>
      <c r="I23" s="20">
        <f t="shared" si="0"/>
        <v>30.162328669754551</v>
      </c>
      <c r="J23" s="20">
        <f t="shared" si="3"/>
        <v>9.7536389269597006</v>
      </c>
      <c r="M23">
        <v>2041</v>
      </c>
      <c r="N23" s="20">
        <v>227.326955603312</v>
      </c>
      <c r="O23" s="20">
        <v>243.37531559476702</v>
      </c>
      <c r="P23" s="20">
        <f t="shared" si="4"/>
        <v>0.21220150323898679</v>
      </c>
      <c r="Q23" s="20">
        <f t="shared" si="1"/>
        <v>-90.491578608746977</v>
      </c>
    </row>
    <row r="24" spans="1:17" x14ac:dyDescent="0.2">
      <c r="A24">
        <f t="shared" si="5"/>
        <v>2042</v>
      </c>
      <c r="B24" s="20">
        <f>Forecast!E22</f>
        <v>234.09211350614004</v>
      </c>
      <c r="C24" s="20">
        <f>Forecast!F22</f>
        <v>155.45348554002226</v>
      </c>
      <c r="E24" s="21">
        <v>6.1268159013763999E-2</v>
      </c>
      <c r="F24" s="21">
        <v>0.13255884856614053</v>
      </c>
      <c r="H24" s="20">
        <f t="shared" si="2"/>
        <v>14.342392834162279</v>
      </c>
      <c r="I24" s="20">
        <f t="shared" si="0"/>
        <v>31.030981024788197</v>
      </c>
      <c r="J24" s="20">
        <f t="shared" si="3"/>
        <v>9.5243488713099467</v>
      </c>
      <c r="M24">
        <v>2042</v>
      </c>
      <c r="N24" s="20">
        <v>232.45750322012401</v>
      </c>
      <c r="O24" s="20">
        <v>243.659354094881</v>
      </c>
      <c r="P24" s="20">
        <f t="shared" si="4"/>
        <v>1.6346102860160272</v>
      </c>
      <c r="Q24" s="20">
        <f t="shared" si="1"/>
        <v>-88.205868554858739</v>
      </c>
    </row>
    <row r="25" spans="1:17" x14ac:dyDescent="0.2">
      <c r="A25">
        <f t="shared" si="5"/>
        <v>2043</v>
      </c>
      <c r="B25" s="20">
        <f>Forecast!E23</f>
        <v>240.64506990573</v>
      </c>
      <c r="C25" s="20">
        <f>Forecast!F23</f>
        <v>158.02323409402447</v>
      </c>
      <c r="E25" s="21">
        <v>5.8738564785457588E-2</v>
      </c>
      <c r="F25" s="21">
        <v>0.13255884856614053</v>
      </c>
      <c r="H25" s="20">
        <f t="shared" si="2"/>
        <v>14.135146028958692</v>
      </c>
      <c r="I25" s="20">
        <f t="shared" si="0"/>
        <v>31.899633379821964</v>
      </c>
      <c r="J25" s="20">
        <f t="shared" si="3"/>
        <v>9.282057973439386</v>
      </c>
      <c r="M25">
        <v>2043</v>
      </c>
      <c r="N25" s="20">
        <v>237.58805083693596</v>
      </c>
      <c r="O25" s="20">
        <v>243.94339259499498</v>
      </c>
      <c r="P25" s="20">
        <f t="shared" si="4"/>
        <v>3.057019068794034</v>
      </c>
      <c r="Q25" s="20">
        <f t="shared" si="1"/>
        <v>-85.920158500970501</v>
      </c>
    </row>
    <row r="26" spans="1:17" x14ac:dyDescent="0.2">
      <c r="A26">
        <f t="shared" si="5"/>
        <v>2044</v>
      </c>
      <c r="B26" s="20">
        <f>Forecast!E24</f>
        <v>247.19802630532001</v>
      </c>
      <c r="C26" s="20">
        <f>Forecast!F24</f>
        <v>160.59298264802669</v>
      </c>
      <c r="E26" s="21">
        <v>5.3679376328844793E-2</v>
      </c>
      <c r="F26" s="21">
        <v>0.13255884856614053</v>
      </c>
      <c r="H26" s="20">
        <f t="shared" si="2"/>
        <v>13.269435881790947</v>
      </c>
      <c r="I26" s="20">
        <f t="shared" si="0"/>
        <v>32.768285734855738</v>
      </c>
      <c r="J26" s="20">
        <f t="shared" si="3"/>
        <v>8.6205311513350669</v>
      </c>
      <c r="M26">
        <v>2044</v>
      </c>
      <c r="N26" s="20">
        <v>242.71859845374803</v>
      </c>
      <c r="O26" s="20">
        <v>244.22743109510901</v>
      </c>
      <c r="P26" s="20">
        <f t="shared" si="4"/>
        <v>4.4794278515719839</v>
      </c>
      <c r="Q26" s="20">
        <f t="shared" si="1"/>
        <v>-83.63444844708232</v>
      </c>
    </row>
    <row r="27" spans="1:17" x14ac:dyDescent="0.2">
      <c r="A27">
        <f t="shared" si="5"/>
        <v>2045</v>
      </c>
      <c r="B27" s="20">
        <f>Forecast!E25</f>
        <v>253.75098270490901</v>
      </c>
      <c r="C27" s="20">
        <f>Forecast!F25</f>
        <v>163.16273120202899</v>
      </c>
      <c r="E27" s="21">
        <v>5.1149782100538374E-2</v>
      </c>
      <c r="F27" s="21">
        <v>0.13255884856614053</v>
      </c>
      <c r="H27" s="20">
        <f t="shared" si="2"/>
        <v>12.979307473153577</v>
      </c>
      <c r="I27" s="20">
        <f t="shared" si="0"/>
        <v>33.636938089889377</v>
      </c>
      <c r="J27" s="20">
        <f t="shared" si="3"/>
        <v>8.3457381479124972</v>
      </c>
      <c r="M27">
        <v>2045</v>
      </c>
      <c r="N27" s="20">
        <v>247.84914607056001</v>
      </c>
      <c r="O27" s="20">
        <v>244.51146959522299</v>
      </c>
      <c r="P27" s="20">
        <f t="shared" si="4"/>
        <v>5.9018366343489959</v>
      </c>
      <c r="Q27" s="20">
        <f t="shared" si="1"/>
        <v>-81.348738393193997</v>
      </c>
    </row>
    <row r="28" spans="1:17" x14ac:dyDescent="0.2">
      <c r="A28">
        <f t="shared" si="5"/>
        <v>2046</v>
      </c>
      <c r="B28" s="20">
        <f>Forecast!E26</f>
        <v>260.30393910449902</v>
      </c>
      <c r="C28" s="20">
        <f>Forecast!F26</f>
        <v>166.262823094868</v>
      </c>
      <c r="E28" s="21">
        <v>5.1149782100538374E-2</v>
      </c>
      <c r="F28" s="21">
        <v>0.13255884856614053</v>
      </c>
      <c r="H28" s="20">
        <f t="shared" si="2"/>
        <v>13.314489765106934</v>
      </c>
      <c r="I28" s="20">
        <f t="shared" si="0"/>
        <v>34.505590444923151</v>
      </c>
      <c r="J28" s="20">
        <f t="shared" si="3"/>
        <v>8.5043071727228572</v>
      </c>
      <c r="M28">
        <v>2046</v>
      </c>
      <c r="N28" s="20">
        <v>252.97969368737097</v>
      </c>
      <c r="O28" s="20">
        <v>244.79550809533703</v>
      </c>
      <c r="P28" s="20">
        <f t="shared" si="4"/>
        <v>7.3242454171280542</v>
      </c>
      <c r="Q28" s="20">
        <f t="shared" si="1"/>
        <v>-78.53268500046903</v>
      </c>
    </row>
    <row r="29" spans="1:17" x14ac:dyDescent="0.2">
      <c r="A29">
        <f t="shared" si="5"/>
        <v>2047</v>
      </c>
      <c r="B29" s="20">
        <f>Forecast!E27</f>
        <v>266.85689550408802</v>
      </c>
      <c r="C29" s="20">
        <f>Forecast!F27</f>
        <v>169.42181673367</v>
      </c>
      <c r="E29" s="21">
        <v>4.8620187872231956E-2</v>
      </c>
      <c r="F29" s="21">
        <v>0.13255884856614053</v>
      </c>
      <c r="H29" s="20">
        <f t="shared" si="2"/>
        <v>12.97463239440933</v>
      </c>
      <c r="I29" s="20">
        <f t="shared" si="0"/>
        <v>35.374242799956789</v>
      </c>
      <c r="J29" s="20">
        <f t="shared" si="3"/>
        <v>8.2373205592458874</v>
      </c>
      <c r="M29">
        <v>2047</v>
      </c>
      <c r="N29" s="20">
        <v>258.11024130418298</v>
      </c>
      <c r="O29" s="20">
        <v>245.07954659545101</v>
      </c>
      <c r="P29" s="20">
        <f t="shared" si="4"/>
        <v>8.7466541999050378</v>
      </c>
      <c r="Q29" s="20">
        <f t="shared" si="1"/>
        <v>-75.657729861781007</v>
      </c>
    </row>
    <row r="30" spans="1:17" x14ac:dyDescent="0.2">
      <c r="A30">
        <f t="shared" si="5"/>
        <v>2048</v>
      </c>
      <c r="B30" s="20">
        <f>Forecast!E28</f>
        <v>273.40985190367797</v>
      </c>
      <c r="C30" s="20">
        <f>Forecast!F28</f>
        <v>172.64083125161</v>
      </c>
      <c r="E30" s="21">
        <v>4.9592591629676601E-2</v>
      </c>
      <c r="F30" s="21">
        <v>0.13388443705180192</v>
      </c>
      <c r="H30" s="20">
        <f t="shared" si="2"/>
        <v>13.55910313298946</v>
      </c>
      <c r="I30" s="20">
        <f t="shared" si="0"/>
        <v>36.605324106540458</v>
      </c>
      <c r="J30" s="20">
        <f t="shared" si="3"/>
        <v>8.5617062428690041</v>
      </c>
      <c r="M30">
        <v>2048</v>
      </c>
      <c r="N30" s="20">
        <v>263.24078892099499</v>
      </c>
      <c r="O30" s="20">
        <v>245.36358509556499</v>
      </c>
      <c r="P30" s="20">
        <f t="shared" si="4"/>
        <v>10.169062982682988</v>
      </c>
      <c r="Q30" s="20">
        <f t="shared" si="1"/>
        <v>-72.72275384395499</v>
      </c>
    </row>
    <row r="31" spans="1:17" x14ac:dyDescent="0.2">
      <c r="A31">
        <f t="shared" si="5"/>
        <v>2049</v>
      </c>
      <c r="B31" s="20">
        <f>Forecast!E29</f>
        <v>279.96280830326799</v>
      </c>
      <c r="C31" s="20">
        <f>Forecast!F29</f>
        <v>175.92100704539101</v>
      </c>
      <c r="E31" s="21">
        <v>5.0584443462270132E-2</v>
      </c>
      <c r="F31" s="21">
        <v>0.13522328142231993</v>
      </c>
      <c r="H31" s="20">
        <f t="shared" si="2"/>
        <v>14.16176284815503</v>
      </c>
      <c r="I31" s="20">
        <f t="shared" si="0"/>
        <v>37.857489614975812</v>
      </c>
      <c r="J31" s="20">
        <f t="shared" si="3"/>
        <v>8.898866234713207</v>
      </c>
      <c r="M31">
        <v>2049</v>
      </c>
      <c r="N31" s="20">
        <v>268.37133653780597</v>
      </c>
      <c r="O31" s="20">
        <v>245.64762359567899</v>
      </c>
      <c r="P31" s="20">
        <f t="shared" si="4"/>
        <v>11.591471765462018</v>
      </c>
      <c r="Q31" s="20">
        <f t="shared" si="1"/>
        <v>-69.726616550287986</v>
      </c>
    </row>
    <row r="32" spans="1:17" x14ac:dyDescent="0.2">
      <c r="A32">
        <f t="shared" si="5"/>
        <v>2050</v>
      </c>
      <c r="B32" s="20">
        <f>Forecast!E30</f>
        <v>286.51576470285698</v>
      </c>
      <c r="C32" s="20">
        <f>Forecast!F30</f>
        <v>179.263506179253</v>
      </c>
      <c r="E32" s="21">
        <v>5.1596132331515533E-2</v>
      </c>
      <c r="F32" s="21">
        <v>0.13657551423654313</v>
      </c>
      <c r="H32" s="20">
        <f t="shared" si="2"/>
        <v>14.783105310673976</v>
      </c>
      <c r="I32" s="20">
        <f t="shared" si="0"/>
        <v>39.131037901169087</v>
      </c>
      <c r="J32" s="20">
        <f t="shared" si="3"/>
        <v>9.2493035870361897</v>
      </c>
      <c r="M32">
        <v>2050</v>
      </c>
      <c r="N32" s="20">
        <v>273.50188415461798</v>
      </c>
      <c r="O32" s="20">
        <v>245.931662095793</v>
      </c>
      <c r="P32" s="20">
        <f t="shared" si="4"/>
        <v>13.013880548239001</v>
      </c>
      <c r="Q32" s="20">
        <f t="shared" si="1"/>
        <v>-66.668155916540002</v>
      </c>
    </row>
    <row r="33" spans="1:17" x14ac:dyDescent="0.2">
      <c r="A33">
        <f t="shared" si="5"/>
        <v>2051</v>
      </c>
      <c r="B33" s="20">
        <f>Forecast!E31</f>
        <v>293.068721102447</v>
      </c>
      <c r="C33" s="20">
        <f>Forecast!F31</f>
        <v>182.66951279665901</v>
      </c>
      <c r="E33" s="21">
        <v>5.262805497814585E-2</v>
      </c>
      <c r="F33" s="21">
        <v>0.13794126937890858</v>
      </c>
      <c r="H33" s="20">
        <f t="shared" si="2"/>
        <v>15.423636766554473</v>
      </c>
      <c r="I33" s="20">
        <f t="shared" si="0"/>
        <v>40.426271404124869</v>
      </c>
      <c r="J33" s="20">
        <f t="shared" si="3"/>
        <v>9.6135411622936875</v>
      </c>
      <c r="M33">
        <v>2051</v>
      </c>
      <c r="N33" s="20">
        <v>278.63243177142903</v>
      </c>
      <c r="O33" s="20">
        <v>246.21570059590601</v>
      </c>
      <c r="P33" s="20">
        <f t="shared" si="4"/>
        <v>14.436289331017974</v>
      </c>
      <c r="Q33" s="20">
        <f t="shared" si="1"/>
        <v>-63.546187799247008</v>
      </c>
    </row>
    <row r="34" spans="1:17" x14ac:dyDescent="0.2">
      <c r="A34">
        <f t="shared" si="5"/>
        <v>2052</v>
      </c>
      <c r="B34" s="20">
        <f>Forecast!E32</f>
        <v>299.62167750203599</v>
      </c>
      <c r="C34" s="20">
        <f>Forecast!F32</f>
        <v>186.14023353979599</v>
      </c>
      <c r="E34" s="21">
        <v>5.3680616077708757E-2</v>
      </c>
      <c r="F34" s="21">
        <v>0.13932068207269765</v>
      </c>
      <c r="H34" s="20">
        <f t="shared" si="2"/>
        <v>16.083876238545862</v>
      </c>
      <c r="I34" s="20">
        <f t="shared" si="0"/>
        <v>41.743496473349502</v>
      </c>
      <c r="J34" s="20">
        <f t="shared" si="3"/>
        <v>9.9921224132648359</v>
      </c>
      <c r="M34">
        <v>2052</v>
      </c>
      <c r="N34" s="20">
        <v>283.76297938824001</v>
      </c>
      <c r="O34" s="20">
        <v>246.49973909601999</v>
      </c>
      <c r="P34" s="20">
        <f t="shared" si="4"/>
        <v>15.858698113795981</v>
      </c>
      <c r="Q34" s="20">
        <f t="shared" si="1"/>
        <v>-60.359505556224008</v>
      </c>
    </row>
    <row r="35" spans="1:17" x14ac:dyDescent="0.2">
      <c r="A35">
        <f t="shared" si="5"/>
        <v>2053</v>
      </c>
      <c r="B35" s="20">
        <f>Forecast!E33</f>
        <v>306.17463390162601</v>
      </c>
      <c r="C35" s="20">
        <f>Forecast!F33</f>
        <v>189.67689797705199</v>
      </c>
      <c r="E35" s="21">
        <v>5.475422839926293E-2</v>
      </c>
      <c r="F35" s="21">
        <v>0.14071388889342462</v>
      </c>
      <c r="H35" s="20">
        <f t="shared" si="2"/>
        <v>16.76435583471034</v>
      </c>
      <c r="I35" s="20">
        <f t="shared" si="0"/>
        <v>43.083023416818364</v>
      </c>
      <c r="J35" s="20">
        <f t="shared" si="3"/>
        <v>10.385612193899197</v>
      </c>
      <c r="M35">
        <v>2053</v>
      </c>
      <c r="N35" s="20">
        <v>288.89352700505202</v>
      </c>
      <c r="O35" s="20">
        <v>246.78377759613397</v>
      </c>
      <c r="P35" s="20">
        <f t="shared" si="4"/>
        <v>17.281106896573988</v>
      </c>
      <c r="Q35" s="20">
        <f t="shared" si="1"/>
        <v>-57.10687961908198</v>
      </c>
    </row>
    <row r="36" spans="1:17" x14ac:dyDescent="0.2">
      <c r="A36">
        <f t="shared" si="5"/>
        <v>2054</v>
      </c>
      <c r="B36" s="20">
        <f>Forecast!E34</f>
        <v>312.727590301215</v>
      </c>
      <c r="C36" s="20">
        <f>Forecast!F34</f>
        <v>193.280759038616</v>
      </c>
      <c r="E36" s="21">
        <v>5.5849312967248196E-2</v>
      </c>
      <c r="F36" s="21">
        <v>0.14212102778235888</v>
      </c>
      <c r="H36" s="20">
        <f t="shared" si="2"/>
        <v>17.465621064225928</v>
      </c>
      <c r="I36" s="20">
        <f t="shared" si="0"/>
        <v>44.445166549509125</v>
      </c>
      <c r="J36" s="20">
        <f t="shared" si="3"/>
        <v>10.794597602094951</v>
      </c>
      <c r="M36">
        <v>2054</v>
      </c>
      <c r="N36" s="20">
        <v>294.02407462186301</v>
      </c>
      <c r="O36" s="20">
        <v>247.06781609624699</v>
      </c>
      <c r="P36" s="20">
        <f t="shared" si="4"/>
        <v>18.703515679351995</v>
      </c>
      <c r="Q36" s="20">
        <f t="shared" si="1"/>
        <v>-53.787057057630989</v>
      </c>
    </row>
    <row r="37" spans="1:17" x14ac:dyDescent="0.2">
      <c r="A37">
        <f t="shared" si="5"/>
        <v>2055</v>
      </c>
      <c r="B37" s="20">
        <f>Forecast!E35</f>
        <v>319.28054670080502</v>
      </c>
      <c r="C37" s="20">
        <f>Forecast!F35</f>
        <v>196.95309346034901</v>
      </c>
      <c r="E37" s="21">
        <v>5.6966299226593173E-2</v>
      </c>
      <c r="F37" s="21">
        <v>0.14354223806018246</v>
      </c>
      <c r="H37" s="20">
        <f t="shared" si="2"/>
        <v>18.188231160588316</v>
      </c>
      <c r="I37" s="20">
        <f t="shared" si="0"/>
        <v>45.830244242512158</v>
      </c>
      <c r="J37" s="20">
        <f t="shared" si="3"/>
        <v>11.219688855665412</v>
      </c>
      <c r="M37">
        <v>2055</v>
      </c>
      <c r="N37" s="20">
        <v>299.15462223867502</v>
      </c>
      <c r="O37" s="20">
        <v>247.35185459636099</v>
      </c>
      <c r="P37" s="20">
        <f t="shared" si="4"/>
        <v>20.125924462130001</v>
      </c>
      <c r="Q37" s="20">
        <f t="shared" si="1"/>
        <v>-50.398761136011984</v>
      </c>
    </row>
    <row r="38" spans="1:17" x14ac:dyDescent="0.2">
      <c r="A38">
        <f t="shared" si="5"/>
        <v>2056</v>
      </c>
      <c r="B38" s="20">
        <f>Forecast!E36</f>
        <v>325.34687708811998</v>
      </c>
      <c r="C38" s="20">
        <f>Forecast!F36</f>
        <v>200.69520223609601</v>
      </c>
      <c r="E38" s="22">
        <f>E37</f>
        <v>5.6966299226593173E-2</v>
      </c>
      <c r="F38" s="22">
        <f t="shared" ref="F38:F42" si="6">F37</f>
        <v>0.14354223806018246</v>
      </c>
      <c r="H38" s="20">
        <f t="shared" si="2"/>
        <v>18.533807552639473</v>
      </c>
      <c r="I38" s="20">
        <f t="shared" si="0"/>
        <v>46.701018883119843</v>
      </c>
      <c r="J38" s="20">
        <f t="shared" si="3"/>
        <v>11.432862943923077</v>
      </c>
      <c r="M38">
        <v>2056</v>
      </c>
      <c r="N38" s="20">
        <v>304.83856006120999</v>
      </c>
      <c r="O38" s="20">
        <v>252.051539833692</v>
      </c>
      <c r="P38" s="20">
        <f t="shared" si="4"/>
        <v>20.508317026909992</v>
      </c>
      <c r="Q38" s="20">
        <f t="shared" si="1"/>
        <v>-51.356337597595996</v>
      </c>
    </row>
    <row r="39" spans="1:17" x14ac:dyDescent="0.2">
      <c r="A39">
        <f t="shared" si="5"/>
        <v>2057</v>
      </c>
      <c r="B39" s="20">
        <f>Forecast!E37</f>
        <v>331.52846775279397</v>
      </c>
      <c r="C39" s="20">
        <f>Forecast!F37</f>
        <v>204.50841107858196</v>
      </c>
      <c r="E39" s="22">
        <f t="shared" ref="E39:E42" si="7">E38</f>
        <v>5.6966299226593173E-2</v>
      </c>
      <c r="F39" s="22">
        <f t="shared" si="6"/>
        <v>0.14354223806018246</v>
      </c>
      <c r="H39" s="20">
        <f t="shared" si="2"/>
        <v>18.885949896139607</v>
      </c>
      <c r="I39" s="20">
        <f t="shared" si="0"/>
        <v>47.588338241899073</v>
      </c>
      <c r="J39" s="20">
        <f t="shared" si="3"/>
        <v>11.650087339857622</v>
      </c>
      <c r="M39">
        <v>2057</v>
      </c>
      <c r="N39" s="20">
        <v>310.63049270237298</v>
      </c>
      <c r="O39" s="20">
        <v>256.84051909053198</v>
      </c>
      <c r="P39" s="20">
        <f t="shared" si="4"/>
        <v>20.897975050420996</v>
      </c>
      <c r="Q39" s="20">
        <f t="shared" si="1"/>
        <v>-52.332108011950027</v>
      </c>
    </row>
    <row r="40" spans="1:17" x14ac:dyDescent="0.2">
      <c r="A40">
        <f>A39+1</f>
        <v>2058</v>
      </c>
      <c r="B40" s="20">
        <f>Forecast!E38</f>
        <v>337.82750864009802</v>
      </c>
      <c r="C40" s="20">
        <f>Forecast!F38</f>
        <v>208.39407088907501</v>
      </c>
      <c r="E40" s="22">
        <f t="shared" si="7"/>
        <v>5.6966299226593173E-2</v>
      </c>
      <c r="F40" s="22">
        <f t="shared" si="6"/>
        <v>0.14354223806018246</v>
      </c>
      <c r="H40" s="20">
        <f t="shared" si="2"/>
        <v>19.244782944166314</v>
      </c>
      <c r="I40" s="20">
        <f t="shared" si="0"/>
        <v>48.492516668495298</v>
      </c>
      <c r="J40" s="20">
        <f t="shared" si="3"/>
        <v>11.871438999314917</v>
      </c>
      <c r="M40">
        <v>2058</v>
      </c>
      <c r="N40" s="20">
        <v>316.53247206371799</v>
      </c>
      <c r="O40" s="20">
        <v>261.72048895325202</v>
      </c>
      <c r="P40" s="20">
        <f t="shared" si="4"/>
        <v>21.295036576380028</v>
      </c>
      <c r="Q40" s="20">
        <f t="shared" si="1"/>
        <v>-53.326418064177005</v>
      </c>
    </row>
    <row r="41" spans="1:17" x14ac:dyDescent="0.2">
      <c r="A41">
        <f t="shared" si="5"/>
        <v>2059</v>
      </c>
      <c r="B41" s="20">
        <f>Forecast!E39</f>
        <v>344.24623130425903</v>
      </c>
      <c r="C41" s="20">
        <f>Forecast!F39</f>
        <v>212.353558235967</v>
      </c>
      <c r="E41" s="22">
        <f t="shared" si="7"/>
        <v>5.6966299226593173E-2</v>
      </c>
      <c r="F41" s="22">
        <f t="shared" si="6"/>
        <v>0.14354223806018246</v>
      </c>
      <c r="H41" s="20">
        <f t="shared" si="2"/>
        <v>19.610433820105424</v>
      </c>
      <c r="I41" s="20">
        <f t="shared" si="0"/>
        <v>49.413874485196587</v>
      </c>
      <c r="J41" s="20">
        <f t="shared" si="3"/>
        <v>12.096996340301875</v>
      </c>
      <c r="M41">
        <v>2059</v>
      </c>
      <c r="N41" s="20">
        <v>322.54658903292801</v>
      </c>
      <c r="O41" s="20">
        <v>266.69317824336298</v>
      </c>
      <c r="P41" s="20">
        <f t="shared" si="4"/>
        <v>21.699642271331015</v>
      </c>
      <c r="Q41" s="20">
        <f t="shared" si="1"/>
        <v>-54.339620007395979</v>
      </c>
    </row>
    <row r="42" spans="1:17" x14ac:dyDescent="0.2">
      <c r="A42">
        <f t="shared" si="5"/>
        <v>2060</v>
      </c>
      <c r="B42" s="20">
        <f>Forecast!E40</f>
        <v>350.78690969904</v>
      </c>
      <c r="C42" s="20">
        <f>Forecast!F40</f>
        <v>216.38827584245001</v>
      </c>
      <c r="E42" s="22">
        <f t="shared" si="7"/>
        <v>5.6966299226593173E-2</v>
      </c>
      <c r="F42" s="22">
        <f t="shared" si="6"/>
        <v>0.14354223806018246</v>
      </c>
      <c r="H42" s="20">
        <f t="shared" si="2"/>
        <v>19.983032062687432</v>
      </c>
      <c r="I42" s="20">
        <f t="shared" si="0"/>
        <v>50.352738100415323</v>
      </c>
      <c r="J42" s="20">
        <f t="shared" si="3"/>
        <v>12.326839270767591</v>
      </c>
      <c r="M42">
        <v>2060</v>
      </c>
      <c r="N42" s="20">
        <v>328.67497422455398</v>
      </c>
      <c r="O42" s="20">
        <v>271.76034862998699</v>
      </c>
      <c r="P42" s="20">
        <f t="shared" si="4"/>
        <v>22.111935474486017</v>
      </c>
      <c r="Q42" s="20">
        <f t="shared" si="1"/>
        <v>-55.372072787536979</v>
      </c>
    </row>
    <row r="43" spans="1:17" x14ac:dyDescent="0.2">
      <c r="N43" s="20"/>
      <c r="O43" s="20"/>
      <c r="P43" s="20"/>
      <c r="Q43" s="20"/>
    </row>
    <row r="44" spans="1:17" x14ac:dyDescent="0.2">
      <c r="A44" t="s">
        <v>63</v>
      </c>
      <c r="B44" s="10">
        <f>-PMT(WACC,20,NPV(WACC,B9:B28))</f>
        <v>149.56478467653483</v>
      </c>
      <c r="C44" s="10">
        <f>-PMT(WACC,20,NPV(WACC,C9:C28))</f>
        <v>120.25190492053733</v>
      </c>
      <c r="H44" s="10">
        <f>-PMT(WACC,20,NPV(WACC,H9:H28))</f>
        <v>13.152589731729845</v>
      </c>
      <c r="I44" s="10">
        <f>-PMT(WACC,20,NPV(WACC,I9:I28))</f>
        <v>21.418357226785844</v>
      </c>
      <c r="J44" s="10">
        <f>-PMT(WACC,20,NPV(WACC,J9:J28))</f>
        <v>11.083191757329141</v>
      </c>
      <c r="M44" t="s">
        <v>63</v>
      </c>
      <c r="N44" s="20">
        <f>-PMT(WACC,20,NPV(WACC,N9:N28))</f>
        <v>153.84371884121143</v>
      </c>
      <c r="O44" s="20">
        <f>-PMT(WACC,20,NPV(WACC,O9:O28))</f>
        <v>143.76609037300662</v>
      </c>
      <c r="P44" s="20">
        <f t="shared" si="4"/>
        <v>-4.278934164676599</v>
      </c>
      <c r="Q44" s="20">
        <f t="shared" si="1"/>
        <v>-23.514185452469292</v>
      </c>
    </row>
    <row r="46" spans="1:17" ht="15" x14ac:dyDescent="0.25">
      <c r="G46" s="1" t="s">
        <v>64</v>
      </c>
    </row>
    <row r="47" spans="1:17" x14ac:dyDescent="0.2">
      <c r="H47" t="str">
        <f>H5</f>
        <v>MISO-North</v>
      </c>
      <c r="I47" t="str">
        <f>H47</f>
        <v>MISO-North</v>
      </c>
      <c r="J47" t="str">
        <f>J5</f>
        <v>MISO-South</v>
      </c>
    </row>
    <row r="48" spans="1:17" x14ac:dyDescent="0.2">
      <c r="H48" s="24" t="s">
        <v>60</v>
      </c>
      <c r="I48" s="24" t="s">
        <v>61</v>
      </c>
      <c r="J48" s="24" t="s">
        <v>60</v>
      </c>
    </row>
    <row r="49" spans="7:10" x14ac:dyDescent="0.2">
      <c r="G49" t="s">
        <v>37</v>
      </c>
      <c r="H49" s="23">
        <v>13</v>
      </c>
      <c r="I49" s="23">
        <v>21.5</v>
      </c>
      <c r="J49" s="23"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Instruction</vt:lpstr>
      <vt:lpstr>Inputs</vt:lpstr>
      <vt:lpstr>Forecast</vt:lpstr>
      <vt:lpstr>Seasonal</vt:lpstr>
      <vt:lpstr>Backup_data</vt:lpstr>
      <vt:lpstr>Comparison</vt:lpstr>
      <vt:lpstr>AuctionPrice_North</vt:lpstr>
      <vt:lpstr>AuctionPrice_South</vt:lpstr>
      <vt:lpstr>AuctionYr_North</vt:lpstr>
      <vt:lpstr>AuctionYr_South</vt:lpstr>
      <vt:lpstr>Bilateral_North</vt:lpstr>
      <vt:lpstr>Bilateral_South</vt:lpstr>
      <vt:lpstr>CONE_Yr_North</vt:lpstr>
      <vt:lpstr>CONE_Yr_South</vt:lpstr>
      <vt:lpstr>Fund_CONE_North</vt:lpstr>
      <vt:lpstr>Fund_CONE_South</vt:lpstr>
      <vt:lpstr>StartPrice_North</vt:lpstr>
      <vt:lpstr>StartPrice_South</vt:lpstr>
      <vt:lpstr>StartYr_North</vt:lpstr>
      <vt:lpstr>StartYr_South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Ryan</dc:creator>
  <cp:lastModifiedBy>Moody, Jihyeon</cp:lastModifiedBy>
  <dcterms:created xsi:type="dcterms:W3CDTF">2015-06-05T18:17:20Z</dcterms:created>
  <dcterms:modified xsi:type="dcterms:W3CDTF">2025-08-13T17:42:11Z</dcterms:modified>
</cp:coreProperties>
</file>