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ual" sheetId="1" r:id="rId5"/>
    <sheet state="visible" name="Enero" sheetId="2" r:id="rId6"/>
    <sheet state="visible" name="Febrero" sheetId="3" r:id="rId7"/>
    <sheet state="visible" name="Marzo" sheetId="4" r:id="rId8"/>
    <sheet state="visible" name="Abril" sheetId="5" r:id="rId9"/>
    <sheet state="visible" name="Mayo" sheetId="6" r:id="rId10"/>
    <sheet state="visible" name="Junio" sheetId="7" r:id="rId11"/>
    <sheet state="visible" name="Julio" sheetId="8" r:id="rId12"/>
    <sheet state="visible" name="Agosto" sheetId="9" r:id="rId13"/>
    <sheet state="visible" name="Septiembre" sheetId="10" r:id="rId14"/>
    <sheet state="visible" name="Octubre" sheetId="11" r:id="rId15"/>
    <sheet state="visible" name="Noviembre" sheetId="12" r:id="rId16"/>
    <sheet state="visible" name="Diciembre" sheetId="13" r:id="rId17"/>
  </sheets>
  <definedNames/>
  <calcPr/>
</workbook>
</file>

<file path=xl/sharedStrings.xml><?xml version="1.0" encoding="utf-8"?>
<sst xmlns="http://schemas.openxmlformats.org/spreadsheetml/2006/main" count="203" uniqueCount="28">
  <si>
    <t>Enero</t>
  </si>
  <si>
    <t>Febrero</t>
  </si>
  <si>
    <t>Marzo</t>
  </si>
  <si>
    <t>Abril</t>
  </si>
  <si>
    <t xml:space="preserve">Mayo </t>
  </si>
  <si>
    <t xml:space="preserve">Junio </t>
  </si>
  <si>
    <t xml:space="preserve">Julio </t>
  </si>
  <si>
    <t>Agosto</t>
  </si>
  <si>
    <t>Septiembre</t>
  </si>
  <si>
    <t>Octubre</t>
  </si>
  <si>
    <t>Noviembre</t>
  </si>
  <si>
    <t>Diciembre</t>
  </si>
  <si>
    <t>Ahorros</t>
  </si>
  <si>
    <t>Ingreso</t>
  </si>
  <si>
    <t>TOTAL</t>
  </si>
  <si>
    <t>Comida</t>
  </si>
  <si>
    <t>Ropa</t>
  </si>
  <si>
    <t>Entretenimiento</t>
  </si>
  <si>
    <t>Tecnología</t>
  </si>
  <si>
    <t>Bus</t>
  </si>
  <si>
    <t>Coche</t>
  </si>
  <si>
    <t>Salud</t>
  </si>
  <si>
    <t>Ingresos</t>
  </si>
  <si>
    <t>Gastos</t>
  </si>
  <si>
    <t>Combustible</t>
  </si>
  <si>
    <t>Tren</t>
  </si>
  <si>
    <t>Otros</t>
  </si>
  <si>
    <t>Coche/Moto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</si>
</sst>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C0A];[RED]\-#,##0.00\ [$€-C0A]"/>
    <numFmt numFmtId="165" formatCode="#,##0.00\ [$€-1]"/>
  </numFmts>
  <fonts count="6">
    <font>
      <sz val="10.0"/>
      <color rgb="FF000000"/>
      <name val="Calibri"/>
      <scheme val="minor"/>
    </font>
    <font>
      <sz val="10.0"/>
      <color theme="1"/>
      <name val="Arial"/>
    </font>
    <font/>
    <font>
      <color theme="1"/>
      <name val="Arial"/>
    </font>
    <font>
      <u/>
      <sz val="10.0"/>
      <color theme="1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4C7DC"/>
        <bgColor rgb="FFB4C7DC"/>
      </patternFill>
    </fill>
    <fill>
      <patternFill patternType="solid">
        <fgColor rgb="FFF6F9D4"/>
        <bgColor rgb="FFF6F9D4"/>
      </patternFill>
    </fill>
    <fill>
      <patternFill patternType="solid">
        <fgColor rgb="FFAFD095"/>
        <bgColor rgb="FFAFD095"/>
      </patternFill>
    </fill>
    <fill>
      <patternFill patternType="solid">
        <fgColor rgb="FF808080"/>
        <bgColor rgb="FF808080"/>
      </patternFill>
    </fill>
    <fill>
      <patternFill patternType="solid">
        <fgColor rgb="FFFFD8CE"/>
        <bgColor rgb="FFFFD8CE"/>
      </patternFill>
    </fill>
    <fill>
      <patternFill patternType="solid">
        <fgColor rgb="FFFFA6A6"/>
        <bgColor rgb="FFFFA6A6"/>
      </patternFill>
    </fill>
    <fill>
      <patternFill patternType="solid">
        <fgColor rgb="FFB7B7B7"/>
        <bgColor rgb="FFB7B7B7"/>
      </patternFill>
    </fill>
    <fill>
      <patternFill patternType="solid">
        <fgColor rgb="FFFFD7D7"/>
        <bgColor rgb="FFFFD7D7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6" fillId="0" fontId="1" numFmtId="0" xfId="0" applyAlignment="1" applyBorder="1" applyFont="1">
      <alignment shrinkToFit="0" vertical="center" wrapText="0"/>
    </xf>
    <xf borderId="7" fillId="3" fontId="1" numFmtId="0" xfId="0" applyAlignment="1" applyBorder="1" applyFill="1" applyFon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9" fillId="4" fontId="1" numFmtId="0" xfId="0" applyAlignment="1" applyBorder="1" applyFill="1" applyFont="1">
      <alignment readingOrder="0" shrinkToFit="0" vertical="center" wrapText="0"/>
    </xf>
    <xf borderId="8" fillId="4" fontId="1" numFmtId="164" xfId="0" applyAlignment="1" applyBorder="1" applyFont="1" applyNumberFormat="1">
      <alignment shrinkToFit="0" vertical="center" wrapText="0"/>
    </xf>
    <xf borderId="8" fillId="4" fontId="1" numFmtId="0" xfId="0" applyAlignment="1" applyBorder="1" applyFont="1">
      <alignment readingOrder="0" shrinkToFit="0" vertical="center" wrapText="0"/>
    </xf>
    <xf borderId="8" fillId="5" fontId="1" numFmtId="164" xfId="0" applyAlignment="1" applyBorder="1" applyFill="1" applyFont="1" applyNumberFormat="1">
      <alignment shrinkToFit="0" vertical="center" wrapText="0"/>
    </xf>
    <xf borderId="8" fillId="5" fontId="1" numFmtId="0" xfId="0" applyAlignment="1" applyBorder="1" applyFont="1">
      <alignment shrinkToFit="0" vertical="center" wrapText="0"/>
    </xf>
    <xf borderId="8" fillId="6" fontId="1" numFmtId="0" xfId="0" applyAlignment="1" applyBorder="1" applyFill="1" applyFont="1">
      <alignment shrinkToFit="0" vertical="center" wrapText="0"/>
    </xf>
    <xf borderId="8" fillId="6" fontId="1" numFmtId="164" xfId="0" applyAlignment="1" applyBorder="1" applyFont="1" applyNumberFormat="1">
      <alignment shrinkToFit="0" vertical="center" wrapText="0"/>
    </xf>
    <xf borderId="8" fillId="7" fontId="1" numFmtId="0" xfId="0" applyAlignment="1" applyBorder="1" applyFill="1" applyFont="1">
      <alignment readingOrder="0" shrinkToFit="0" vertical="center" wrapText="0"/>
    </xf>
    <xf borderId="8" fillId="7" fontId="1" numFmtId="164" xfId="0" applyAlignment="1" applyBorder="1" applyFont="1" applyNumberFormat="1">
      <alignment shrinkToFit="0" vertical="center" wrapText="0"/>
    </xf>
    <xf borderId="8" fillId="7" fontId="1" numFmtId="0" xfId="0" applyAlignment="1" applyBorder="1" applyFont="1">
      <alignment shrinkToFit="0" vertical="center" wrapText="0"/>
    </xf>
    <xf borderId="8" fillId="8" fontId="1" numFmtId="0" xfId="0" applyAlignment="1" applyBorder="1" applyFill="1" applyFont="1">
      <alignment shrinkToFit="0" vertical="center" wrapText="0"/>
    </xf>
    <xf borderId="8" fillId="8" fontId="1" numFmtId="164" xfId="0" applyAlignment="1" applyBorder="1" applyFont="1" applyNumberFormat="1">
      <alignment shrinkToFit="0" vertical="center" wrapText="0"/>
    </xf>
    <xf borderId="8" fillId="7" fontId="1" numFmtId="165" xfId="0" applyAlignment="1" applyBorder="1" applyFont="1" applyNumberFormat="1">
      <alignment shrinkToFit="0" vertical="center" wrapText="0"/>
    </xf>
    <xf borderId="8" fillId="9" fontId="1" numFmtId="0" xfId="0" applyAlignment="1" applyBorder="1" applyFill="1" applyFont="1">
      <alignment readingOrder="0" shrinkToFit="0" vertical="center" wrapText="0"/>
    </xf>
    <xf borderId="8" fillId="9" fontId="1" numFmtId="164" xfId="0" applyAlignment="1" applyBorder="1" applyFont="1" applyNumberFormat="1">
      <alignment shrinkToFit="0" vertical="center" wrapText="0"/>
    </xf>
    <xf borderId="0" fillId="0" fontId="3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0"/>
    </xf>
    <xf borderId="8" fillId="3" fontId="1" numFmtId="0" xfId="0" applyAlignment="1" applyBorder="1" applyFont="1">
      <alignment horizontal="center" shrinkToFit="0" vertical="bottom" wrapText="0"/>
    </xf>
    <xf borderId="8" fillId="3" fontId="1" numFmtId="0" xfId="0" applyAlignment="1" applyBorder="1" applyFont="1">
      <alignment horizontal="center" readingOrder="0" shrinkToFit="0" vertical="bottom" wrapText="0"/>
    </xf>
    <xf borderId="8" fillId="3" fontId="1" numFmtId="164" xfId="0" applyAlignment="1" applyBorder="1" applyFont="1" applyNumberFormat="1">
      <alignment horizontal="center" shrinkToFit="0" vertical="center" wrapText="0"/>
    </xf>
    <xf borderId="8" fillId="4" fontId="1" numFmtId="164" xfId="0" applyAlignment="1" applyBorder="1" applyFont="1" applyNumberFormat="1">
      <alignment readingOrder="0" shrinkToFit="0" vertical="bottom" wrapText="0"/>
    </xf>
    <xf borderId="8" fillId="4" fontId="1" numFmtId="164" xfId="0" applyAlignment="1" applyBorder="1" applyFont="1" applyNumberFormat="1">
      <alignment horizontal="center" readingOrder="0" shrinkToFit="0" vertical="center" wrapText="1"/>
    </xf>
    <xf borderId="8" fillId="4" fontId="1" numFmtId="164" xfId="0" applyAlignment="1" applyBorder="1" applyFont="1" applyNumberFormat="1">
      <alignment shrinkToFit="0" vertical="bottom" wrapText="0"/>
    </xf>
    <xf borderId="8" fillId="5" fontId="1" numFmtId="164" xfId="0" applyAlignment="1" applyBorder="1" applyFont="1" applyNumberFormat="1">
      <alignment shrinkToFit="0" vertical="bottom" wrapText="0"/>
    </xf>
    <xf borderId="8" fillId="5" fontId="1" numFmtId="164" xfId="0" applyAlignment="1" applyBorder="1" applyFont="1" applyNumberFormat="1">
      <alignment horizontal="center" shrinkToFit="0" vertical="bottom" wrapText="0"/>
    </xf>
    <xf borderId="8" fillId="0" fontId="1" numFmtId="164" xfId="0" applyAlignment="1" applyBorder="1" applyFont="1" applyNumberFormat="1">
      <alignment shrinkToFit="0" vertical="bottom" wrapText="0"/>
    </xf>
    <xf borderId="8" fillId="0" fontId="1" numFmtId="164" xfId="0" applyAlignment="1" applyBorder="1" applyFont="1" applyNumberFormat="1">
      <alignment horizontal="center" shrinkToFit="0" vertical="bottom" wrapText="0"/>
    </xf>
    <xf borderId="10" fillId="3" fontId="1" numFmtId="164" xfId="0" applyAlignment="1" applyBorder="1" applyFont="1" applyNumberFormat="1">
      <alignment horizontal="center" shrinkToFit="0" vertical="center" wrapText="0"/>
    </xf>
    <xf borderId="8" fillId="10" fontId="1" numFmtId="164" xfId="0" applyAlignment="1" applyBorder="1" applyFill="1" applyFont="1" applyNumberFormat="1">
      <alignment shrinkToFit="0" vertical="bottom" wrapText="0"/>
    </xf>
    <xf borderId="8" fillId="10" fontId="1" numFmtId="164" xfId="0" applyAlignment="1" applyBorder="1" applyFont="1" applyNumberFormat="1">
      <alignment readingOrder="0" shrinkToFit="0" vertical="bottom" wrapText="0"/>
    </xf>
    <xf borderId="8" fillId="10" fontId="1" numFmtId="0" xfId="0" applyAlignment="1" applyBorder="1" applyFont="1">
      <alignment readingOrder="0" shrinkToFit="0" vertical="bottom" wrapText="0"/>
    </xf>
    <xf borderId="8" fillId="10" fontId="1" numFmtId="165" xfId="0" applyAlignment="1" applyBorder="1" applyFont="1" applyNumberFormat="1">
      <alignment readingOrder="0" shrinkToFit="0" vertical="bottom" wrapText="0"/>
    </xf>
    <xf borderId="8" fillId="8" fontId="1" numFmtId="164" xfId="0" applyAlignment="1" applyBorder="1" applyFont="1" applyNumberFormat="1">
      <alignment shrinkToFit="0" vertical="bottom" wrapText="0"/>
    </xf>
    <xf borderId="11" fillId="0" fontId="2" numFmtId="0" xfId="0" applyBorder="1" applyFont="1"/>
    <xf borderId="8" fillId="10" fontId="4" numFmtId="164" xfId="0" applyAlignment="1" applyBorder="1" applyFont="1" applyNumberFormat="1">
      <alignment shrinkToFit="0" vertical="bottom" wrapText="0"/>
    </xf>
    <xf borderId="9" fillId="0" fontId="2" numFmtId="0" xfId="0" applyBorder="1" applyFont="1"/>
    <xf borderId="8" fillId="8" fontId="1" numFmtId="164" xfId="0" applyAlignment="1" applyBorder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11" fontId="5" numFmtId="164" xfId="0" applyAlignment="1" applyFill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 readingOrder="0" shrinkToFit="0" vertical="bottom" wrapText="0"/>
    </xf>
    <xf borderId="8" fillId="0" fontId="1" numFmtId="164" xfId="0" applyAlignment="1" applyBorder="1" applyFont="1" applyNumberFormat="1">
      <alignment readingOrder="0" shrinkToFit="0" vertical="bottom" wrapText="0"/>
    </xf>
    <xf borderId="0" fillId="10" fontId="5" numFmtId="164" xfId="0" applyAlignment="1" applyFont="1" applyNumberFormat="1">
      <alignment horizontal="left" readingOrder="0"/>
    </xf>
    <xf borderId="8" fillId="4" fontId="1" numFmtId="164" xfId="0" applyAlignment="1" applyBorder="1" applyFont="1" applyNumberForma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9525">
              <a:solidFill>
                <a:srgbClr val="B6D7A8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B6D7A8">
                  <a:alpha val="100000"/>
                </a:srgbClr>
              </a:solidFill>
              <a:ln cmpd="sng">
                <a:solidFill>
                  <a:srgbClr val="B6D7A8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8E7CC3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Anual!$B$4:$M$4</c:f>
            </c:strRef>
          </c:cat>
          <c:val>
            <c:numRef>
              <c:f>Anual!$B$5:$M$5</c:f>
              <c:numCache/>
            </c:numRef>
          </c:val>
          <c:smooth val="0"/>
        </c:ser>
        <c:axId val="538590384"/>
        <c:axId val="1401818658"/>
      </c:lineChart>
      <c:catAx>
        <c:axId val="53859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818658"/>
      </c:catAx>
      <c:valAx>
        <c:axId val="1401818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90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F9CB9C">
                <a:alpha val="30000"/>
              </a:srgbClr>
            </a:solidFill>
            <a:ln cmpd="sng" w="19050">
              <a:solidFill>
                <a:srgbClr val="F9CB9C">
                  <a:alpha val="70196"/>
                </a:srgbClr>
              </a:solidFill>
              <a:prstDash val="solid"/>
            </a:ln>
          </c:spPr>
          <c:trendline>
            <c:name/>
            <c:spPr>
              <a:ln w="38100">
                <a:solidFill>
                  <a:srgbClr val="FFD966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Enero!$C$3:$AG$3</c:f>
            </c:strRef>
          </c:cat>
          <c:val>
            <c:numRef>
              <c:f>Enero!$C$20:$AG$20</c:f>
              <c:numCache/>
            </c:numRef>
          </c:val>
        </c:ser>
        <c:axId val="1494891497"/>
        <c:axId val="1368664565"/>
      </c:areaChart>
      <c:catAx>
        <c:axId val="1494891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664565"/>
      </c:catAx>
      <c:valAx>
        <c:axId val="1368664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891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F9CB9C">
                <a:alpha val="30000"/>
              </a:srgbClr>
            </a:solidFill>
            <a:ln cmpd="sng" w="19050">
              <a:solidFill>
                <a:srgbClr val="F9CB9C">
                  <a:alpha val="70196"/>
                </a:srgbClr>
              </a:solidFill>
              <a:prstDash val="solid"/>
            </a:ln>
          </c:spPr>
          <c:trendline>
            <c:name/>
            <c:spPr>
              <a:ln w="38100">
                <a:solidFill>
                  <a:srgbClr val="FFD966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Febrero!$C$3:$AD$3</c:f>
            </c:strRef>
          </c:cat>
          <c:val>
            <c:numRef>
              <c:f>Febrero!$C$20:$AD$20</c:f>
              <c:numCache/>
            </c:numRef>
          </c:val>
        </c:ser>
        <c:axId val="524852556"/>
        <c:axId val="129271342"/>
      </c:areaChart>
      <c:catAx>
        <c:axId val="524852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1342"/>
      </c:catAx>
      <c:valAx>
        <c:axId val="129271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852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Marzo!$A$20</c:f>
            </c:strRef>
          </c:tx>
          <c:spPr>
            <a:solidFill>
              <a:srgbClr val="FFE599">
                <a:alpha val="30000"/>
              </a:srgbClr>
            </a:solidFill>
            <a:ln cmpd="sng">
              <a:solidFill>
                <a:srgbClr val="FFE599">
                  <a:alpha val="100000"/>
                </a:srgbClr>
              </a:solidFill>
              <a:prstDash val="solid"/>
            </a:ln>
          </c:spPr>
          <c:cat>
            <c:strRef>
              <c:f>Marzo!$C$3:$AG$3</c:f>
            </c:strRef>
          </c:cat>
          <c:val>
            <c:numRef>
              <c:f>Marzo!$B$20:$AG$20</c:f>
              <c:numCache/>
            </c:numRef>
          </c:val>
        </c:ser>
        <c:axId val="763837828"/>
        <c:axId val="1429658726"/>
      </c:areaChart>
      <c:catAx>
        <c:axId val="763837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658726"/>
      </c:catAx>
      <c:valAx>
        <c:axId val="1429658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837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Abril!$C$20:$AG$20</c:f>
              <c:numCache/>
            </c:numRef>
          </c:val>
        </c:ser>
        <c:axId val="159221981"/>
        <c:axId val="9376445"/>
      </c:areaChart>
      <c:catAx>
        <c:axId val="159221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6445"/>
      </c:catAx>
      <c:valAx>
        <c:axId val="9376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21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Mayo!$C$20:$AG$20</c:f>
              <c:numCache/>
            </c:numRef>
          </c:val>
        </c:ser>
        <c:axId val="1797964795"/>
        <c:axId val="579283456"/>
      </c:areaChart>
      <c:catAx>
        <c:axId val="1797964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283456"/>
      </c:catAx>
      <c:valAx>
        <c:axId val="579283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964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19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22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21</xdr:row>
      <xdr:rowOff>152400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21</xdr:row>
      <xdr:rowOff>152400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22</xdr:row>
      <xdr:rowOff>9525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20</xdr:row>
      <xdr:rowOff>76200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13" width="11.57"/>
    <col customWidth="1" min="14" max="14" width="10.14"/>
    <col customWidth="1" min="15" max="26" width="8.71"/>
  </cols>
  <sheetData>
    <row r="1" ht="12.75" customHeight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>
        <v>2023.0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9"/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2" t="s">
        <v>12</v>
      </c>
      <c r="B5" s="13">
        <f>Enero!$B$20</f>
        <v>905.39</v>
      </c>
      <c r="C5" s="13">
        <f>Febrero!$B$20</f>
        <v>931.11</v>
      </c>
      <c r="D5" s="13">
        <f>Marzo!$B$20</f>
        <v>1287.81</v>
      </c>
      <c r="E5" s="13">
        <f>Abril!$B$20</f>
        <v>1127.96</v>
      </c>
      <c r="F5" s="13">
        <f>Mayo!$B$20</f>
        <v>915.77</v>
      </c>
      <c r="G5" s="13">
        <f>Junio!$B$20</f>
        <v>939.99</v>
      </c>
      <c r="H5" s="13">
        <f>Julio!$B$20</f>
        <v>1066.52</v>
      </c>
      <c r="I5" s="13">
        <f>Agosto!$B$20</f>
        <v>1809.44</v>
      </c>
      <c r="J5" s="13">
        <f>Septiembre!$B$20</f>
        <v>2643.19</v>
      </c>
      <c r="K5" s="13">
        <f>Octubre!$B$20</f>
        <v>3188.28</v>
      </c>
      <c r="L5" s="13">
        <f>Noviembre!$B$20</f>
        <v>3028.42</v>
      </c>
      <c r="M5" s="13">
        <f>Diciembre!$B$20</f>
        <v>3064.96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4" t="s">
        <v>13</v>
      </c>
      <c r="B6" s="13">
        <f>Enero!AH4</f>
        <v>319.6</v>
      </c>
      <c r="C6" s="13">
        <f>Febrero!AE4</f>
        <v>936.32</v>
      </c>
      <c r="D6" s="13">
        <f>Marzo!AH4</f>
        <v>570.86</v>
      </c>
      <c r="E6" s="13">
        <f>Abril!AH4</f>
        <v>667.32</v>
      </c>
      <c r="F6" s="13">
        <f>Mayo!AH4</f>
        <v>510.86</v>
      </c>
      <c r="G6" s="13">
        <f>Junio!AH4</f>
        <v>620.13</v>
      </c>
      <c r="H6" s="13">
        <f>Julio!AH4</f>
        <v>1494.21</v>
      </c>
      <c r="I6" s="13">
        <f>Agosto!AH4</f>
        <v>1401.07</v>
      </c>
      <c r="J6" s="13">
        <f>Septiembre!AH4</f>
        <v>1340.24</v>
      </c>
      <c r="K6" s="13">
        <f>Octubre!AH4</f>
        <v>342.4</v>
      </c>
      <c r="L6" s="13">
        <f>Noviembre!AH4</f>
        <v>362</v>
      </c>
      <c r="M6" s="13">
        <f>Diciembre!AH4</f>
        <v>729.1</v>
      </c>
      <c r="N6" s="15">
        <f>SUM(B6:M6)</f>
        <v>9294.11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6" t="s">
        <v>14</v>
      </c>
      <c r="B7" s="15">
        <f t="shared" ref="B7:M7" si="1">SUM(B5:B6)</f>
        <v>1224.99</v>
      </c>
      <c r="C7" s="15">
        <f t="shared" si="1"/>
        <v>1867.43</v>
      </c>
      <c r="D7" s="15">
        <f t="shared" si="1"/>
        <v>1858.67</v>
      </c>
      <c r="E7" s="15">
        <f t="shared" si="1"/>
        <v>1795.28</v>
      </c>
      <c r="F7" s="15">
        <f t="shared" si="1"/>
        <v>1426.63</v>
      </c>
      <c r="G7" s="15">
        <f t="shared" si="1"/>
        <v>1560.12</v>
      </c>
      <c r="H7" s="15">
        <f t="shared" si="1"/>
        <v>2560.73</v>
      </c>
      <c r="I7" s="15">
        <f t="shared" si="1"/>
        <v>3210.51</v>
      </c>
      <c r="J7" s="15">
        <f t="shared" si="1"/>
        <v>3983.43</v>
      </c>
      <c r="K7" s="15">
        <f t="shared" si="1"/>
        <v>3530.68</v>
      </c>
      <c r="L7" s="15">
        <f t="shared" si="1"/>
        <v>3390.42</v>
      </c>
      <c r="M7" s="15">
        <f t="shared" si="1"/>
        <v>3794.06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7"/>
      <c r="B8" s="18"/>
      <c r="C8" s="18"/>
      <c r="D8" s="18"/>
      <c r="E8" s="17"/>
      <c r="F8" s="17"/>
      <c r="G8" s="17"/>
      <c r="H8" s="17"/>
      <c r="I8" s="17"/>
      <c r="J8" s="17"/>
      <c r="K8" s="17"/>
      <c r="L8" s="17"/>
      <c r="M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9" t="s">
        <v>15</v>
      </c>
      <c r="B9" s="20">
        <f>Enero!$AH7</f>
        <v>87.68</v>
      </c>
      <c r="C9" s="20">
        <f>Febrero!$AE7</f>
        <v>90.79</v>
      </c>
      <c r="D9" s="20">
        <f>Marzo!$AH7</f>
        <v>26.94</v>
      </c>
      <c r="E9" s="20">
        <f>Abril!$AH7</f>
        <v>184.55</v>
      </c>
      <c r="F9" s="20">
        <f>Mayo!$AH7</f>
        <v>84.28</v>
      </c>
      <c r="G9" s="20">
        <f>Junio!$AH7</f>
        <v>85.73</v>
      </c>
      <c r="H9" s="20">
        <f>Julio!$AH7</f>
        <v>106.43</v>
      </c>
      <c r="I9" s="20">
        <f>Agosto!$AH7</f>
        <v>123.49</v>
      </c>
      <c r="J9" s="20">
        <f>Septiembre!$AH7</f>
        <v>187.81</v>
      </c>
      <c r="K9" s="20">
        <f>Octubre!$AH7</f>
        <v>106.98</v>
      </c>
      <c r="L9" s="20">
        <f>Noviembre!$AH7</f>
        <v>87.69</v>
      </c>
      <c r="M9" s="20">
        <f>Diciembre!$AH7</f>
        <v>69.29</v>
      </c>
      <c r="N9" s="20">
        <f t="shared" ref="N9:N16" si="2">SUM(B9:M9)</f>
        <v>1241.66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9" t="s">
        <v>16</v>
      </c>
      <c r="B10" s="20">
        <f>Enero!$AH9</f>
        <v>64.99</v>
      </c>
      <c r="C10" s="20">
        <f>Febrero!$AE9</f>
        <v>15</v>
      </c>
      <c r="D10" s="20">
        <f>Marzo!$AH9</f>
        <v>0</v>
      </c>
      <c r="E10" s="20">
        <f>Abril!$AH9</f>
        <v>76.44</v>
      </c>
      <c r="F10" s="20">
        <f>Mayo!$AH9</f>
        <v>149.78</v>
      </c>
      <c r="G10" s="20">
        <f>Junio!$AH9</f>
        <v>0</v>
      </c>
      <c r="H10" s="20">
        <f>Julio!$AH9</f>
        <v>0</v>
      </c>
      <c r="I10" s="20">
        <f>Agosto!$AH9</f>
        <v>0</v>
      </c>
      <c r="J10" s="20">
        <f>Septiembre!$AH9</f>
        <v>4.99</v>
      </c>
      <c r="K10" s="20">
        <f>Octubre!$AH9</f>
        <v>0</v>
      </c>
      <c r="L10" s="20">
        <f>Noviembre!$AH9</f>
        <v>0</v>
      </c>
      <c r="M10" s="20">
        <f>Diciembre!$AH9</f>
        <v>0</v>
      </c>
      <c r="N10" s="20">
        <f t="shared" si="2"/>
        <v>311.2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9" t="s">
        <v>17</v>
      </c>
      <c r="B11" s="20">
        <f>Enero!$AH10</f>
        <v>117.63</v>
      </c>
      <c r="C11" s="20">
        <f>Febrero!$AE10</f>
        <v>106.8</v>
      </c>
      <c r="D11" s="20">
        <f>Marzo!$AH10</f>
        <v>43.28</v>
      </c>
      <c r="E11" s="20">
        <f>Abril!$AH10</f>
        <v>159.9</v>
      </c>
      <c r="F11" s="20">
        <f>Mayo!$AH10</f>
        <v>102.62</v>
      </c>
      <c r="G11" s="20">
        <f>Junio!$AH10</f>
        <v>115.06</v>
      </c>
      <c r="H11" s="20">
        <f>Julio!$AH10</f>
        <v>90.88</v>
      </c>
      <c r="I11" s="20">
        <f>Agosto!$AH10</f>
        <v>92.9</v>
      </c>
      <c r="J11" s="20">
        <f>Septiembre!$AH10</f>
        <v>157.43</v>
      </c>
      <c r="K11" s="20">
        <f>Octubre!$AH10</f>
        <v>175</v>
      </c>
      <c r="L11" s="20">
        <f>Noviembre!$AH10</f>
        <v>10</v>
      </c>
      <c r="M11" s="20">
        <f>Diciembre!$AH10</f>
        <v>87.07</v>
      </c>
      <c r="N11" s="20">
        <f t="shared" si="2"/>
        <v>1258.57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1" t="s">
        <v>18</v>
      </c>
      <c r="B12" s="20">
        <f>Enero!$AH11</f>
        <v>74.18</v>
      </c>
      <c r="C12" s="20">
        <f>Febrero!$AE11</f>
        <v>251.77</v>
      </c>
      <c r="D12" s="20">
        <f>Marzo!$AH11</f>
        <v>526.2</v>
      </c>
      <c r="E12" s="20">
        <f>Abril!$AH11</f>
        <v>274.56</v>
      </c>
      <c r="F12" s="20">
        <f>Mayo!$AH11</f>
        <v>28.48</v>
      </c>
      <c r="G12" s="20">
        <f>Junio!$AH11</f>
        <v>35.45</v>
      </c>
      <c r="H12" s="20">
        <f>Julio!$AH11</f>
        <v>34.41</v>
      </c>
      <c r="I12" s="20">
        <f>Agosto!$AH11</f>
        <v>156.31</v>
      </c>
      <c r="J12" s="20">
        <f>Septiembre!$AH11</f>
        <v>15.98</v>
      </c>
      <c r="K12" s="20">
        <f>Octubre!$AH11</f>
        <v>146.33</v>
      </c>
      <c r="L12" s="20">
        <f>Noviembre!$AH11</f>
        <v>33.47</v>
      </c>
      <c r="M12" s="20">
        <f>Diciembre!$AH11</f>
        <v>109.34</v>
      </c>
      <c r="N12" s="20">
        <f t="shared" si="2"/>
        <v>1686.48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9" t="s">
        <v>19</v>
      </c>
      <c r="B13" s="20">
        <f>Enero!$AH12</f>
        <v>0</v>
      </c>
      <c r="C13" s="20">
        <f>Febrero!$AE12</f>
        <v>0</v>
      </c>
      <c r="D13" s="20">
        <f>Marzo!$AH12</f>
        <v>0</v>
      </c>
      <c r="E13" s="20">
        <f>Abril!$AH12</f>
        <v>0</v>
      </c>
      <c r="F13" s="20">
        <f>Mayo!$AH12</f>
        <v>0</v>
      </c>
      <c r="G13" s="20">
        <f>Junio!$AH12</f>
        <v>0</v>
      </c>
      <c r="H13" s="20">
        <f>Julio!$AH12</f>
        <v>0</v>
      </c>
      <c r="I13" s="20">
        <f>Agosto!$AH12</f>
        <v>0</v>
      </c>
      <c r="J13" s="20">
        <f>Septiembre!$AH12</f>
        <v>0</v>
      </c>
      <c r="K13" s="20">
        <f>Octubre!$AH12</f>
        <v>0</v>
      </c>
      <c r="L13" s="20">
        <f>Noviembre!$AH12</f>
        <v>0</v>
      </c>
      <c r="M13" s="20">
        <f>Diciembre!$AH12</f>
        <v>0</v>
      </c>
      <c r="N13" s="20">
        <f t="shared" si="2"/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9" t="s">
        <v>20</v>
      </c>
      <c r="B14" s="20">
        <f>Enero!$AH13</f>
        <v>27.78</v>
      </c>
      <c r="C14" s="20">
        <f>Febrero!$AE13</f>
        <v>105.26</v>
      </c>
      <c r="D14" s="20">
        <f>Marzo!$AH13</f>
        <v>135.29</v>
      </c>
      <c r="E14" s="20">
        <f>Abril!$AH13</f>
        <v>90.31</v>
      </c>
      <c r="F14" s="20">
        <f>Mayo!$AH13</f>
        <v>94.89</v>
      </c>
      <c r="G14" s="20">
        <f>Junio!$AH13</f>
        <v>275.81</v>
      </c>
      <c r="H14" s="20">
        <f>Julio!$AH13</f>
        <v>507.57</v>
      </c>
      <c r="I14" s="20">
        <f>Agosto!$AH13</f>
        <v>194.62</v>
      </c>
      <c r="J14" s="20">
        <f>Septiembre!$AH13</f>
        <v>390.2</v>
      </c>
      <c r="K14" s="20">
        <f>Octubre!$AH13</f>
        <v>110.85</v>
      </c>
      <c r="L14" s="20">
        <f>Noviembre!$AH13</f>
        <v>182.3</v>
      </c>
      <c r="M14" s="20">
        <f>Diciembre!$AH13</f>
        <v>2248.22</v>
      </c>
      <c r="N14" s="20">
        <f t="shared" si="2"/>
        <v>4363.1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9" t="s">
        <v>21</v>
      </c>
      <c r="B15" s="20">
        <f>Enero!$AH14</f>
        <v>14.12</v>
      </c>
      <c r="C15" s="20">
        <f>Febrero!$AE14</f>
        <v>10</v>
      </c>
      <c r="D15" s="20">
        <f>Marzo!$AH14</f>
        <v>49</v>
      </c>
      <c r="E15" s="20">
        <f>Abril!$AH14</f>
        <v>42.98</v>
      </c>
      <c r="F15" s="20">
        <f>Mayo!$AH14</f>
        <v>37.7</v>
      </c>
      <c r="G15" s="20">
        <f>Junio!$AH14</f>
        <v>44.15</v>
      </c>
      <c r="H15" s="20">
        <f>Julio!$AH14</f>
        <v>12</v>
      </c>
      <c r="I15" s="20">
        <f>Agosto!$AH14</f>
        <v>0</v>
      </c>
      <c r="J15" s="20">
        <f>Septiembre!$AH14</f>
        <v>38.74</v>
      </c>
      <c r="K15" s="20">
        <f>Octubre!$AH14</f>
        <v>13.1</v>
      </c>
      <c r="L15" s="20">
        <f>Noviembre!$AH14</f>
        <v>12</v>
      </c>
      <c r="M15" s="20">
        <f>Diciembre!$AH14</f>
        <v>0</v>
      </c>
      <c r="N15" s="20">
        <f t="shared" si="2"/>
        <v>273.79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2" t="s">
        <v>14</v>
      </c>
      <c r="B16" s="23">
        <f>SUM(B9:B15)</f>
        <v>386.38</v>
      </c>
      <c r="C16" s="23">
        <f>SUM(C9:C14)</f>
        <v>569.62</v>
      </c>
      <c r="D16" s="23">
        <f t="shared" ref="D16:M16" si="3">SUM(D9:D15)</f>
        <v>780.71</v>
      </c>
      <c r="E16" s="23">
        <f t="shared" si="3"/>
        <v>828.74</v>
      </c>
      <c r="F16" s="23">
        <f t="shared" si="3"/>
        <v>497.75</v>
      </c>
      <c r="G16" s="23">
        <f t="shared" si="3"/>
        <v>556.2</v>
      </c>
      <c r="H16" s="23">
        <f t="shared" si="3"/>
        <v>751.29</v>
      </c>
      <c r="I16" s="23">
        <f t="shared" si="3"/>
        <v>567.32</v>
      </c>
      <c r="J16" s="23">
        <f t="shared" si="3"/>
        <v>795.15</v>
      </c>
      <c r="K16" s="24">
        <f t="shared" si="3"/>
        <v>552.26</v>
      </c>
      <c r="L16" s="23">
        <f t="shared" si="3"/>
        <v>325.46</v>
      </c>
      <c r="M16" s="23">
        <f t="shared" si="3"/>
        <v>2513.92</v>
      </c>
      <c r="N16" s="23">
        <f t="shared" si="2"/>
        <v>9124.8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5" t="s">
        <v>14</v>
      </c>
      <c r="B18" s="26">
        <f>Enero!AG20</f>
        <v>931.11</v>
      </c>
      <c r="C18" s="26">
        <f>Febrero!AD20</f>
        <v>1287.81</v>
      </c>
      <c r="D18" s="26">
        <f>Marzo!AG20</f>
        <v>1127.96</v>
      </c>
      <c r="E18" s="26">
        <f>Abril!AG20</f>
        <v>915.77</v>
      </c>
      <c r="F18" s="26">
        <f>Mayo!AG20</f>
        <v>939.99</v>
      </c>
      <c r="G18" s="26">
        <f>Junio!AG20</f>
        <v>1066.52</v>
      </c>
      <c r="H18" s="26">
        <f>Julio!AG20</f>
        <v>1809.44</v>
      </c>
      <c r="I18" s="26">
        <f>Agosto!AG20</f>
        <v>2643.19</v>
      </c>
      <c r="J18" s="26">
        <f>Septiembre!AG20</f>
        <v>3188.28</v>
      </c>
      <c r="K18" s="26">
        <f>Octubre!AG20</f>
        <v>3028.42</v>
      </c>
      <c r="L18" s="26">
        <f>Noviembre!AG20</f>
        <v>3064.96</v>
      </c>
      <c r="M18" s="26">
        <f>Diciembre!AG20</f>
        <v>1350.14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E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B20" s="27"/>
      <c r="C20" s="27"/>
      <c r="D20" s="27"/>
      <c r="E20" s="1"/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2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G23" s="28"/>
      <c r="H23" s="1"/>
      <c r="I23" s="29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B2:M3"/>
  </mergeCells>
  <conditionalFormatting sqref="B9:J15 K9:K16 L9:N15">
    <cfRule type="colorScale" priority="1">
      <colorScale>
        <cfvo type="min"/>
        <cfvo type="formula" val="10"/>
        <cfvo type="max"/>
        <color rgb="FFFFD8CE"/>
        <color rgb="FFF3AAA1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7"/>
      <c r="E4" s="35"/>
      <c r="F4" s="37"/>
      <c r="G4" s="35">
        <v>20.0</v>
      </c>
      <c r="H4" s="35">
        <v>50.0</v>
      </c>
      <c r="I4" s="37"/>
      <c r="J4" s="37"/>
      <c r="K4" s="37"/>
      <c r="L4" s="35"/>
      <c r="M4" s="37"/>
      <c r="N4" s="37"/>
      <c r="O4" s="35">
        <v>3.2</v>
      </c>
      <c r="P4" s="35"/>
      <c r="Q4" s="37">
        <f>40+100</f>
        <v>140</v>
      </c>
      <c r="R4" s="37">
        <f>3.2*2</f>
        <v>6.4</v>
      </c>
      <c r="S4" s="35">
        <v>20.0</v>
      </c>
      <c r="T4" s="37"/>
      <c r="U4" s="37"/>
      <c r="V4" s="37"/>
      <c r="W4" s="37"/>
      <c r="X4" s="35"/>
      <c r="Y4" s="35">
        <v>50.0</v>
      </c>
      <c r="Z4" s="35"/>
      <c r="AA4" s="35">
        <v>20.0</v>
      </c>
      <c r="AB4" s="37"/>
      <c r="AC4" s="35">
        <v>10.0</v>
      </c>
      <c r="AD4" s="37"/>
      <c r="AE4" s="35">
        <v>15.0</v>
      </c>
      <c r="AF4" s="35">
        <v>70.0</v>
      </c>
      <c r="AG4" s="37"/>
      <c r="AH4" s="38">
        <f>SUM(C4:AD4)</f>
        <v>319.6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V5" si="1">C4</f>
        <v/>
      </c>
      <c r="D5" s="38" t="str">
        <f t="shared" si="1"/>
        <v/>
      </c>
      <c r="E5" s="38" t="str">
        <f t="shared" si="1"/>
        <v/>
      </c>
      <c r="F5" s="38" t="str">
        <f t="shared" si="1"/>
        <v/>
      </c>
      <c r="G5" s="38">
        <f t="shared" si="1"/>
        <v>20</v>
      </c>
      <c r="H5" s="38">
        <f t="shared" si="1"/>
        <v>50</v>
      </c>
      <c r="I5" s="38" t="str">
        <f t="shared" si="1"/>
        <v/>
      </c>
      <c r="J5" s="38" t="str">
        <f t="shared" si="1"/>
        <v/>
      </c>
      <c r="K5" s="38" t="str">
        <f t="shared" si="1"/>
        <v/>
      </c>
      <c r="L5" s="38" t="str">
        <f t="shared" si="1"/>
        <v/>
      </c>
      <c r="M5" s="38" t="str">
        <f t="shared" si="1"/>
        <v/>
      </c>
      <c r="N5" s="38" t="str">
        <f t="shared" si="1"/>
        <v/>
      </c>
      <c r="O5" s="38">
        <f t="shared" si="1"/>
        <v>3.2</v>
      </c>
      <c r="P5" s="38" t="str">
        <f t="shared" si="1"/>
        <v/>
      </c>
      <c r="Q5" s="38">
        <f t="shared" si="1"/>
        <v>140</v>
      </c>
      <c r="R5" s="38">
        <f t="shared" si="1"/>
        <v>6.4</v>
      </c>
      <c r="S5" s="38">
        <f t="shared" si="1"/>
        <v>20</v>
      </c>
      <c r="T5" s="38" t="str">
        <f t="shared" si="1"/>
        <v/>
      </c>
      <c r="U5" s="38" t="str">
        <f t="shared" si="1"/>
        <v/>
      </c>
      <c r="V5" s="38" t="str">
        <f t="shared" si="1"/>
        <v/>
      </c>
      <c r="W5" s="38">
        <f>7.5</f>
        <v>7.5</v>
      </c>
      <c r="X5" s="38" t="str">
        <f t="shared" ref="X5:AH5" si="2">X4</f>
        <v/>
      </c>
      <c r="Y5" s="38">
        <f t="shared" si="2"/>
        <v>50</v>
      </c>
      <c r="Z5" s="38" t="str">
        <f t="shared" si="2"/>
        <v/>
      </c>
      <c r="AA5" s="38">
        <f t="shared" si="2"/>
        <v>20</v>
      </c>
      <c r="AB5" s="38" t="str">
        <f t="shared" si="2"/>
        <v/>
      </c>
      <c r="AC5" s="38">
        <f t="shared" si="2"/>
        <v>10</v>
      </c>
      <c r="AD5" s="38" t="str">
        <f t="shared" si="2"/>
        <v/>
      </c>
      <c r="AE5" s="38">
        <f t="shared" si="2"/>
        <v>15</v>
      </c>
      <c r="AF5" s="38">
        <f t="shared" si="2"/>
        <v>70</v>
      </c>
      <c r="AG5" s="38" t="str">
        <f t="shared" si="2"/>
        <v/>
      </c>
      <c r="AH5" s="38">
        <f t="shared" si="2"/>
        <v>319.6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4"/>
      <c r="D7" s="43"/>
      <c r="E7" s="43"/>
      <c r="F7" s="43"/>
      <c r="G7" s="43"/>
      <c r="H7" s="43"/>
      <c r="I7" s="44">
        <v>9.1</v>
      </c>
      <c r="J7" s="43"/>
      <c r="K7" s="44">
        <v>1.3</v>
      </c>
      <c r="L7" s="44">
        <v>2.7</v>
      </c>
      <c r="M7" s="44">
        <v>1.3</v>
      </c>
      <c r="N7" s="44">
        <v>1.3</v>
      </c>
      <c r="O7" s="44">
        <f>0.43+6.5+1.3+9.95</f>
        <v>18.18</v>
      </c>
      <c r="P7" s="44"/>
      <c r="Q7" s="44"/>
      <c r="R7" s="44">
        <v>1.3</v>
      </c>
      <c r="S7" s="44">
        <v>1.3</v>
      </c>
      <c r="T7" s="44">
        <v>1.3</v>
      </c>
      <c r="U7" s="44">
        <v>1.3</v>
      </c>
      <c r="V7" s="44">
        <v>1.3</v>
      </c>
      <c r="W7" s="45">
        <f>1.3+21+0.3</f>
        <v>22.6</v>
      </c>
      <c r="X7" s="46"/>
      <c r="Y7" s="44">
        <f>1.3+0.4</f>
        <v>1.7</v>
      </c>
      <c r="Z7" s="44">
        <v>1.3</v>
      </c>
      <c r="AA7" s="44">
        <v>1.3</v>
      </c>
      <c r="AB7" s="44">
        <v>1.3</v>
      </c>
      <c r="AC7" s="44">
        <f>1.3+2.5+3.2+9.5</f>
        <v>16.5</v>
      </c>
      <c r="AD7" s="43"/>
      <c r="AE7" s="43"/>
      <c r="AF7" s="44">
        <v>1.3</v>
      </c>
      <c r="AG7" s="44">
        <v>1.3</v>
      </c>
      <c r="AH7" s="47">
        <f t="shared" ref="AH7:AH15" si="3">SUM(C7:AG7)</f>
        <v>87.68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4" t="s">
        <v>24</v>
      </c>
      <c r="C8" s="44"/>
      <c r="D8" s="43"/>
      <c r="E8" s="43"/>
      <c r="F8" s="44"/>
      <c r="G8" s="43"/>
      <c r="H8" s="43"/>
      <c r="I8" s="43"/>
      <c r="J8" s="43"/>
      <c r="K8" s="43"/>
      <c r="L8" s="44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4"/>
      <c r="AH8" s="47">
        <f t="shared" si="3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4">
        <v>15.0</v>
      </c>
      <c r="N9" s="43"/>
      <c r="O9" s="43"/>
      <c r="P9" s="43"/>
      <c r="Q9" s="43"/>
      <c r="R9" s="43"/>
      <c r="S9" s="43"/>
      <c r="T9" s="43"/>
      <c r="U9" s="43"/>
      <c r="V9" s="43"/>
      <c r="W9" s="44">
        <v>49.99</v>
      </c>
      <c r="X9" s="43"/>
      <c r="Y9" s="43"/>
      <c r="Z9" s="43"/>
      <c r="AA9" s="44"/>
      <c r="AB9" s="43"/>
      <c r="AC9" s="43"/>
      <c r="AD9" s="43"/>
      <c r="AE9" s="43"/>
      <c r="AF9" s="43"/>
      <c r="AG9" s="44"/>
      <c r="AH9" s="47">
        <f t="shared" si="3"/>
        <v>64.99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4">
        <v>9.65</v>
      </c>
      <c r="F10" s="43"/>
      <c r="G10" s="43"/>
      <c r="H10" s="43"/>
      <c r="I10" s="44">
        <v>3.0</v>
      </c>
      <c r="J10" s="43"/>
      <c r="K10" s="43"/>
      <c r="L10" s="43"/>
      <c r="M10" s="43"/>
      <c r="N10" s="43"/>
      <c r="O10" s="43"/>
      <c r="P10" s="44">
        <v>104.98</v>
      </c>
      <c r="Q10" s="43"/>
      <c r="R10" s="43"/>
      <c r="S10" s="43"/>
      <c r="T10" s="43"/>
      <c r="U10" s="43"/>
      <c r="V10" s="43"/>
      <c r="W10" s="44"/>
      <c r="X10" s="43"/>
      <c r="Y10" s="44"/>
      <c r="Z10" s="43"/>
      <c r="AA10" s="44"/>
      <c r="AB10" s="44"/>
      <c r="AC10" s="43"/>
      <c r="AD10" s="43"/>
      <c r="AE10" s="43"/>
      <c r="AF10" s="43"/>
      <c r="AG10" s="44"/>
      <c r="AH10" s="47">
        <f t="shared" si="3"/>
        <v>117.63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4"/>
      <c r="E11" s="43"/>
      <c r="F11" s="44">
        <v>8.36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4">
        <f>2.99+15.99</f>
        <v>18.98</v>
      </c>
      <c r="AB11" s="43"/>
      <c r="AC11" s="43">
        <f>35</f>
        <v>35</v>
      </c>
      <c r="AD11" s="43"/>
      <c r="AE11" s="44">
        <v>11.84</v>
      </c>
      <c r="AF11" s="43"/>
      <c r="AG11" s="44"/>
      <c r="AH11" s="47">
        <f t="shared" si="3"/>
        <v>74.18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4"/>
      <c r="AH12" s="47">
        <f t="shared" si="3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4">
        <v>27.78</v>
      </c>
      <c r="AG13" s="44"/>
      <c r="AH13" s="47">
        <f t="shared" si="3"/>
        <v>27.78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3"/>
      <c r="M14" s="44">
        <v>10.0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4">
        <v>4.12</v>
      </c>
      <c r="AH14" s="47">
        <f t="shared" si="3"/>
        <v>14.12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4">C7+C8+C9+C10+C11+C12+C13+C14</f>
        <v>0</v>
      </c>
      <c r="D15" s="47">
        <f t="shared" si="4"/>
        <v>0</v>
      </c>
      <c r="E15" s="47">
        <f t="shared" si="4"/>
        <v>9.65</v>
      </c>
      <c r="F15" s="47">
        <f t="shared" si="4"/>
        <v>8.36</v>
      </c>
      <c r="G15" s="47">
        <f t="shared" si="4"/>
        <v>0</v>
      </c>
      <c r="H15" s="47">
        <f t="shared" si="4"/>
        <v>0</v>
      </c>
      <c r="I15" s="47">
        <f t="shared" si="4"/>
        <v>12.1</v>
      </c>
      <c r="J15" s="47">
        <f t="shared" si="4"/>
        <v>0</v>
      </c>
      <c r="K15" s="47">
        <f t="shared" si="4"/>
        <v>1.3</v>
      </c>
      <c r="L15" s="47">
        <f t="shared" si="4"/>
        <v>2.7</v>
      </c>
      <c r="M15" s="47">
        <f t="shared" si="4"/>
        <v>26.3</v>
      </c>
      <c r="N15" s="47">
        <f t="shared" si="4"/>
        <v>1.3</v>
      </c>
      <c r="O15" s="47">
        <f t="shared" si="4"/>
        <v>18.18</v>
      </c>
      <c r="P15" s="47">
        <f t="shared" si="4"/>
        <v>104.98</v>
      </c>
      <c r="Q15" s="47">
        <f t="shared" si="4"/>
        <v>0</v>
      </c>
      <c r="R15" s="47">
        <f t="shared" si="4"/>
        <v>1.3</v>
      </c>
      <c r="S15" s="47">
        <f t="shared" si="4"/>
        <v>1.3</v>
      </c>
      <c r="T15" s="47">
        <f t="shared" si="4"/>
        <v>1.3</v>
      </c>
      <c r="U15" s="47">
        <f t="shared" si="4"/>
        <v>1.3</v>
      </c>
      <c r="V15" s="47">
        <f t="shared" si="4"/>
        <v>1.3</v>
      </c>
      <c r="W15" s="47">
        <f t="shared" si="4"/>
        <v>72.59</v>
      </c>
      <c r="X15" s="47">
        <f t="shared" si="4"/>
        <v>0</v>
      </c>
      <c r="Y15" s="47">
        <f t="shared" si="4"/>
        <v>1.7</v>
      </c>
      <c r="Z15" s="47">
        <f t="shared" si="4"/>
        <v>1.3</v>
      </c>
      <c r="AA15" s="47">
        <f t="shared" si="4"/>
        <v>20.28</v>
      </c>
      <c r="AB15" s="47">
        <f t="shared" si="4"/>
        <v>1.3</v>
      </c>
      <c r="AC15" s="47">
        <f t="shared" si="4"/>
        <v>51.5</v>
      </c>
      <c r="AD15" s="47">
        <f t="shared" si="4"/>
        <v>0</v>
      </c>
      <c r="AE15" s="47">
        <f t="shared" si="4"/>
        <v>11.84</v>
      </c>
      <c r="AF15" s="47">
        <f t="shared" si="4"/>
        <v>29.08</v>
      </c>
      <c r="AG15" s="47">
        <f t="shared" si="4"/>
        <v>5.42</v>
      </c>
      <c r="AH15" s="47">
        <f t="shared" si="3"/>
        <v>386.38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905.39</f>
        <v>905.39</v>
      </c>
      <c r="C20" s="40">
        <f t="shared" ref="C20:AG20" si="5">C5-C15+B20</f>
        <v>905.39</v>
      </c>
      <c r="D20" s="40">
        <f t="shared" si="5"/>
        <v>905.39</v>
      </c>
      <c r="E20" s="40">
        <f t="shared" si="5"/>
        <v>895.74</v>
      </c>
      <c r="F20" s="40">
        <f t="shared" si="5"/>
        <v>887.38</v>
      </c>
      <c r="G20" s="40">
        <f t="shared" si="5"/>
        <v>907.38</v>
      </c>
      <c r="H20" s="40">
        <f t="shared" si="5"/>
        <v>957.38</v>
      </c>
      <c r="I20" s="40">
        <f t="shared" si="5"/>
        <v>945.28</v>
      </c>
      <c r="J20" s="40">
        <f t="shared" si="5"/>
        <v>945.28</v>
      </c>
      <c r="K20" s="40">
        <f t="shared" si="5"/>
        <v>943.98</v>
      </c>
      <c r="L20" s="40">
        <f t="shared" si="5"/>
        <v>941.28</v>
      </c>
      <c r="M20" s="40">
        <f t="shared" si="5"/>
        <v>914.98</v>
      </c>
      <c r="N20" s="40">
        <f t="shared" si="5"/>
        <v>913.68</v>
      </c>
      <c r="O20" s="40">
        <f t="shared" si="5"/>
        <v>898.7</v>
      </c>
      <c r="P20" s="40">
        <f t="shared" si="5"/>
        <v>793.72</v>
      </c>
      <c r="Q20" s="40">
        <f t="shared" si="5"/>
        <v>933.72</v>
      </c>
      <c r="R20" s="40">
        <f t="shared" si="5"/>
        <v>938.82</v>
      </c>
      <c r="S20" s="40">
        <f t="shared" si="5"/>
        <v>957.52</v>
      </c>
      <c r="T20" s="40">
        <f t="shared" si="5"/>
        <v>956.22</v>
      </c>
      <c r="U20" s="40">
        <f t="shared" si="5"/>
        <v>954.92</v>
      </c>
      <c r="V20" s="40">
        <f t="shared" si="5"/>
        <v>953.62</v>
      </c>
      <c r="W20" s="40">
        <f t="shared" si="5"/>
        <v>888.53</v>
      </c>
      <c r="X20" s="40">
        <f t="shared" si="5"/>
        <v>888.53</v>
      </c>
      <c r="Y20" s="40">
        <f t="shared" si="5"/>
        <v>936.83</v>
      </c>
      <c r="Z20" s="40">
        <f t="shared" si="5"/>
        <v>935.53</v>
      </c>
      <c r="AA20" s="40">
        <f t="shared" si="5"/>
        <v>935.25</v>
      </c>
      <c r="AB20" s="40">
        <f t="shared" si="5"/>
        <v>933.95</v>
      </c>
      <c r="AC20" s="40">
        <f t="shared" si="5"/>
        <v>892.45</v>
      </c>
      <c r="AD20" s="40">
        <f t="shared" si="5"/>
        <v>892.45</v>
      </c>
      <c r="AE20" s="40">
        <f t="shared" si="5"/>
        <v>895.61</v>
      </c>
      <c r="AF20" s="40">
        <f t="shared" si="5"/>
        <v>936.53</v>
      </c>
      <c r="AG20" s="40">
        <f t="shared" si="5"/>
        <v>931.11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4.43"/>
    <col customWidth="1" min="3" max="52" width="11.57"/>
  </cols>
  <sheetData>
    <row r="1" ht="12.75" customHeight="1">
      <c r="B1" s="30"/>
      <c r="AE1" s="30"/>
      <c r="AF1" s="3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ht="12.75" customHeight="1">
      <c r="B2" s="30"/>
      <c r="AE2" s="30"/>
      <c r="AF2" s="3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0"/>
      <c r="AF3" s="3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ht="12.75" customHeight="1">
      <c r="A4" s="34" t="s">
        <v>22</v>
      </c>
      <c r="B4" s="35" t="s">
        <v>13</v>
      </c>
      <c r="C4" s="36"/>
      <c r="D4" s="37"/>
      <c r="E4" s="35"/>
      <c r="F4" s="35">
        <v>20.0</v>
      </c>
      <c r="G4" s="37"/>
      <c r="H4" s="35">
        <f>3.5+40</f>
        <v>43.5</v>
      </c>
      <c r="I4" s="37"/>
      <c r="J4" s="37"/>
      <c r="K4" s="37"/>
      <c r="L4" s="37">
        <f>14.97+36.99+3.2*2</f>
        <v>58.36</v>
      </c>
      <c r="M4" s="35">
        <v>15.0</v>
      </c>
      <c r="N4" s="35">
        <v>50.0</v>
      </c>
      <c r="O4" s="37"/>
      <c r="P4" s="35">
        <f>0.36+30</f>
        <v>30.36</v>
      </c>
      <c r="Q4" s="35"/>
      <c r="R4" s="37"/>
      <c r="S4" s="37"/>
      <c r="T4" s="35"/>
      <c r="U4" s="37"/>
      <c r="V4" s="35">
        <v>400.0</v>
      </c>
      <c r="W4" s="35">
        <f>0.65+10</f>
        <v>10.65</v>
      </c>
      <c r="X4" s="35"/>
      <c r="Y4" s="37"/>
      <c r="Z4" s="35">
        <v>165.0</v>
      </c>
      <c r="AA4" s="35">
        <v>143.45</v>
      </c>
      <c r="AB4" s="37"/>
      <c r="AC4" s="37"/>
      <c r="AD4" s="37"/>
      <c r="AE4" s="38">
        <f>SUM(C4:AD4)</f>
        <v>936.32</v>
      </c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</row>
    <row r="5" ht="12.75" customHeight="1">
      <c r="A5" s="38" t="s">
        <v>14</v>
      </c>
      <c r="B5" s="39"/>
      <c r="C5" s="38" t="str">
        <f t="shared" ref="C5:AE5" si="1">C4</f>
        <v/>
      </c>
      <c r="D5" s="38" t="str">
        <f t="shared" si="1"/>
        <v/>
      </c>
      <c r="E5" s="38" t="str">
        <f t="shared" si="1"/>
        <v/>
      </c>
      <c r="F5" s="38">
        <f t="shared" si="1"/>
        <v>20</v>
      </c>
      <c r="G5" s="38" t="str">
        <f t="shared" si="1"/>
        <v/>
      </c>
      <c r="H5" s="38">
        <f t="shared" si="1"/>
        <v>43.5</v>
      </c>
      <c r="I5" s="38" t="str">
        <f t="shared" si="1"/>
        <v/>
      </c>
      <c r="J5" s="38" t="str">
        <f t="shared" si="1"/>
        <v/>
      </c>
      <c r="K5" s="38" t="str">
        <f t="shared" si="1"/>
        <v/>
      </c>
      <c r="L5" s="38">
        <f t="shared" si="1"/>
        <v>58.36</v>
      </c>
      <c r="M5" s="38">
        <f t="shared" si="1"/>
        <v>15</v>
      </c>
      <c r="N5" s="38">
        <f t="shared" si="1"/>
        <v>50</v>
      </c>
      <c r="O5" s="38" t="str">
        <f t="shared" si="1"/>
        <v/>
      </c>
      <c r="P5" s="38">
        <f t="shared" si="1"/>
        <v>30.36</v>
      </c>
      <c r="Q5" s="38" t="str">
        <f t="shared" si="1"/>
        <v/>
      </c>
      <c r="R5" s="38" t="str">
        <f t="shared" si="1"/>
        <v/>
      </c>
      <c r="S5" s="38" t="str">
        <f t="shared" si="1"/>
        <v/>
      </c>
      <c r="T5" s="38" t="str">
        <f t="shared" si="1"/>
        <v/>
      </c>
      <c r="U5" s="38" t="str">
        <f t="shared" si="1"/>
        <v/>
      </c>
      <c r="V5" s="38">
        <f t="shared" si="1"/>
        <v>400</v>
      </c>
      <c r="W5" s="38">
        <f t="shared" si="1"/>
        <v>10.65</v>
      </c>
      <c r="X5" s="38" t="str">
        <f t="shared" si="1"/>
        <v/>
      </c>
      <c r="Y5" s="38" t="str">
        <f t="shared" si="1"/>
        <v/>
      </c>
      <c r="Z5" s="38">
        <f t="shared" si="1"/>
        <v>165</v>
      </c>
      <c r="AA5" s="38">
        <f t="shared" si="1"/>
        <v>143.45</v>
      </c>
      <c r="AB5" s="38" t="str">
        <f t="shared" si="1"/>
        <v/>
      </c>
      <c r="AC5" s="38" t="str">
        <f t="shared" si="1"/>
        <v/>
      </c>
      <c r="AD5" s="38" t="str">
        <f t="shared" si="1"/>
        <v/>
      </c>
      <c r="AE5" s="38">
        <f t="shared" si="1"/>
        <v>936.32</v>
      </c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</row>
    <row r="7" ht="12.75" customHeight="1">
      <c r="A7" s="42" t="s">
        <v>23</v>
      </c>
      <c r="B7" s="43" t="s">
        <v>15</v>
      </c>
      <c r="C7" s="44">
        <v>1.3</v>
      </c>
      <c r="D7" s="44">
        <v>1.3</v>
      </c>
      <c r="E7" s="44">
        <v>1.3</v>
      </c>
      <c r="F7" s="43"/>
      <c r="G7" s="43"/>
      <c r="H7" s="44">
        <v>1.3</v>
      </c>
      <c r="I7" s="44">
        <v>1.3</v>
      </c>
      <c r="J7" s="44">
        <v>1.3</v>
      </c>
      <c r="K7" s="44">
        <v>1.3</v>
      </c>
      <c r="L7" s="44">
        <v>1.3</v>
      </c>
      <c r="M7" s="43">
        <f>1+15.82</f>
        <v>16.82</v>
      </c>
      <c r="N7" s="43"/>
      <c r="O7" s="44">
        <v>1.3</v>
      </c>
      <c r="P7" s="44">
        <v>1.3</v>
      </c>
      <c r="Q7" s="44">
        <v>1.3</v>
      </c>
      <c r="R7" s="44">
        <f>2.7+1.2</f>
        <v>3.9</v>
      </c>
      <c r="S7" s="44"/>
      <c r="T7" s="44">
        <f>4+4</f>
        <v>8</v>
      </c>
      <c r="U7" s="43"/>
      <c r="V7" s="44">
        <v>10.37</v>
      </c>
      <c r="W7" s="45">
        <f>3+5.5</f>
        <v>8.5</v>
      </c>
      <c r="X7" s="46"/>
      <c r="Y7" s="44">
        <v>1.3</v>
      </c>
      <c r="Z7" s="44">
        <v>22.0</v>
      </c>
      <c r="AA7" s="44">
        <v>3.0</v>
      </c>
      <c r="AB7" s="43"/>
      <c r="AC7" s="44">
        <v>1.3</v>
      </c>
      <c r="AD7" s="44">
        <v>1.3</v>
      </c>
      <c r="AE7" s="47">
        <f t="shared" ref="AE7:AE15" si="2">SUM(C7:AD7)</f>
        <v>90.79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7">
        <f t="shared" si="2"/>
        <v>0</v>
      </c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4">
        <v>15.0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4"/>
      <c r="Y9" s="43"/>
      <c r="Z9" s="43"/>
      <c r="AA9" s="44"/>
      <c r="AB9" s="43"/>
      <c r="AC9" s="43"/>
      <c r="AD9" s="43"/>
      <c r="AE9" s="47">
        <f t="shared" si="2"/>
        <v>15</v>
      </c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</row>
    <row r="10" ht="12.75" customHeight="1">
      <c r="A10" s="48"/>
      <c r="B10" s="44" t="s">
        <v>17</v>
      </c>
      <c r="C10" s="44">
        <v>11.84</v>
      </c>
      <c r="D10" s="43"/>
      <c r="E10" s="43"/>
      <c r="F10" s="43"/>
      <c r="G10" s="43"/>
      <c r="H10" s="44">
        <v>1.0</v>
      </c>
      <c r="I10" s="43"/>
      <c r="J10" s="43"/>
      <c r="K10" s="43"/>
      <c r="L10" s="43"/>
      <c r="M10" s="43">
        <f>1.37</f>
        <v>1.37</v>
      </c>
      <c r="N10" s="43"/>
      <c r="O10" s="44">
        <v>10.35</v>
      </c>
      <c r="P10" s="43"/>
      <c r="Q10" s="43"/>
      <c r="R10" s="44">
        <v>2.5</v>
      </c>
      <c r="S10" s="44">
        <v>12.0</v>
      </c>
      <c r="T10" s="44">
        <v>6.55</v>
      </c>
      <c r="U10" s="43"/>
      <c r="V10" s="43"/>
      <c r="W10" s="44">
        <f>6.5*2+18.2</f>
        <v>31.2</v>
      </c>
      <c r="X10" s="43"/>
      <c r="Y10" s="44"/>
      <c r="Z10" s="43"/>
      <c r="AA10" s="44"/>
      <c r="AB10" s="44"/>
      <c r="AC10" s="43"/>
      <c r="AD10" s="44">
        <v>29.99</v>
      </c>
      <c r="AE10" s="47">
        <f t="shared" si="2"/>
        <v>106.8</v>
      </c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</row>
    <row r="11" ht="12.75" customHeight="1">
      <c r="A11" s="48"/>
      <c r="B11" s="44" t="s">
        <v>18</v>
      </c>
      <c r="C11" s="43"/>
      <c r="D11" s="43"/>
      <c r="E11" s="43"/>
      <c r="F11" s="43"/>
      <c r="G11" s="43"/>
      <c r="H11" s="43"/>
      <c r="I11" s="43"/>
      <c r="J11" s="43">
        <f>54.87+93.95</f>
        <v>148.82</v>
      </c>
      <c r="K11" s="44">
        <v>39.99</v>
      </c>
      <c r="L11" s="44">
        <v>13.99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4">
        <v>29.99</v>
      </c>
      <c r="Y11" s="44">
        <v>2.99</v>
      </c>
      <c r="Z11" s="44">
        <v>15.99</v>
      </c>
      <c r="AA11" s="44"/>
      <c r="AB11" s="43"/>
      <c r="AC11" s="43"/>
      <c r="AD11" s="43"/>
      <c r="AE11" s="47">
        <f t="shared" si="2"/>
        <v>251.77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7">
        <f t="shared" si="2"/>
        <v>0</v>
      </c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>
        <v>15.0</v>
      </c>
      <c r="N13" s="44">
        <v>18.0</v>
      </c>
      <c r="O13" s="43"/>
      <c r="P13" s="43"/>
      <c r="Q13" s="44">
        <v>20.0</v>
      </c>
      <c r="R13" s="43"/>
      <c r="S13" s="43"/>
      <c r="T13" s="44">
        <v>32.26</v>
      </c>
      <c r="U13" s="43"/>
      <c r="V13" s="43"/>
      <c r="W13" s="43"/>
      <c r="X13" s="43"/>
      <c r="Y13" s="43"/>
      <c r="Z13" s="44">
        <v>20.0</v>
      </c>
      <c r="AA13" s="43"/>
      <c r="AB13" s="43"/>
      <c r="AC13" s="43"/>
      <c r="AD13" s="43"/>
      <c r="AE13" s="47">
        <f t="shared" si="2"/>
        <v>105.26</v>
      </c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</row>
    <row r="14" ht="12.75" customHeight="1">
      <c r="A14" s="50"/>
      <c r="B14" s="43" t="s">
        <v>21</v>
      </c>
      <c r="C14" s="44">
        <v>10.0</v>
      </c>
      <c r="D14" s="43"/>
      <c r="E14" s="43"/>
      <c r="F14" s="43"/>
      <c r="G14" s="43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7">
        <f t="shared" si="2"/>
        <v>10</v>
      </c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</row>
    <row r="15" ht="12.75" customHeight="1">
      <c r="A15" s="47" t="s">
        <v>14</v>
      </c>
      <c r="B15" s="51"/>
      <c r="C15" s="47">
        <f t="shared" ref="C15:AD15" si="3">C7+C8+C9+C10+C11+C12+C13+C14</f>
        <v>23.14</v>
      </c>
      <c r="D15" s="47">
        <f t="shared" si="3"/>
        <v>1.3</v>
      </c>
      <c r="E15" s="47">
        <f t="shared" si="3"/>
        <v>1.3</v>
      </c>
      <c r="F15" s="47">
        <f t="shared" si="3"/>
        <v>0</v>
      </c>
      <c r="G15" s="47">
        <f t="shared" si="3"/>
        <v>0</v>
      </c>
      <c r="H15" s="47">
        <f t="shared" si="3"/>
        <v>2.3</v>
      </c>
      <c r="I15" s="47">
        <f t="shared" si="3"/>
        <v>1.3</v>
      </c>
      <c r="J15" s="47">
        <f t="shared" si="3"/>
        <v>150.12</v>
      </c>
      <c r="K15" s="47">
        <f t="shared" si="3"/>
        <v>41.29</v>
      </c>
      <c r="L15" s="47">
        <f t="shared" si="3"/>
        <v>30.29</v>
      </c>
      <c r="M15" s="47">
        <f t="shared" si="3"/>
        <v>33.19</v>
      </c>
      <c r="N15" s="47">
        <f t="shared" si="3"/>
        <v>18</v>
      </c>
      <c r="O15" s="47">
        <f t="shared" si="3"/>
        <v>11.65</v>
      </c>
      <c r="P15" s="47">
        <f t="shared" si="3"/>
        <v>1.3</v>
      </c>
      <c r="Q15" s="47">
        <f t="shared" si="3"/>
        <v>21.3</v>
      </c>
      <c r="R15" s="47">
        <f t="shared" si="3"/>
        <v>6.4</v>
      </c>
      <c r="S15" s="47">
        <f t="shared" si="3"/>
        <v>12</v>
      </c>
      <c r="T15" s="47">
        <f t="shared" si="3"/>
        <v>46.81</v>
      </c>
      <c r="U15" s="47">
        <f t="shared" si="3"/>
        <v>0</v>
      </c>
      <c r="V15" s="47">
        <f t="shared" si="3"/>
        <v>10.37</v>
      </c>
      <c r="W15" s="47">
        <f t="shared" si="3"/>
        <v>39.7</v>
      </c>
      <c r="X15" s="47">
        <f t="shared" si="3"/>
        <v>29.99</v>
      </c>
      <c r="Y15" s="47">
        <f t="shared" si="3"/>
        <v>4.29</v>
      </c>
      <c r="Z15" s="47">
        <f t="shared" si="3"/>
        <v>57.99</v>
      </c>
      <c r="AA15" s="47">
        <f t="shared" si="3"/>
        <v>3</v>
      </c>
      <c r="AB15" s="47">
        <f t="shared" si="3"/>
        <v>0</v>
      </c>
      <c r="AC15" s="47">
        <f t="shared" si="3"/>
        <v>1.3</v>
      </c>
      <c r="AD15" s="47">
        <f t="shared" si="3"/>
        <v>31.29</v>
      </c>
      <c r="AE15" s="47">
        <f t="shared" si="2"/>
        <v>579.62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53" t="s">
        <v>14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</row>
    <row r="20" ht="12.75" customHeight="1">
      <c r="A20" s="54" t="s">
        <v>12</v>
      </c>
      <c r="B20" s="55">
        <f>Anual!B18</f>
        <v>931.11</v>
      </c>
      <c r="C20" s="40">
        <f t="shared" ref="C20:AE20" si="4">C5-C15+B20</f>
        <v>907.97</v>
      </c>
      <c r="D20" s="40">
        <f t="shared" si="4"/>
        <v>906.67</v>
      </c>
      <c r="E20" s="40">
        <f t="shared" si="4"/>
        <v>905.37</v>
      </c>
      <c r="F20" s="40">
        <f t="shared" si="4"/>
        <v>925.37</v>
      </c>
      <c r="G20" s="40">
        <f t="shared" si="4"/>
        <v>925.37</v>
      </c>
      <c r="H20" s="40">
        <f t="shared" si="4"/>
        <v>966.57</v>
      </c>
      <c r="I20" s="40">
        <f t="shared" si="4"/>
        <v>965.27</v>
      </c>
      <c r="J20" s="40">
        <f t="shared" si="4"/>
        <v>815.15</v>
      </c>
      <c r="K20" s="40">
        <f t="shared" si="4"/>
        <v>773.86</v>
      </c>
      <c r="L20" s="40">
        <f t="shared" si="4"/>
        <v>801.93</v>
      </c>
      <c r="M20" s="40">
        <f t="shared" si="4"/>
        <v>783.74</v>
      </c>
      <c r="N20" s="40">
        <f t="shared" si="4"/>
        <v>815.74</v>
      </c>
      <c r="O20" s="40">
        <f t="shared" si="4"/>
        <v>804.09</v>
      </c>
      <c r="P20" s="40">
        <f t="shared" si="4"/>
        <v>833.15</v>
      </c>
      <c r="Q20" s="40">
        <f t="shared" si="4"/>
        <v>811.85</v>
      </c>
      <c r="R20" s="40">
        <f t="shared" si="4"/>
        <v>805.45</v>
      </c>
      <c r="S20" s="40">
        <f t="shared" si="4"/>
        <v>793.45</v>
      </c>
      <c r="T20" s="40">
        <f t="shared" si="4"/>
        <v>746.64</v>
      </c>
      <c r="U20" s="40">
        <f t="shared" si="4"/>
        <v>746.64</v>
      </c>
      <c r="V20" s="40">
        <f t="shared" si="4"/>
        <v>1136.27</v>
      </c>
      <c r="W20" s="40">
        <f t="shared" si="4"/>
        <v>1107.22</v>
      </c>
      <c r="X20" s="40">
        <f t="shared" si="4"/>
        <v>1077.23</v>
      </c>
      <c r="Y20" s="40">
        <f t="shared" si="4"/>
        <v>1072.94</v>
      </c>
      <c r="Z20" s="40">
        <f t="shared" si="4"/>
        <v>1179.95</v>
      </c>
      <c r="AA20" s="40">
        <f t="shared" si="4"/>
        <v>1320.4</v>
      </c>
      <c r="AB20" s="40">
        <f t="shared" si="4"/>
        <v>1320.4</v>
      </c>
      <c r="AC20" s="40">
        <f t="shared" si="4"/>
        <v>1319.1</v>
      </c>
      <c r="AD20" s="40">
        <f t="shared" si="4"/>
        <v>1287.81</v>
      </c>
      <c r="AE20" s="31">
        <f t="shared" si="4"/>
        <v>1644.51</v>
      </c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</row>
  </sheetData>
  <mergeCells count="1">
    <mergeCell ref="A7:A14"/>
  </mergeCells>
  <conditionalFormatting sqref="C7:AD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D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7"/>
      <c r="E4" s="35"/>
      <c r="F4" s="37"/>
      <c r="G4" s="35">
        <v>50.0</v>
      </c>
      <c r="H4" s="37"/>
      <c r="I4" s="35">
        <v>294.41</v>
      </c>
      <c r="J4" s="37"/>
      <c r="K4" s="37"/>
      <c r="L4" s="35">
        <v>50.0</v>
      </c>
      <c r="M4" s="37"/>
      <c r="N4" s="37"/>
      <c r="O4" s="35">
        <v>60.0</v>
      </c>
      <c r="P4" s="35"/>
      <c r="Q4" s="37"/>
      <c r="R4" s="37"/>
      <c r="S4" s="35">
        <v>50.0</v>
      </c>
      <c r="T4" s="37"/>
      <c r="U4" s="37"/>
      <c r="V4" s="37"/>
      <c r="W4" s="37"/>
      <c r="X4" s="35"/>
      <c r="Y4" s="35">
        <v>15.0</v>
      </c>
      <c r="Z4" s="35">
        <v>50.78</v>
      </c>
      <c r="AA4" s="35">
        <v>0.67</v>
      </c>
      <c r="AB4" s="37"/>
      <c r="AC4" s="37"/>
      <c r="AD4" s="37"/>
      <c r="AE4" s="37"/>
      <c r="AF4" s="35">
        <v>50.0</v>
      </c>
      <c r="AG4" s="37"/>
      <c r="AH4" s="38">
        <f>SUM(C4:AD4)</f>
        <v>570.86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 t="str">
        <f t="shared" si="1"/>
        <v/>
      </c>
      <c r="E5" s="38" t="str">
        <f t="shared" si="1"/>
        <v/>
      </c>
      <c r="F5" s="38" t="str">
        <f t="shared" si="1"/>
        <v/>
      </c>
      <c r="G5" s="38">
        <f t="shared" si="1"/>
        <v>50</v>
      </c>
      <c r="H5" s="38" t="str">
        <f t="shared" si="1"/>
        <v/>
      </c>
      <c r="I5" s="38">
        <f t="shared" si="1"/>
        <v>294.41</v>
      </c>
      <c r="J5" s="38" t="str">
        <f t="shared" si="1"/>
        <v/>
      </c>
      <c r="K5" s="38" t="str">
        <f t="shared" si="1"/>
        <v/>
      </c>
      <c r="L5" s="38">
        <f t="shared" si="1"/>
        <v>50</v>
      </c>
      <c r="M5" s="38" t="str">
        <f t="shared" si="1"/>
        <v/>
      </c>
      <c r="N5" s="38" t="str">
        <f t="shared" si="1"/>
        <v/>
      </c>
      <c r="O5" s="38">
        <f t="shared" si="1"/>
        <v>60</v>
      </c>
      <c r="P5" s="38" t="str">
        <f t="shared" si="1"/>
        <v/>
      </c>
      <c r="Q5" s="38" t="str">
        <f t="shared" si="1"/>
        <v/>
      </c>
      <c r="R5" s="38" t="str">
        <f t="shared" si="1"/>
        <v/>
      </c>
      <c r="S5" s="38">
        <f t="shared" si="1"/>
        <v>50</v>
      </c>
      <c r="T5" s="38" t="str">
        <f t="shared" si="1"/>
        <v/>
      </c>
      <c r="U5" s="38" t="str">
        <f t="shared" si="1"/>
        <v/>
      </c>
      <c r="V5" s="38" t="str">
        <f t="shared" si="1"/>
        <v/>
      </c>
      <c r="W5" s="38" t="str">
        <f t="shared" si="1"/>
        <v/>
      </c>
      <c r="X5" s="38" t="str">
        <f t="shared" si="1"/>
        <v/>
      </c>
      <c r="Y5" s="38">
        <f t="shared" si="1"/>
        <v>15</v>
      </c>
      <c r="Z5" s="38">
        <f t="shared" si="1"/>
        <v>50.78</v>
      </c>
      <c r="AA5" s="38">
        <f t="shared" si="1"/>
        <v>0.67</v>
      </c>
      <c r="AB5" s="38" t="str">
        <f t="shared" si="1"/>
        <v/>
      </c>
      <c r="AC5" s="38" t="str">
        <f t="shared" si="1"/>
        <v/>
      </c>
      <c r="AD5" s="38" t="str">
        <f t="shared" si="1"/>
        <v/>
      </c>
      <c r="AE5" s="38" t="str">
        <f t="shared" si="1"/>
        <v/>
      </c>
      <c r="AF5" s="38">
        <f t="shared" si="1"/>
        <v>50</v>
      </c>
      <c r="AG5" s="38" t="str">
        <f t="shared" si="1"/>
        <v/>
      </c>
      <c r="AH5" s="38">
        <f t="shared" si="1"/>
        <v>570.86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56"/>
      <c r="P6" s="56"/>
      <c r="Q6" s="56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4">
        <v>1.3</v>
      </c>
      <c r="D7" s="44">
        <v>1.3</v>
      </c>
      <c r="E7" s="44">
        <v>1.3</v>
      </c>
      <c r="F7" s="43"/>
      <c r="G7" s="43"/>
      <c r="H7" s="44">
        <v>1.3</v>
      </c>
      <c r="I7" s="44">
        <v>1.3</v>
      </c>
      <c r="J7" s="43"/>
      <c r="K7" s="44">
        <v>1.3</v>
      </c>
      <c r="L7" s="44">
        <f>1.3*2</f>
        <v>2.6</v>
      </c>
      <c r="M7" s="43"/>
      <c r="N7" s="45"/>
      <c r="O7" s="44">
        <v>1.3</v>
      </c>
      <c r="P7" s="44">
        <v>1.3</v>
      </c>
      <c r="Q7" s="44"/>
      <c r="R7" s="44"/>
      <c r="S7" s="44"/>
      <c r="T7" s="44">
        <v>4.0</v>
      </c>
      <c r="U7" s="43"/>
      <c r="V7" s="43"/>
      <c r="W7" s="45"/>
      <c r="X7" s="46">
        <f>3.95+5.99</f>
        <v>9.94</v>
      </c>
      <c r="Y7" s="44"/>
      <c r="Z7" s="44"/>
      <c r="AA7" s="43"/>
      <c r="AB7" s="43"/>
      <c r="AC7" s="43"/>
      <c r="AD7" s="43"/>
      <c r="AE7" s="43"/>
      <c r="AF7" s="43"/>
      <c r="AG7" s="43"/>
      <c r="AH7" s="47">
        <f t="shared" ref="AH7:AH15" si="2">SUM(C7:AG7)</f>
        <v>26.94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4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4">
        <v>13.7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>
        <v>2.8</v>
      </c>
      <c r="P10" s="44">
        <v>0.9</v>
      </c>
      <c r="Q10" s="44">
        <v>12.99</v>
      </c>
      <c r="R10" s="44">
        <v>4.92</v>
      </c>
      <c r="S10" s="44">
        <v>7.97</v>
      </c>
      <c r="T10" s="43"/>
      <c r="U10" s="43"/>
      <c r="V10" s="43"/>
      <c r="W10" s="44"/>
      <c r="X10" s="43"/>
      <c r="Y10" s="44"/>
      <c r="Z10" s="43"/>
      <c r="AA10" s="44"/>
      <c r="AB10" s="44"/>
      <c r="AC10" s="43"/>
      <c r="AD10" s="43"/>
      <c r="AE10" s="43"/>
      <c r="AF10" s="43"/>
      <c r="AG10" s="43"/>
      <c r="AH10" s="47">
        <f t="shared" si="2"/>
        <v>43.28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4">
        <v>6.9</v>
      </c>
      <c r="D11" s="43"/>
      <c r="E11" s="43"/>
      <c r="F11" s="43"/>
      <c r="G11" s="43"/>
      <c r="H11" s="43"/>
      <c r="I11" s="43"/>
      <c r="J11" s="43"/>
      <c r="K11" s="44">
        <v>437.99</v>
      </c>
      <c r="L11" s="43"/>
      <c r="M11" s="44">
        <f>7.3+43.03</f>
        <v>50.33</v>
      </c>
      <c r="N11" s="44"/>
      <c r="O11" s="43"/>
      <c r="P11" s="43"/>
      <c r="Q11" s="43"/>
      <c r="R11" s="43"/>
      <c r="S11" s="43"/>
      <c r="T11" s="43"/>
      <c r="U11" s="43"/>
      <c r="V11" s="43"/>
      <c r="W11" s="43"/>
      <c r="X11" s="44">
        <v>12.0</v>
      </c>
      <c r="Y11" s="44">
        <v>2.99</v>
      </c>
      <c r="Z11" s="44">
        <v>15.99</v>
      </c>
      <c r="AA11" s="44"/>
      <c r="AB11" s="43"/>
      <c r="AC11" s="43"/>
      <c r="AD11" s="43"/>
      <c r="AE11" s="43"/>
      <c r="AF11" s="43"/>
      <c r="AG11" s="43"/>
      <c r="AH11" s="47">
        <f t="shared" si="2"/>
        <v>526.2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4">
        <v>31.6</v>
      </c>
      <c r="F13" s="43"/>
      <c r="G13" s="43"/>
      <c r="H13" s="43"/>
      <c r="I13" s="43"/>
      <c r="J13" s="43"/>
      <c r="K13" s="44">
        <v>40.0</v>
      </c>
      <c r="L13" s="43"/>
      <c r="M13" s="43"/>
      <c r="N13" s="43"/>
      <c r="O13" s="43"/>
      <c r="P13" s="43"/>
      <c r="Q13" s="43"/>
      <c r="R13" s="44">
        <v>30.0</v>
      </c>
      <c r="S13" s="43"/>
      <c r="T13" s="43"/>
      <c r="U13" s="43"/>
      <c r="V13" s="43"/>
      <c r="W13" s="43"/>
      <c r="X13" s="43"/>
      <c r="Y13" s="44">
        <v>33.69</v>
      </c>
      <c r="Z13" s="43"/>
      <c r="AA13" s="43"/>
      <c r="AB13" s="43"/>
      <c r="AC13" s="43"/>
      <c r="AD13" s="43"/>
      <c r="AE13" s="43"/>
      <c r="AF13" s="43"/>
      <c r="AG13" s="43"/>
      <c r="AH13" s="47">
        <f t="shared" si="2"/>
        <v>135.29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4"/>
      <c r="I14" s="44">
        <v>39.0</v>
      </c>
      <c r="J14" s="43"/>
      <c r="K14" s="44"/>
      <c r="L14" s="43"/>
      <c r="M14" s="43"/>
      <c r="N14" s="43"/>
      <c r="O14" s="43"/>
      <c r="P14" s="43"/>
      <c r="Q14" s="43"/>
      <c r="R14" s="44">
        <v>10.0</v>
      </c>
      <c r="S14" s="43"/>
      <c r="T14" s="43"/>
      <c r="U14" s="43"/>
      <c r="V14" s="43"/>
      <c r="W14" s="43"/>
      <c r="X14" s="43"/>
      <c r="Y14" s="44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49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8.2</v>
      </c>
      <c r="D15" s="47">
        <f t="shared" si="3"/>
        <v>15</v>
      </c>
      <c r="E15" s="47">
        <f t="shared" si="3"/>
        <v>32.9</v>
      </c>
      <c r="F15" s="47">
        <f t="shared" si="3"/>
        <v>0</v>
      </c>
      <c r="G15" s="47">
        <f t="shared" si="3"/>
        <v>0</v>
      </c>
      <c r="H15" s="47">
        <f t="shared" si="3"/>
        <v>1.3</v>
      </c>
      <c r="I15" s="47">
        <f t="shared" si="3"/>
        <v>40.3</v>
      </c>
      <c r="J15" s="47">
        <f t="shared" si="3"/>
        <v>0</v>
      </c>
      <c r="K15" s="47">
        <f t="shared" si="3"/>
        <v>479.29</v>
      </c>
      <c r="L15" s="47">
        <f t="shared" si="3"/>
        <v>2.6</v>
      </c>
      <c r="M15" s="47">
        <f t="shared" si="3"/>
        <v>50.33</v>
      </c>
      <c r="N15" s="47">
        <f t="shared" si="3"/>
        <v>0</v>
      </c>
      <c r="O15" s="47">
        <f t="shared" si="3"/>
        <v>4.1</v>
      </c>
      <c r="P15" s="47">
        <f t="shared" si="3"/>
        <v>2.2</v>
      </c>
      <c r="Q15" s="47">
        <f t="shared" si="3"/>
        <v>12.99</v>
      </c>
      <c r="R15" s="47">
        <f t="shared" si="3"/>
        <v>44.92</v>
      </c>
      <c r="S15" s="47">
        <f t="shared" si="3"/>
        <v>7.97</v>
      </c>
      <c r="T15" s="47">
        <f t="shared" si="3"/>
        <v>4</v>
      </c>
      <c r="U15" s="47">
        <f t="shared" si="3"/>
        <v>0</v>
      </c>
      <c r="V15" s="47">
        <f t="shared" si="3"/>
        <v>0</v>
      </c>
      <c r="W15" s="47">
        <f t="shared" si="3"/>
        <v>0</v>
      </c>
      <c r="X15" s="47">
        <f t="shared" si="3"/>
        <v>21.94</v>
      </c>
      <c r="Y15" s="47">
        <f t="shared" si="3"/>
        <v>36.68</v>
      </c>
      <c r="Z15" s="47">
        <f t="shared" si="3"/>
        <v>15.99</v>
      </c>
      <c r="AA15" s="47">
        <f t="shared" si="3"/>
        <v>0</v>
      </c>
      <c r="AB15" s="47">
        <f t="shared" si="3"/>
        <v>0</v>
      </c>
      <c r="AC15" s="47">
        <f t="shared" si="3"/>
        <v>0</v>
      </c>
      <c r="AD15" s="47">
        <f t="shared" si="3"/>
        <v>0</v>
      </c>
      <c r="AE15" s="47">
        <f t="shared" si="3"/>
        <v>0</v>
      </c>
      <c r="AF15" s="47">
        <f t="shared" si="3"/>
        <v>0</v>
      </c>
      <c r="AG15" s="47">
        <f t="shared" si="3"/>
        <v>0</v>
      </c>
      <c r="AH15" s="47">
        <f t="shared" si="2"/>
        <v>780.71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Anual!C18</f>
        <v>1287.81</v>
      </c>
      <c r="C20" s="40">
        <f t="shared" ref="C20:AG20" si="4">C5-C15+B20</f>
        <v>1279.61</v>
      </c>
      <c r="D20" s="40">
        <f t="shared" si="4"/>
        <v>1264.61</v>
      </c>
      <c r="E20" s="40">
        <f t="shared" si="4"/>
        <v>1231.71</v>
      </c>
      <c r="F20" s="40">
        <f t="shared" si="4"/>
        <v>1231.71</v>
      </c>
      <c r="G20" s="40">
        <f t="shared" si="4"/>
        <v>1281.71</v>
      </c>
      <c r="H20" s="40">
        <f t="shared" si="4"/>
        <v>1280.41</v>
      </c>
      <c r="I20" s="40">
        <f t="shared" si="4"/>
        <v>1534.52</v>
      </c>
      <c r="J20" s="40">
        <f t="shared" si="4"/>
        <v>1534.52</v>
      </c>
      <c r="K20" s="40">
        <f t="shared" si="4"/>
        <v>1055.23</v>
      </c>
      <c r="L20" s="40">
        <f t="shared" si="4"/>
        <v>1102.63</v>
      </c>
      <c r="M20" s="40">
        <f t="shared" si="4"/>
        <v>1052.3</v>
      </c>
      <c r="N20" s="40">
        <f t="shared" si="4"/>
        <v>1052.3</v>
      </c>
      <c r="O20" s="40">
        <f t="shared" si="4"/>
        <v>1108.2</v>
      </c>
      <c r="P20" s="40">
        <f t="shared" si="4"/>
        <v>1106</v>
      </c>
      <c r="Q20" s="40">
        <f t="shared" si="4"/>
        <v>1093.01</v>
      </c>
      <c r="R20" s="40">
        <f t="shared" si="4"/>
        <v>1048.09</v>
      </c>
      <c r="S20" s="40">
        <f t="shared" si="4"/>
        <v>1090.12</v>
      </c>
      <c r="T20" s="40">
        <f t="shared" si="4"/>
        <v>1086.12</v>
      </c>
      <c r="U20" s="40">
        <f t="shared" si="4"/>
        <v>1086.12</v>
      </c>
      <c r="V20" s="40">
        <f t="shared" si="4"/>
        <v>1086.12</v>
      </c>
      <c r="W20" s="40">
        <f t="shared" si="4"/>
        <v>1086.12</v>
      </c>
      <c r="X20" s="40">
        <f t="shared" si="4"/>
        <v>1064.18</v>
      </c>
      <c r="Y20" s="40">
        <f t="shared" si="4"/>
        <v>1042.5</v>
      </c>
      <c r="Z20" s="40">
        <f t="shared" si="4"/>
        <v>1077.29</v>
      </c>
      <c r="AA20" s="40">
        <f t="shared" si="4"/>
        <v>1077.96</v>
      </c>
      <c r="AB20" s="40">
        <f t="shared" si="4"/>
        <v>1077.96</v>
      </c>
      <c r="AC20" s="40">
        <f t="shared" si="4"/>
        <v>1077.96</v>
      </c>
      <c r="AD20" s="40">
        <f t="shared" si="4"/>
        <v>1077.96</v>
      </c>
      <c r="AE20" s="40">
        <f t="shared" si="4"/>
        <v>1077.96</v>
      </c>
      <c r="AF20" s="40">
        <f t="shared" si="4"/>
        <v>1127.96</v>
      </c>
      <c r="AG20" s="40">
        <f t="shared" si="4"/>
        <v>1127.96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G24" s="31"/>
      <c r="H24" s="53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G25" s="31"/>
      <c r="H25" s="53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7">
        <f>3.2*2</f>
        <v>6.4</v>
      </c>
      <c r="E4" s="35">
        <f>50+0.77</f>
        <v>50.77</v>
      </c>
      <c r="F4" s="37"/>
      <c r="G4" s="35">
        <v>141.09</v>
      </c>
      <c r="H4" s="35">
        <f>3+45</f>
        <v>48</v>
      </c>
      <c r="I4" s="35">
        <f>8+3+3.5</f>
        <v>14.5</v>
      </c>
      <c r="J4" s="35">
        <v>50.0</v>
      </c>
      <c r="K4" s="37"/>
      <c r="L4" s="37"/>
      <c r="M4" s="35">
        <v>7.0</v>
      </c>
      <c r="N4" s="37">
        <f>50+0.56+12</f>
        <v>62.56</v>
      </c>
      <c r="O4" s="37"/>
      <c r="P4" s="35"/>
      <c r="Q4" s="37"/>
      <c r="R4" s="37"/>
      <c r="S4" s="37"/>
      <c r="T4" s="35">
        <v>50.0</v>
      </c>
      <c r="U4" s="37"/>
      <c r="V4" s="35">
        <v>60.0</v>
      </c>
      <c r="W4" s="37"/>
      <c r="X4" s="35"/>
      <c r="Y4" s="37"/>
      <c r="Z4" s="35">
        <v>7.0</v>
      </c>
      <c r="AA4" s="35">
        <v>50.0</v>
      </c>
      <c r="AB4" s="37"/>
      <c r="AC4" s="35">
        <v>40.0</v>
      </c>
      <c r="AD4" s="35">
        <f>50+30</f>
        <v>80</v>
      </c>
      <c r="AE4" s="37"/>
      <c r="AF4" s="37"/>
      <c r="AG4" s="37"/>
      <c r="AH4" s="38">
        <f>SUM(C4:AD4)</f>
        <v>667.32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D5" si="1">C4</f>
        <v/>
      </c>
      <c r="D5" s="38">
        <f t="shared" si="1"/>
        <v>6.4</v>
      </c>
      <c r="E5" s="38"/>
      <c r="F5" s="38" t="str">
        <f t="shared" ref="F5:AH5" si="2">F4</f>
        <v/>
      </c>
      <c r="G5" s="38">
        <f t="shared" si="2"/>
        <v>141.09</v>
      </c>
      <c r="H5" s="38">
        <f t="shared" si="2"/>
        <v>48</v>
      </c>
      <c r="I5" s="38">
        <f t="shared" si="2"/>
        <v>14.5</v>
      </c>
      <c r="J5" s="38">
        <f t="shared" si="2"/>
        <v>50</v>
      </c>
      <c r="K5" s="38" t="str">
        <f t="shared" si="2"/>
        <v/>
      </c>
      <c r="L5" s="38" t="str">
        <f t="shared" si="2"/>
        <v/>
      </c>
      <c r="M5" s="38">
        <f t="shared" si="2"/>
        <v>7</v>
      </c>
      <c r="N5" s="38">
        <f t="shared" si="2"/>
        <v>62.56</v>
      </c>
      <c r="O5" s="38" t="str">
        <f t="shared" si="2"/>
        <v/>
      </c>
      <c r="P5" s="38" t="str">
        <f t="shared" si="2"/>
        <v/>
      </c>
      <c r="Q5" s="38" t="str">
        <f t="shared" si="2"/>
        <v/>
      </c>
      <c r="R5" s="38" t="str">
        <f t="shared" si="2"/>
        <v/>
      </c>
      <c r="S5" s="38" t="str">
        <f t="shared" si="2"/>
        <v/>
      </c>
      <c r="T5" s="38">
        <f t="shared" si="2"/>
        <v>50</v>
      </c>
      <c r="U5" s="38" t="str">
        <f t="shared" si="2"/>
        <v/>
      </c>
      <c r="V5" s="38">
        <f t="shared" si="2"/>
        <v>60</v>
      </c>
      <c r="W5" s="38" t="str">
        <f t="shared" si="2"/>
        <v/>
      </c>
      <c r="X5" s="38" t="str">
        <f t="shared" si="2"/>
        <v/>
      </c>
      <c r="Y5" s="38" t="str">
        <f t="shared" si="2"/>
        <v/>
      </c>
      <c r="Z5" s="38">
        <f t="shared" si="2"/>
        <v>7</v>
      </c>
      <c r="AA5" s="38">
        <f t="shared" si="2"/>
        <v>50</v>
      </c>
      <c r="AB5" s="38" t="str">
        <f t="shared" si="2"/>
        <v/>
      </c>
      <c r="AC5" s="38">
        <f t="shared" si="2"/>
        <v>40</v>
      </c>
      <c r="AD5" s="38">
        <f t="shared" si="2"/>
        <v>80</v>
      </c>
      <c r="AE5" s="38" t="str">
        <f t="shared" si="2"/>
        <v/>
      </c>
      <c r="AF5" s="38" t="str">
        <f t="shared" si="2"/>
        <v/>
      </c>
      <c r="AG5" s="38" t="str">
        <f t="shared" si="2"/>
        <v/>
      </c>
      <c r="AH5" s="38">
        <f t="shared" si="2"/>
        <v>667.32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3"/>
      <c r="E7" s="43"/>
      <c r="F7" s="43"/>
      <c r="G7" s="43">
        <f>19</f>
        <v>19</v>
      </c>
      <c r="H7" s="44">
        <v>27.23</v>
      </c>
      <c r="I7" s="44">
        <v>21.33</v>
      </c>
      <c r="J7" s="44">
        <v>2.8</v>
      </c>
      <c r="K7" s="43"/>
      <c r="L7" s="43"/>
      <c r="M7" s="44">
        <v>12.5</v>
      </c>
      <c r="N7" s="44">
        <v>25.9</v>
      </c>
      <c r="O7" s="43"/>
      <c r="P7" s="44"/>
      <c r="Q7" s="44"/>
      <c r="R7" s="44">
        <v>16.55</v>
      </c>
      <c r="S7" s="44"/>
      <c r="T7" s="44"/>
      <c r="U7" s="44">
        <v>16.45</v>
      </c>
      <c r="V7" s="43"/>
      <c r="W7" s="45"/>
      <c r="X7" s="46">
        <v>3.3</v>
      </c>
      <c r="Y7" s="44">
        <f>15.36+3.5</f>
        <v>18.86</v>
      </c>
      <c r="Z7" s="44"/>
      <c r="AA7" s="44">
        <v>2.99</v>
      </c>
      <c r="AB7" s="44">
        <f>17.1+0.54</f>
        <v>17.64</v>
      </c>
      <c r="AC7" s="43"/>
      <c r="AD7" s="43"/>
      <c r="AE7" s="43"/>
      <c r="AF7" s="43"/>
      <c r="AG7" s="43"/>
      <c r="AH7" s="47">
        <f t="shared" ref="AH7:AH15" si="3">SUM(C7:AG7)</f>
        <v>184.55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3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4">
        <v>69.94</v>
      </c>
      <c r="P9" s="43"/>
      <c r="Q9" s="43"/>
      <c r="R9" s="43"/>
      <c r="S9" s="43"/>
      <c r="T9" s="43"/>
      <c r="U9" s="43"/>
      <c r="V9" s="43"/>
      <c r="W9" s="43"/>
      <c r="X9" s="44">
        <v>6.5</v>
      </c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3"/>
        <v>76.44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3"/>
      <c r="F10" s="43"/>
      <c r="G10" s="44">
        <f>2+16.44+2</f>
        <v>20.44</v>
      </c>
      <c r="H10" s="43"/>
      <c r="I10" s="43"/>
      <c r="J10" s="43">
        <f>12</f>
        <v>12</v>
      </c>
      <c r="K10" s="43"/>
      <c r="L10" s="43"/>
      <c r="M10" s="44">
        <v>6.8</v>
      </c>
      <c r="N10" s="43"/>
      <c r="O10" s="43"/>
      <c r="P10" s="44">
        <v>12.99</v>
      </c>
      <c r="Q10" s="43"/>
      <c r="R10" s="43"/>
      <c r="S10" s="43">
        <f>4+4.8</f>
        <v>8.8</v>
      </c>
      <c r="T10" s="43"/>
      <c r="U10" s="43"/>
      <c r="V10" s="44">
        <v>5.15</v>
      </c>
      <c r="W10" s="44">
        <v>17.2</v>
      </c>
      <c r="X10" s="44">
        <v>21.0</v>
      </c>
      <c r="Y10" s="44">
        <v>8.0</v>
      </c>
      <c r="Z10" s="43"/>
      <c r="AA10" s="44"/>
      <c r="AB10" s="44"/>
      <c r="AC10" s="44">
        <v>5.18</v>
      </c>
      <c r="AD10" s="44">
        <v>0.6</v>
      </c>
      <c r="AE10" s="44">
        <f>23.26+18.48</f>
        <v>41.74</v>
      </c>
      <c r="AF10" s="43"/>
      <c r="AG10" s="43"/>
      <c r="AH10" s="47">
        <f t="shared" si="3"/>
        <v>159.9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3"/>
      <c r="E11" s="43"/>
      <c r="F11" s="43"/>
      <c r="G11" s="43">
        <f>8.28+31.88-21</f>
        <v>19.16</v>
      </c>
      <c r="H11" s="43"/>
      <c r="I11" s="43"/>
      <c r="J11" s="43"/>
      <c r="K11" s="43"/>
      <c r="L11" s="43"/>
      <c r="M11" s="43"/>
      <c r="N11" s="43"/>
      <c r="O11" s="44">
        <f>8.28+31.88</f>
        <v>40.16</v>
      </c>
      <c r="P11" s="44">
        <v>3.95</v>
      </c>
      <c r="Q11" s="43"/>
      <c r="R11" s="43"/>
      <c r="S11" s="43"/>
      <c r="T11" s="43"/>
      <c r="U11" s="43"/>
      <c r="V11" s="44">
        <f>2.99+199.34</f>
        <v>202.33</v>
      </c>
      <c r="W11" s="43"/>
      <c r="X11" s="43"/>
      <c r="Y11" s="43"/>
      <c r="Z11" s="43"/>
      <c r="AA11" s="44"/>
      <c r="AB11" s="43"/>
      <c r="AC11" s="43"/>
      <c r="AD11" s="43"/>
      <c r="AE11" s="44">
        <v>8.96</v>
      </c>
      <c r="AF11" s="43"/>
      <c r="AG11" s="43"/>
      <c r="AH11" s="47">
        <f t="shared" si="3"/>
        <v>274.56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3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4">
        <f>1+3.71</f>
        <v>4.71</v>
      </c>
      <c r="H13" s="43"/>
      <c r="I13" s="43"/>
      <c r="J13" s="43"/>
      <c r="K13" s="43"/>
      <c r="L13" s="43"/>
      <c r="M13" s="44">
        <v>27.8</v>
      </c>
      <c r="N13" s="43"/>
      <c r="O13" s="44"/>
      <c r="P13" s="43"/>
      <c r="Q13" s="43"/>
      <c r="R13" s="43"/>
      <c r="S13" s="44">
        <v>27.8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4">
        <v>30.0</v>
      </c>
      <c r="AF13" s="43"/>
      <c r="AG13" s="43"/>
      <c r="AH13" s="47">
        <f t="shared" si="3"/>
        <v>90.31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3"/>
      <c r="M14" s="44"/>
      <c r="N14" s="43"/>
      <c r="O14" s="44">
        <v>10.0</v>
      </c>
      <c r="P14" s="43"/>
      <c r="Q14" s="43"/>
      <c r="R14" s="43"/>
      <c r="S14" s="43"/>
      <c r="T14" s="44"/>
      <c r="U14" s="43"/>
      <c r="V14" s="44">
        <v>32.0</v>
      </c>
      <c r="W14" s="43"/>
      <c r="X14" s="43"/>
      <c r="Y14" s="43"/>
      <c r="Z14" s="43"/>
      <c r="AA14" s="43"/>
      <c r="AB14" s="43"/>
      <c r="AC14" s="44">
        <v>0.98</v>
      </c>
      <c r="AD14" s="43"/>
      <c r="AE14" s="43"/>
      <c r="AF14" s="43"/>
      <c r="AG14" s="43"/>
      <c r="AH14" s="47">
        <f t="shared" si="3"/>
        <v>42.98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4">C7+C8+C9+C10+C11+C12+C13+C14</f>
        <v>0</v>
      </c>
      <c r="D15" s="47">
        <f t="shared" si="4"/>
        <v>0</v>
      </c>
      <c r="E15" s="47">
        <f t="shared" si="4"/>
        <v>0</v>
      </c>
      <c r="F15" s="47">
        <f t="shared" si="4"/>
        <v>0</v>
      </c>
      <c r="G15" s="47">
        <f t="shared" si="4"/>
        <v>63.31</v>
      </c>
      <c r="H15" s="47">
        <f t="shared" si="4"/>
        <v>27.23</v>
      </c>
      <c r="I15" s="47">
        <f t="shared" si="4"/>
        <v>21.33</v>
      </c>
      <c r="J15" s="47">
        <f t="shared" si="4"/>
        <v>14.8</v>
      </c>
      <c r="K15" s="47">
        <f t="shared" si="4"/>
        <v>0</v>
      </c>
      <c r="L15" s="47">
        <f t="shared" si="4"/>
        <v>0</v>
      </c>
      <c r="M15" s="47">
        <f t="shared" si="4"/>
        <v>47.1</v>
      </c>
      <c r="N15" s="47">
        <f t="shared" si="4"/>
        <v>25.9</v>
      </c>
      <c r="O15" s="47">
        <f t="shared" si="4"/>
        <v>120.1</v>
      </c>
      <c r="P15" s="47">
        <f t="shared" si="4"/>
        <v>16.94</v>
      </c>
      <c r="Q15" s="47">
        <f t="shared" si="4"/>
        <v>0</v>
      </c>
      <c r="R15" s="47">
        <f t="shared" si="4"/>
        <v>16.55</v>
      </c>
      <c r="S15" s="47">
        <f t="shared" si="4"/>
        <v>36.6</v>
      </c>
      <c r="T15" s="47">
        <f t="shared" si="4"/>
        <v>0</v>
      </c>
      <c r="U15" s="47">
        <f t="shared" si="4"/>
        <v>16.45</v>
      </c>
      <c r="V15" s="47">
        <f t="shared" si="4"/>
        <v>239.48</v>
      </c>
      <c r="W15" s="47">
        <f t="shared" si="4"/>
        <v>17.2</v>
      </c>
      <c r="X15" s="47">
        <f t="shared" si="4"/>
        <v>30.8</v>
      </c>
      <c r="Y15" s="47">
        <f t="shared" si="4"/>
        <v>26.86</v>
      </c>
      <c r="Z15" s="47">
        <f t="shared" si="4"/>
        <v>0</v>
      </c>
      <c r="AA15" s="47">
        <f t="shared" si="4"/>
        <v>2.99</v>
      </c>
      <c r="AB15" s="47">
        <f t="shared" si="4"/>
        <v>17.64</v>
      </c>
      <c r="AC15" s="47">
        <f t="shared" si="4"/>
        <v>6.16</v>
      </c>
      <c r="AD15" s="47">
        <f t="shared" si="4"/>
        <v>0.6</v>
      </c>
      <c r="AE15" s="47">
        <f t="shared" si="4"/>
        <v>80.7</v>
      </c>
      <c r="AF15" s="47">
        <f t="shared" si="4"/>
        <v>0</v>
      </c>
      <c r="AG15" s="47">
        <f t="shared" si="4"/>
        <v>0</v>
      </c>
      <c r="AH15" s="47">
        <f t="shared" si="3"/>
        <v>828.74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Anual!D18</f>
        <v>1127.96</v>
      </c>
      <c r="C20" s="40">
        <f t="shared" ref="C20:AG20" si="5">C5-C15+B20</f>
        <v>1127.96</v>
      </c>
      <c r="D20" s="40">
        <f t="shared" si="5"/>
        <v>1134.36</v>
      </c>
      <c r="E20" s="40">
        <f t="shared" si="5"/>
        <v>1134.36</v>
      </c>
      <c r="F20" s="40">
        <f t="shared" si="5"/>
        <v>1134.36</v>
      </c>
      <c r="G20" s="40">
        <f t="shared" si="5"/>
        <v>1212.14</v>
      </c>
      <c r="H20" s="40">
        <f t="shared" si="5"/>
        <v>1232.91</v>
      </c>
      <c r="I20" s="40">
        <f t="shared" si="5"/>
        <v>1226.08</v>
      </c>
      <c r="J20" s="40">
        <f t="shared" si="5"/>
        <v>1261.28</v>
      </c>
      <c r="K20" s="40">
        <f t="shared" si="5"/>
        <v>1261.28</v>
      </c>
      <c r="L20" s="40">
        <f t="shared" si="5"/>
        <v>1261.28</v>
      </c>
      <c r="M20" s="40">
        <f t="shared" si="5"/>
        <v>1221.18</v>
      </c>
      <c r="N20" s="40">
        <f t="shared" si="5"/>
        <v>1257.84</v>
      </c>
      <c r="O20" s="40">
        <f t="shared" si="5"/>
        <v>1137.74</v>
      </c>
      <c r="P20" s="40">
        <f t="shared" si="5"/>
        <v>1120.8</v>
      </c>
      <c r="Q20" s="40">
        <f t="shared" si="5"/>
        <v>1120.8</v>
      </c>
      <c r="R20" s="40">
        <f t="shared" si="5"/>
        <v>1104.25</v>
      </c>
      <c r="S20" s="40">
        <f t="shared" si="5"/>
        <v>1067.65</v>
      </c>
      <c r="T20" s="40">
        <f t="shared" si="5"/>
        <v>1117.65</v>
      </c>
      <c r="U20" s="40">
        <f t="shared" si="5"/>
        <v>1101.2</v>
      </c>
      <c r="V20" s="40">
        <f t="shared" si="5"/>
        <v>921.72</v>
      </c>
      <c r="W20" s="40">
        <f t="shared" si="5"/>
        <v>904.52</v>
      </c>
      <c r="X20" s="40">
        <f t="shared" si="5"/>
        <v>873.72</v>
      </c>
      <c r="Y20" s="40">
        <f t="shared" si="5"/>
        <v>846.86</v>
      </c>
      <c r="Z20" s="40">
        <f t="shared" si="5"/>
        <v>853.86</v>
      </c>
      <c r="AA20" s="40">
        <f t="shared" si="5"/>
        <v>900.87</v>
      </c>
      <c r="AB20" s="40">
        <f t="shared" si="5"/>
        <v>883.23</v>
      </c>
      <c r="AC20" s="40">
        <f t="shared" si="5"/>
        <v>917.07</v>
      </c>
      <c r="AD20" s="40">
        <f t="shared" si="5"/>
        <v>996.47</v>
      </c>
      <c r="AE20" s="40">
        <f t="shared" si="5"/>
        <v>915.77</v>
      </c>
      <c r="AF20" s="40">
        <f t="shared" si="5"/>
        <v>915.77</v>
      </c>
      <c r="AG20" s="40">
        <f t="shared" si="5"/>
        <v>915.77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7"/>
      <c r="E4" s="35">
        <f>3.2*3</f>
        <v>9.6</v>
      </c>
      <c r="F4" s="37"/>
      <c r="G4" s="35">
        <v>8.96</v>
      </c>
      <c r="H4" s="35">
        <v>50.0</v>
      </c>
      <c r="I4" s="35">
        <v>40.0</v>
      </c>
      <c r="J4" s="37"/>
      <c r="K4" s="37"/>
      <c r="L4" s="37"/>
      <c r="M4" s="35">
        <v>20.0</v>
      </c>
      <c r="N4" s="35">
        <f>50+50</f>
        <v>100</v>
      </c>
      <c r="O4" s="37"/>
      <c r="P4" s="35"/>
      <c r="Q4" s="37"/>
      <c r="R4" s="35">
        <f>50+10</f>
        <v>60</v>
      </c>
      <c r="S4" s="37"/>
      <c r="T4" s="37"/>
      <c r="U4" s="37"/>
      <c r="V4" s="37"/>
      <c r="W4" s="37">
        <f>50+2.7+3.2</f>
        <v>55.9</v>
      </c>
      <c r="X4" s="35"/>
      <c r="Y4" s="37">
        <f>3.2*2</f>
        <v>6.4</v>
      </c>
      <c r="Z4" s="35">
        <v>60.0</v>
      </c>
      <c r="AA4" s="37"/>
      <c r="AB4" s="35">
        <v>50.0</v>
      </c>
      <c r="AC4" s="37"/>
      <c r="AD4" s="35">
        <v>50.0</v>
      </c>
      <c r="AE4" s="37"/>
      <c r="AF4" s="37">
        <f>0.55+0.01</f>
        <v>0.56</v>
      </c>
      <c r="AG4" s="35">
        <f>10+0.55</f>
        <v>10.55</v>
      </c>
      <c r="AH4" s="38">
        <f>SUM(C4:AD4)</f>
        <v>510.86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 t="str">
        <f t="shared" si="1"/>
        <v/>
      </c>
      <c r="E5" s="38">
        <f t="shared" si="1"/>
        <v>9.6</v>
      </c>
      <c r="F5" s="38" t="str">
        <f t="shared" si="1"/>
        <v/>
      </c>
      <c r="G5" s="38">
        <f t="shared" si="1"/>
        <v>8.96</v>
      </c>
      <c r="H5" s="38">
        <f t="shared" si="1"/>
        <v>50</v>
      </c>
      <c r="I5" s="38">
        <f t="shared" si="1"/>
        <v>40</v>
      </c>
      <c r="J5" s="38" t="str">
        <f t="shared" si="1"/>
        <v/>
      </c>
      <c r="K5" s="38" t="str">
        <f t="shared" si="1"/>
        <v/>
      </c>
      <c r="L5" s="38" t="str">
        <f t="shared" si="1"/>
        <v/>
      </c>
      <c r="M5" s="38">
        <f t="shared" si="1"/>
        <v>20</v>
      </c>
      <c r="N5" s="38">
        <f t="shared" si="1"/>
        <v>100</v>
      </c>
      <c r="O5" s="38" t="str">
        <f t="shared" si="1"/>
        <v/>
      </c>
      <c r="P5" s="38" t="str">
        <f t="shared" si="1"/>
        <v/>
      </c>
      <c r="Q5" s="38" t="str">
        <f t="shared" si="1"/>
        <v/>
      </c>
      <c r="R5" s="38">
        <f t="shared" si="1"/>
        <v>60</v>
      </c>
      <c r="S5" s="38" t="str">
        <f t="shared" si="1"/>
        <v/>
      </c>
      <c r="T5" s="38" t="str">
        <f t="shared" si="1"/>
        <v/>
      </c>
      <c r="U5" s="38" t="str">
        <f t="shared" si="1"/>
        <v/>
      </c>
      <c r="V5" s="38" t="str">
        <f t="shared" si="1"/>
        <v/>
      </c>
      <c r="W5" s="38">
        <f t="shared" si="1"/>
        <v>55.9</v>
      </c>
      <c r="X5" s="38" t="str">
        <f t="shared" si="1"/>
        <v/>
      </c>
      <c r="Y5" s="38">
        <f t="shared" si="1"/>
        <v>6.4</v>
      </c>
      <c r="Z5" s="38">
        <f t="shared" si="1"/>
        <v>60</v>
      </c>
      <c r="AA5" s="38" t="str">
        <f t="shared" si="1"/>
        <v/>
      </c>
      <c r="AB5" s="38">
        <f t="shared" si="1"/>
        <v>50</v>
      </c>
      <c r="AC5" s="38" t="str">
        <f t="shared" si="1"/>
        <v/>
      </c>
      <c r="AD5" s="38">
        <f t="shared" si="1"/>
        <v>50</v>
      </c>
      <c r="AE5" s="38" t="str">
        <f t="shared" si="1"/>
        <v/>
      </c>
      <c r="AF5" s="38">
        <f t="shared" si="1"/>
        <v>0.56</v>
      </c>
      <c r="AG5" s="38">
        <f t="shared" si="1"/>
        <v>10.55</v>
      </c>
      <c r="AH5" s="38">
        <f t="shared" si="1"/>
        <v>510.86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56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4">
        <v>2.5</v>
      </c>
      <c r="E7" s="43">
        <f>12.5+1.9</f>
        <v>14.4</v>
      </c>
      <c r="F7" s="43"/>
      <c r="G7" s="43"/>
      <c r="H7" s="43"/>
      <c r="I7" s="43"/>
      <c r="J7" s="43"/>
      <c r="K7" s="43"/>
      <c r="L7" s="43"/>
      <c r="M7" s="43"/>
      <c r="N7" s="43"/>
      <c r="O7" s="44">
        <v>18.4</v>
      </c>
      <c r="P7" s="44"/>
      <c r="Q7" s="44">
        <f>5.5+2.5</f>
        <v>8</v>
      </c>
      <c r="R7" s="44"/>
      <c r="S7" s="44"/>
      <c r="T7" s="44"/>
      <c r="U7" s="43"/>
      <c r="V7" s="43"/>
      <c r="W7" s="45"/>
      <c r="X7" s="46"/>
      <c r="Y7" s="44"/>
      <c r="Z7" s="44"/>
      <c r="AA7" s="44">
        <v>12.21</v>
      </c>
      <c r="AB7" s="43"/>
      <c r="AC7" s="43"/>
      <c r="AD7" s="43"/>
      <c r="AE7" s="43"/>
      <c r="AF7" s="44">
        <v>12.21</v>
      </c>
      <c r="AG7" s="44">
        <v>16.56</v>
      </c>
      <c r="AH7" s="47">
        <f t="shared" ref="AH7:AH15" si="2">SUM(C7:AG7)</f>
        <v>84.28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4" t="s">
        <v>26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4">
        <f>12.99*2+0.1</f>
        <v>26.08</v>
      </c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4">
        <v>57.7</v>
      </c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4">
        <v>66.0</v>
      </c>
      <c r="AF9" s="43"/>
      <c r="AG9" s="43"/>
      <c r="AH9" s="47">
        <f t="shared" si="2"/>
        <v>149.78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>
        <f>1.15+0.2+10.77</f>
        <v>12.12</v>
      </c>
      <c r="O10" s="44">
        <v>12.1</v>
      </c>
      <c r="P10" s="43"/>
      <c r="Q10" s="43">
        <f>4.99</f>
        <v>4.99</v>
      </c>
      <c r="R10" s="44">
        <v>12.99</v>
      </c>
      <c r="S10" s="43"/>
      <c r="T10" s="44">
        <v>34.94</v>
      </c>
      <c r="U10" s="43"/>
      <c r="V10" s="43">
        <f>1+3.5+2</f>
        <v>6.5</v>
      </c>
      <c r="W10" s="44"/>
      <c r="X10" s="43"/>
      <c r="Y10" s="44"/>
      <c r="Z10" s="43">
        <f>15.99+2.99</f>
        <v>18.98</v>
      </c>
      <c r="AA10" s="44"/>
      <c r="AB10" s="44"/>
      <c r="AC10" s="43"/>
      <c r="AD10" s="43"/>
      <c r="AE10" s="43"/>
      <c r="AF10" s="43"/>
      <c r="AG10" s="43"/>
      <c r="AH10" s="47">
        <f t="shared" si="2"/>
        <v>102.62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3"/>
      <c r="E11" s="44">
        <v>15.99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4">
        <v>10.0</v>
      </c>
      <c r="AA11" s="44"/>
      <c r="AB11" s="43"/>
      <c r="AC11" s="43"/>
      <c r="AD11" s="43"/>
      <c r="AE11" s="44">
        <v>2.49</v>
      </c>
      <c r="AF11" s="43"/>
      <c r="AG11" s="43"/>
      <c r="AH11" s="47">
        <f t="shared" si="2"/>
        <v>28.48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4">
        <v>40.0</v>
      </c>
      <c r="G13" s="43"/>
      <c r="H13" s="43"/>
      <c r="I13" s="43">
        <f>27.74-0.55</f>
        <v>27.19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4">
        <v>27.7</v>
      </c>
      <c r="AF13" s="43"/>
      <c r="AG13" s="43"/>
      <c r="AH13" s="47">
        <f t="shared" si="2"/>
        <v>94.89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3"/>
      <c r="M14" s="44">
        <v>10.0</v>
      </c>
      <c r="N14" s="43"/>
      <c r="O14" s="44">
        <v>27.7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37.7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0</v>
      </c>
      <c r="D15" s="47">
        <f t="shared" si="3"/>
        <v>2.5</v>
      </c>
      <c r="E15" s="47">
        <f t="shared" si="3"/>
        <v>56.47</v>
      </c>
      <c r="F15" s="47">
        <f t="shared" si="3"/>
        <v>40</v>
      </c>
      <c r="G15" s="47">
        <f t="shared" si="3"/>
        <v>0</v>
      </c>
      <c r="H15" s="47">
        <f t="shared" si="3"/>
        <v>0</v>
      </c>
      <c r="I15" s="47">
        <f t="shared" si="3"/>
        <v>27.19</v>
      </c>
      <c r="J15" s="47">
        <f t="shared" si="3"/>
        <v>0</v>
      </c>
      <c r="K15" s="47">
        <f t="shared" si="3"/>
        <v>0</v>
      </c>
      <c r="L15" s="47">
        <f t="shared" si="3"/>
        <v>0</v>
      </c>
      <c r="M15" s="47">
        <f t="shared" si="3"/>
        <v>10</v>
      </c>
      <c r="N15" s="47">
        <f t="shared" si="3"/>
        <v>12.12</v>
      </c>
      <c r="O15" s="47">
        <f t="shared" si="3"/>
        <v>58.2</v>
      </c>
      <c r="P15" s="47">
        <f t="shared" si="3"/>
        <v>0</v>
      </c>
      <c r="Q15" s="47">
        <f t="shared" si="3"/>
        <v>12.99</v>
      </c>
      <c r="R15" s="47">
        <f t="shared" si="3"/>
        <v>12.99</v>
      </c>
      <c r="S15" s="47">
        <f t="shared" si="3"/>
        <v>57.7</v>
      </c>
      <c r="T15" s="47">
        <f t="shared" si="3"/>
        <v>34.94</v>
      </c>
      <c r="U15" s="47">
        <f t="shared" si="3"/>
        <v>0</v>
      </c>
      <c r="V15" s="47">
        <f t="shared" si="3"/>
        <v>6.5</v>
      </c>
      <c r="W15" s="47">
        <f t="shared" si="3"/>
        <v>0</v>
      </c>
      <c r="X15" s="47">
        <f t="shared" si="3"/>
        <v>0</v>
      </c>
      <c r="Y15" s="47">
        <f t="shared" si="3"/>
        <v>0</v>
      </c>
      <c r="Z15" s="47">
        <f t="shared" si="3"/>
        <v>28.98</v>
      </c>
      <c r="AA15" s="47">
        <f t="shared" si="3"/>
        <v>12.21</v>
      </c>
      <c r="AB15" s="47">
        <f t="shared" si="3"/>
        <v>0</v>
      </c>
      <c r="AC15" s="47">
        <f t="shared" si="3"/>
        <v>0</v>
      </c>
      <c r="AD15" s="47">
        <f t="shared" si="3"/>
        <v>0</v>
      </c>
      <c r="AE15" s="47">
        <f t="shared" si="3"/>
        <v>96.19</v>
      </c>
      <c r="AF15" s="47">
        <f t="shared" si="3"/>
        <v>12.21</v>
      </c>
      <c r="AG15" s="47">
        <f t="shared" si="3"/>
        <v>16.56</v>
      </c>
      <c r="AH15" s="47">
        <f t="shared" si="2"/>
        <v>497.75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Anual!E18</f>
        <v>915.77</v>
      </c>
      <c r="C20" s="40">
        <f t="shared" ref="C20:AG20" si="4">C5-C15+B20</f>
        <v>915.77</v>
      </c>
      <c r="D20" s="40">
        <f t="shared" si="4"/>
        <v>913.27</v>
      </c>
      <c r="E20" s="40">
        <f t="shared" si="4"/>
        <v>866.4</v>
      </c>
      <c r="F20" s="40">
        <f t="shared" si="4"/>
        <v>826.4</v>
      </c>
      <c r="G20" s="40">
        <f t="shared" si="4"/>
        <v>835.36</v>
      </c>
      <c r="H20" s="40">
        <f t="shared" si="4"/>
        <v>885.36</v>
      </c>
      <c r="I20" s="40">
        <f t="shared" si="4"/>
        <v>898.17</v>
      </c>
      <c r="J20" s="40">
        <f t="shared" si="4"/>
        <v>898.17</v>
      </c>
      <c r="K20" s="40">
        <f t="shared" si="4"/>
        <v>898.17</v>
      </c>
      <c r="L20" s="40">
        <f t="shared" si="4"/>
        <v>898.17</v>
      </c>
      <c r="M20" s="40">
        <f t="shared" si="4"/>
        <v>908.17</v>
      </c>
      <c r="N20" s="40">
        <f t="shared" si="4"/>
        <v>996.05</v>
      </c>
      <c r="O20" s="40">
        <f t="shared" si="4"/>
        <v>937.85</v>
      </c>
      <c r="P20" s="40">
        <f t="shared" si="4"/>
        <v>937.85</v>
      </c>
      <c r="Q20" s="40">
        <f t="shared" si="4"/>
        <v>924.86</v>
      </c>
      <c r="R20" s="40">
        <f t="shared" si="4"/>
        <v>971.87</v>
      </c>
      <c r="S20" s="40">
        <f t="shared" si="4"/>
        <v>914.17</v>
      </c>
      <c r="T20" s="40">
        <f t="shared" si="4"/>
        <v>879.23</v>
      </c>
      <c r="U20" s="40">
        <f t="shared" si="4"/>
        <v>879.23</v>
      </c>
      <c r="V20" s="40">
        <f t="shared" si="4"/>
        <v>872.73</v>
      </c>
      <c r="W20" s="40">
        <f t="shared" si="4"/>
        <v>928.63</v>
      </c>
      <c r="X20" s="40">
        <f t="shared" si="4"/>
        <v>928.63</v>
      </c>
      <c r="Y20" s="40">
        <f t="shared" si="4"/>
        <v>935.03</v>
      </c>
      <c r="Z20" s="40">
        <f t="shared" si="4"/>
        <v>966.05</v>
      </c>
      <c r="AA20" s="40">
        <f t="shared" si="4"/>
        <v>953.84</v>
      </c>
      <c r="AB20" s="40">
        <f t="shared" si="4"/>
        <v>1003.84</v>
      </c>
      <c r="AC20" s="40">
        <f t="shared" si="4"/>
        <v>1003.84</v>
      </c>
      <c r="AD20" s="40">
        <f t="shared" si="4"/>
        <v>1053.84</v>
      </c>
      <c r="AE20" s="40">
        <f t="shared" si="4"/>
        <v>957.65</v>
      </c>
      <c r="AF20" s="40">
        <f t="shared" si="4"/>
        <v>946</v>
      </c>
      <c r="AG20" s="40">
        <f t="shared" si="4"/>
        <v>939.99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5">
        <v>50.0</v>
      </c>
      <c r="E4" s="35"/>
      <c r="F4" s="37"/>
      <c r="G4" s="37"/>
      <c r="H4" s="37"/>
      <c r="I4" s="35">
        <v>50.0</v>
      </c>
      <c r="J4" s="35">
        <v>50.0</v>
      </c>
      <c r="K4" s="35">
        <v>20.0</v>
      </c>
      <c r="L4" s="37"/>
      <c r="M4" s="37"/>
      <c r="N4" s="37"/>
      <c r="O4" s="35">
        <v>80.0</v>
      </c>
      <c r="P4" s="35">
        <v>50.0</v>
      </c>
      <c r="Q4" s="37"/>
      <c r="R4" s="37"/>
      <c r="S4" s="37"/>
      <c r="T4" s="37"/>
      <c r="U4" s="35">
        <v>50.55</v>
      </c>
      <c r="V4" s="35">
        <v>133.93</v>
      </c>
      <c r="W4" s="37"/>
      <c r="X4" s="35">
        <v>30.0</v>
      </c>
      <c r="Y4" s="35">
        <v>50.0</v>
      </c>
      <c r="Z4" s="35"/>
      <c r="AA4" s="35">
        <v>55.0</v>
      </c>
      <c r="AB4" s="35">
        <v>0.65</v>
      </c>
      <c r="AC4" s="37"/>
      <c r="AD4" s="37"/>
      <c r="AE4" s="35">
        <f> 3.5+3.2+2.7+50</f>
        <v>59.4</v>
      </c>
      <c r="AF4" s="35">
        <v>3.2</v>
      </c>
      <c r="AG4" s="37"/>
      <c r="AH4" s="38">
        <f>SUM(C4:AD4)</f>
        <v>620.13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>
        <f t="shared" si="1"/>
        <v>50</v>
      </c>
      <c r="E5" s="38" t="str">
        <f t="shared" si="1"/>
        <v/>
      </c>
      <c r="F5" s="38" t="str">
        <f t="shared" si="1"/>
        <v/>
      </c>
      <c r="G5" s="38" t="str">
        <f t="shared" si="1"/>
        <v/>
      </c>
      <c r="H5" s="38" t="str">
        <f t="shared" si="1"/>
        <v/>
      </c>
      <c r="I5" s="38">
        <f t="shared" si="1"/>
        <v>50</v>
      </c>
      <c r="J5" s="38">
        <f t="shared" si="1"/>
        <v>50</v>
      </c>
      <c r="K5" s="38">
        <f t="shared" si="1"/>
        <v>20</v>
      </c>
      <c r="L5" s="38" t="str">
        <f t="shared" si="1"/>
        <v/>
      </c>
      <c r="M5" s="38" t="str">
        <f t="shared" si="1"/>
        <v/>
      </c>
      <c r="N5" s="38" t="str">
        <f t="shared" si="1"/>
        <v/>
      </c>
      <c r="O5" s="38">
        <f t="shared" si="1"/>
        <v>80</v>
      </c>
      <c r="P5" s="38">
        <f t="shared" si="1"/>
        <v>50</v>
      </c>
      <c r="Q5" s="38" t="str">
        <f t="shared" si="1"/>
        <v/>
      </c>
      <c r="R5" s="38" t="str">
        <f t="shared" si="1"/>
        <v/>
      </c>
      <c r="S5" s="38" t="str">
        <f t="shared" si="1"/>
        <v/>
      </c>
      <c r="T5" s="38" t="str">
        <f t="shared" si="1"/>
        <v/>
      </c>
      <c r="U5" s="38">
        <f t="shared" si="1"/>
        <v>50.55</v>
      </c>
      <c r="V5" s="38">
        <f t="shared" si="1"/>
        <v>133.93</v>
      </c>
      <c r="W5" s="38" t="str">
        <f t="shared" si="1"/>
        <v/>
      </c>
      <c r="X5" s="38">
        <f t="shared" si="1"/>
        <v>30</v>
      </c>
      <c r="Y5" s="38">
        <f t="shared" si="1"/>
        <v>50</v>
      </c>
      <c r="Z5" s="38" t="str">
        <f t="shared" si="1"/>
        <v/>
      </c>
      <c r="AA5" s="38">
        <f t="shared" si="1"/>
        <v>55</v>
      </c>
      <c r="AB5" s="38">
        <f t="shared" si="1"/>
        <v>0.65</v>
      </c>
      <c r="AC5" s="38" t="str">
        <f t="shared" si="1"/>
        <v/>
      </c>
      <c r="AD5" s="38" t="str">
        <f t="shared" si="1"/>
        <v/>
      </c>
      <c r="AE5" s="38">
        <f t="shared" si="1"/>
        <v>59.4</v>
      </c>
      <c r="AF5" s="38">
        <f t="shared" si="1"/>
        <v>3.2</v>
      </c>
      <c r="AG5" s="38" t="str">
        <f t="shared" si="1"/>
        <v/>
      </c>
      <c r="AH5" s="38">
        <f t="shared" si="1"/>
        <v>620.13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3"/>
      <c r="E7" s="43"/>
      <c r="F7" s="43"/>
      <c r="G7" s="44">
        <v>0.2</v>
      </c>
      <c r="H7" s="43"/>
      <c r="I7" s="43">
        <f>20.3+5.46</f>
        <v>25.76</v>
      </c>
      <c r="J7" s="44">
        <v>9.63</v>
      </c>
      <c r="K7" s="44">
        <v>1.3</v>
      </c>
      <c r="L7" s="43"/>
      <c r="M7" s="43"/>
      <c r="N7" s="43"/>
      <c r="O7" s="43"/>
      <c r="P7" s="44"/>
      <c r="Q7" s="44"/>
      <c r="R7" s="44"/>
      <c r="S7" s="44"/>
      <c r="T7" s="44"/>
      <c r="U7" s="44">
        <v>1.3</v>
      </c>
      <c r="V7" s="44">
        <v>1.75</v>
      </c>
      <c r="W7" s="45"/>
      <c r="X7" s="46">
        <v>1.8</v>
      </c>
      <c r="Y7" s="44"/>
      <c r="Z7" s="44">
        <f>3.2+6.5</f>
        <v>9.7</v>
      </c>
      <c r="AA7" s="43">
        <f>14.49+7.4</f>
        <v>21.89</v>
      </c>
      <c r="AB7" s="43"/>
      <c r="AC7" s="43"/>
      <c r="AD7" s="44">
        <v>0.5</v>
      </c>
      <c r="AE7" s="44">
        <v>1.5</v>
      </c>
      <c r="AF7" s="43"/>
      <c r="AG7" s="43">
        <f>2.5+7.9</f>
        <v>10.4</v>
      </c>
      <c r="AH7" s="47">
        <f t="shared" ref="AH7:AH15" si="2">SUM(C7:AG7)</f>
        <v>85.73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4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4">
        <v>2.39</v>
      </c>
      <c r="E10" s="43"/>
      <c r="F10" s="43"/>
      <c r="G10" s="43"/>
      <c r="H10" s="43"/>
      <c r="I10" s="44">
        <v>5.6</v>
      </c>
      <c r="J10" s="43"/>
      <c r="K10" s="44">
        <f>7.27+22.7</f>
        <v>29.97</v>
      </c>
      <c r="L10" s="43"/>
      <c r="M10" s="43"/>
      <c r="N10" s="43"/>
      <c r="O10" s="43"/>
      <c r="P10" s="44">
        <f>5+7.13+12.99</f>
        <v>25.12</v>
      </c>
      <c r="Q10" s="43"/>
      <c r="R10" s="43"/>
      <c r="S10" s="43"/>
      <c r="T10" s="43"/>
      <c r="U10" s="43"/>
      <c r="V10" s="43"/>
      <c r="W10" s="44"/>
      <c r="X10" s="44">
        <v>22.08</v>
      </c>
      <c r="Y10" s="44"/>
      <c r="Z10" s="44">
        <v>20.0</v>
      </c>
      <c r="AA10" s="44"/>
      <c r="AB10" s="44"/>
      <c r="AC10" s="44">
        <v>9.9</v>
      </c>
      <c r="AD10" s="43"/>
      <c r="AE10" s="43"/>
      <c r="AF10" s="43"/>
      <c r="AG10" s="43"/>
      <c r="AH10" s="47">
        <f t="shared" si="2"/>
        <v>115.06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4">
        <v>2.49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4">
        <v>4.01</v>
      </c>
      <c r="V11" s="43"/>
      <c r="W11" s="43"/>
      <c r="X11" s="43"/>
      <c r="Y11" s="44">
        <v>2.99</v>
      </c>
      <c r="Z11" s="44">
        <v>15.99</v>
      </c>
      <c r="AA11" s="44">
        <v>9.97</v>
      </c>
      <c r="AB11" s="43"/>
      <c r="AC11" s="43"/>
      <c r="AD11" s="43"/>
      <c r="AE11" s="43"/>
      <c r="AF11" s="43"/>
      <c r="AG11" s="43"/>
      <c r="AH11" s="47">
        <f t="shared" si="2"/>
        <v>35.45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>
        <v>1.5</v>
      </c>
      <c r="P13" s="44">
        <f>0.8+2.16+70</f>
        <v>72.96</v>
      </c>
      <c r="Q13" s="43"/>
      <c r="R13" s="44">
        <v>27.7</v>
      </c>
      <c r="S13" s="43"/>
      <c r="T13" s="43"/>
      <c r="U13" s="43"/>
      <c r="V13" s="43">
        <f>2.45+94.05+25+9.9</f>
        <v>131.4</v>
      </c>
      <c r="W13" s="44">
        <v>1.95</v>
      </c>
      <c r="X13" s="43"/>
      <c r="Y13" s="43"/>
      <c r="Z13" s="43"/>
      <c r="AA13" s="43"/>
      <c r="AB13" s="43"/>
      <c r="AC13" s="43"/>
      <c r="AD13" s="44">
        <v>2.3</v>
      </c>
      <c r="AE13" s="44">
        <v>38.0</v>
      </c>
      <c r="AF13" s="43"/>
      <c r="AG13" s="43"/>
      <c r="AH13" s="47">
        <f t="shared" si="2"/>
        <v>275.81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4">
        <v>10.0</v>
      </c>
      <c r="K14" s="44"/>
      <c r="L14" s="43"/>
      <c r="M14" s="43"/>
      <c r="N14" s="43"/>
      <c r="O14" s="43"/>
      <c r="P14" s="43"/>
      <c r="Q14" s="43"/>
      <c r="R14" s="44"/>
      <c r="S14" s="43"/>
      <c r="T14" s="43"/>
      <c r="U14" s="43"/>
      <c r="V14" s="43"/>
      <c r="W14" s="44"/>
      <c r="X14" s="43"/>
      <c r="Y14" s="43"/>
      <c r="Z14" s="43"/>
      <c r="AA14" s="43"/>
      <c r="AB14" s="44"/>
      <c r="AC14" s="43">
        <f>32.42+1.73</f>
        <v>34.15</v>
      </c>
      <c r="AD14" s="43"/>
      <c r="AE14" s="43"/>
      <c r="AF14" s="43"/>
      <c r="AG14" s="43"/>
      <c r="AH14" s="47">
        <f t="shared" si="2"/>
        <v>44.15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2.49</v>
      </c>
      <c r="D15" s="47">
        <f t="shared" si="3"/>
        <v>2.39</v>
      </c>
      <c r="E15" s="47">
        <f t="shared" si="3"/>
        <v>0</v>
      </c>
      <c r="F15" s="47">
        <f t="shared" si="3"/>
        <v>0</v>
      </c>
      <c r="G15" s="47">
        <f t="shared" si="3"/>
        <v>0.2</v>
      </c>
      <c r="H15" s="47">
        <f t="shared" si="3"/>
        <v>0</v>
      </c>
      <c r="I15" s="47">
        <f t="shared" si="3"/>
        <v>31.36</v>
      </c>
      <c r="J15" s="47">
        <f t="shared" si="3"/>
        <v>19.63</v>
      </c>
      <c r="K15" s="47">
        <f t="shared" si="3"/>
        <v>31.27</v>
      </c>
      <c r="L15" s="47">
        <f t="shared" si="3"/>
        <v>0</v>
      </c>
      <c r="M15" s="47">
        <f t="shared" si="3"/>
        <v>0</v>
      </c>
      <c r="N15" s="47">
        <f t="shared" si="3"/>
        <v>0</v>
      </c>
      <c r="O15" s="47">
        <f t="shared" si="3"/>
        <v>1.5</v>
      </c>
      <c r="P15" s="47">
        <f t="shared" si="3"/>
        <v>98.08</v>
      </c>
      <c r="Q15" s="47">
        <f t="shared" si="3"/>
        <v>0</v>
      </c>
      <c r="R15" s="47">
        <f t="shared" si="3"/>
        <v>27.7</v>
      </c>
      <c r="S15" s="47">
        <f t="shared" si="3"/>
        <v>0</v>
      </c>
      <c r="T15" s="47">
        <f t="shared" si="3"/>
        <v>0</v>
      </c>
      <c r="U15" s="47">
        <f t="shared" si="3"/>
        <v>5.31</v>
      </c>
      <c r="V15" s="47">
        <f t="shared" si="3"/>
        <v>133.15</v>
      </c>
      <c r="W15" s="47">
        <f t="shared" si="3"/>
        <v>1.95</v>
      </c>
      <c r="X15" s="47">
        <f t="shared" si="3"/>
        <v>23.88</v>
      </c>
      <c r="Y15" s="47">
        <f t="shared" si="3"/>
        <v>2.99</v>
      </c>
      <c r="Z15" s="47">
        <f t="shared" si="3"/>
        <v>45.69</v>
      </c>
      <c r="AA15" s="47">
        <f t="shared" si="3"/>
        <v>31.86</v>
      </c>
      <c r="AB15" s="47">
        <f t="shared" si="3"/>
        <v>0</v>
      </c>
      <c r="AC15" s="47">
        <f t="shared" si="3"/>
        <v>44.05</v>
      </c>
      <c r="AD15" s="47">
        <f t="shared" si="3"/>
        <v>2.8</v>
      </c>
      <c r="AE15" s="47">
        <f t="shared" si="3"/>
        <v>39.5</v>
      </c>
      <c r="AF15" s="47">
        <f t="shared" si="3"/>
        <v>0</v>
      </c>
      <c r="AG15" s="47">
        <f t="shared" si="3"/>
        <v>10.4</v>
      </c>
      <c r="AH15" s="47">
        <f t="shared" si="2"/>
        <v>556.2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Anual!F18</f>
        <v>939.99</v>
      </c>
      <c r="C20" s="40">
        <f t="shared" ref="C20:AG20" si="4">C5-C15+B20</f>
        <v>937.5</v>
      </c>
      <c r="D20" s="40">
        <f t="shared" si="4"/>
        <v>985.11</v>
      </c>
      <c r="E20" s="40">
        <f t="shared" si="4"/>
        <v>985.11</v>
      </c>
      <c r="F20" s="40">
        <f t="shared" si="4"/>
        <v>985.11</v>
      </c>
      <c r="G20" s="40">
        <f t="shared" si="4"/>
        <v>984.91</v>
      </c>
      <c r="H20" s="40">
        <f t="shared" si="4"/>
        <v>984.91</v>
      </c>
      <c r="I20" s="40">
        <f t="shared" si="4"/>
        <v>1003.55</v>
      </c>
      <c r="J20" s="40">
        <f t="shared" si="4"/>
        <v>1033.92</v>
      </c>
      <c r="K20" s="40">
        <f t="shared" si="4"/>
        <v>1022.65</v>
      </c>
      <c r="L20" s="40">
        <f t="shared" si="4"/>
        <v>1022.65</v>
      </c>
      <c r="M20" s="40">
        <f t="shared" si="4"/>
        <v>1022.65</v>
      </c>
      <c r="N20" s="40">
        <f t="shared" si="4"/>
        <v>1022.65</v>
      </c>
      <c r="O20" s="40">
        <f t="shared" si="4"/>
        <v>1101.15</v>
      </c>
      <c r="P20" s="40">
        <f t="shared" si="4"/>
        <v>1053.07</v>
      </c>
      <c r="Q20" s="40">
        <f t="shared" si="4"/>
        <v>1053.07</v>
      </c>
      <c r="R20" s="40">
        <f t="shared" si="4"/>
        <v>1025.37</v>
      </c>
      <c r="S20" s="40">
        <f t="shared" si="4"/>
        <v>1025.37</v>
      </c>
      <c r="T20" s="40">
        <f t="shared" si="4"/>
        <v>1025.37</v>
      </c>
      <c r="U20" s="40">
        <f t="shared" si="4"/>
        <v>1070.61</v>
      </c>
      <c r="V20" s="40">
        <f t="shared" si="4"/>
        <v>1071.39</v>
      </c>
      <c r="W20" s="40">
        <f t="shared" si="4"/>
        <v>1069.44</v>
      </c>
      <c r="X20" s="40">
        <f t="shared" si="4"/>
        <v>1075.56</v>
      </c>
      <c r="Y20" s="40">
        <f t="shared" si="4"/>
        <v>1122.57</v>
      </c>
      <c r="Z20" s="40">
        <f t="shared" si="4"/>
        <v>1076.88</v>
      </c>
      <c r="AA20" s="40">
        <f t="shared" si="4"/>
        <v>1100.02</v>
      </c>
      <c r="AB20" s="40">
        <f t="shared" si="4"/>
        <v>1100.67</v>
      </c>
      <c r="AC20" s="40">
        <f t="shared" si="4"/>
        <v>1056.62</v>
      </c>
      <c r="AD20" s="40">
        <f t="shared" si="4"/>
        <v>1053.82</v>
      </c>
      <c r="AE20" s="40">
        <f t="shared" si="4"/>
        <v>1073.72</v>
      </c>
      <c r="AF20" s="40">
        <f t="shared" si="4"/>
        <v>1076.92</v>
      </c>
      <c r="AG20" s="40">
        <f t="shared" si="4"/>
        <v>1066.52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53">
        <v>1175.0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53">
        <v>137.47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>
        <f>K23+K24</f>
        <v>1312.47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53">
        <v>100.0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>
        <f>K25+K26</f>
        <v>1412.47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53">
        <v>1513.0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>
        <f>L44*2/22*6</f>
        <v>825.2727273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7">
        <f>6.99+11</f>
        <v>17.99</v>
      </c>
      <c r="E4" s="35">
        <v>50.0</v>
      </c>
      <c r="F4" s="37"/>
      <c r="G4" s="37"/>
      <c r="H4" s="37"/>
      <c r="I4" s="35">
        <v>50.55</v>
      </c>
      <c r="J4" s="37"/>
      <c r="K4" s="37"/>
      <c r="L4" s="37">
        <f>68.77+61.76+15</f>
        <v>145.53</v>
      </c>
      <c r="M4" s="35">
        <f>20+0.56</f>
        <v>20.56</v>
      </c>
      <c r="N4" s="35"/>
      <c r="O4" s="35">
        <v>50.0</v>
      </c>
      <c r="P4" s="35"/>
      <c r="Q4" s="37"/>
      <c r="R4" s="37"/>
      <c r="S4" s="37"/>
      <c r="T4" s="37">
        <f>19.99+50</f>
        <v>69.99</v>
      </c>
      <c r="U4" s="35">
        <v>20.0</v>
      </c>
      <c r="V4" s="35">
        <v>20.0</v>
      </c>
      <c r="W4" s="37"/>
      <c r="X4" s="35">
        <v>2.7</v>
      </c>
      <c r="Y4" s="37">
        <f>50+3+6.4</f>
        <v>59.4</v>
      </c>
      <c r="Z4" s="35">
        <f>3.2+46.35+40.48</f>
        <v>90.03</v>
      </c>
      <c r="AA4" s="37">
        <f>11+0.65</f>
        <v>11.65</v>
      </c>
      <c r="AB4" s="35">
        <v>4.9</v>
      </c>
      <c r="AC4" s="35">
        <f>30+20+780.91</f>
        <v>830.91</v>
      </c>
      <c r="AD4" s="35">
        <v>50.0</v>
      </c>
      <c r="AE4" s="37"/>
      <c r="AF4" s="37"/>
      <c r="AG4" s="37"/>
      <c r="AH4" s="38">
        <f>SUM(C4:AD4)</f>
        <v>1494.21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>
        <f t="shared" si="1"/>
        <v>17.99</v>
      </c>
      <c r="E5" s="38">
        <f t="shared" si="1"/>
        <v>50</v>
      </c>
      <c r="F5" s="38" t="str">
        <f t="shared" si="1"/>
        <v/>
      </c>
      <c r="G5" s="38" t="str">
        <f t="shared" si="1"/>
        <v/>
      </c>
      <c r="H5" s="38" t="str">
        <f t="shared" si="1"/>
        <v/>
      </c>
      <c r="I5" s="38">
        <f t="shared" si="1"/>
        <v>50.55</v>
      </c>
      <c r="J5" s="38" t="str">
        <f t="shared" si="1"/>
        <v/>
      </c>
      <c r="K5" s="38" t="str">
        <f t="shared" si="1"/>
        <v/>
      </c>
      <c r="L5" s="38">
        <f t="shared" si="1"/>
        <v>145.53</v>
      </c>
      <c r="M5" s="38">
        <f t="shared" si="1"/>
        <v>20.56</v>
      </c>
      <c r="N5" s="38" t="str">
        <f t="shared" si="1"/>
        <v/>
      </c>
      <c r="O5" s="38">
        <f t="shared" si="1"/>
        <v>50</v>
      </c>
      <c r="P5" s="38" t="str">
        <f t="shared" si="1"/>
        <v/>
      </c>
      <c r="Q5" s="38" t="str">
        <f t="shared" si="1"/>
        <v/>
      </c>
      <c r="R5" s="38" t="str">
        <f t="shared" si="1"/>
        <v/>
      </c>
      <c r="S5" s="38" t="str">
        <f t="shared" si="1"/>
        <v/>
      </c>
      <c r="T5" s="38">
        <f t="shared" si="1"/>
        <v>69.99</v>
      </c>
      <c r="U5" s="38">
        <f t="shared" si="1"/>
        <v>20</v>
      </c>
      <c r="V5" s="38">
        <f t="shared" si="1"/>
        <v>20</v>
      </c>
      <c r="W5" s="38" t="str">
        <f t="shared" si="1"/>
        <v/>
      </c>
      <c r="X5" s="38">
        <f t="shared" si="1"/>
        <v>2.7</v>
      </c>
      <c r="Y5" s="38">
        <f t="shared" si="1"/>
        <v>59.4</v>
      </c>
      <c r="Z5" s="38">
        <f t="shared" si="1"/>
        <v>90.03</v>
      </c>
      <c r="AA5" s="38">
        <f t="shared" si="1"/>
        <v>11.65</v>
      </c>
      <c r="AB5" s="38">
        <f t="shared" si="1"/>
        <v>4.9</v>
      </c>
      <c r="AC5" s="38">
        <f t="shared" si="1"/>
        <v>830.91</v>
      </c>
      <c r="AD5" s="38">
        <f t="shared" si="1"/>
        <v>50</v>
      </c>
      <c r="AE5" s="38" t="str">
        <f t="shared" si="1"/>
        <v/>
      </c>
      <c r="AF5" s="38" t="str">
        <f t="shared" si="1"/>
        <v/>
      </c>
      <c r="AG5" s="38" t="str">
        <f t="shared" si="1"/>
        <v/>
      </c>
      <c r="AH5" s="38">
        <f t="shared" si="1"/>
        <v>1494.21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>
        <f>2.5+3.5</f>
        <v>6</v>
      </c>
      <c r="D7" s="44">
        <v>2.7</v>
      </c>
      <c r="E7" s="43"/>
      <c r="F7" s="43"/>
      <c r="G7" s="43"/>
      <c r="H7" s="43"/>
      <c r="I7" s="43"/>
      <c r="J7" s="43"/>
      <c r="K7" s="43"/>
      <c r="L7" s="44">
        <v>12.0</v>
      </c>
      <c r="M7" s="43"/>
      <c r="N7" s="43"/>
      <c r="O7" s="44">
        <v>14.1</v>
      </c>
      <c r="P7" s="44">
        <v>2.5</v>
      </c>
      <c r="Q7" s="44"/>
      <c r="R7" s="44"/>
      <c r="S7" s="44">
        <v>18.4</v>
      </c>
      <c r="T7" s="44"/>
      <c r="U7" s="43"/>
      <c r="V7" s="44">
        <v>10.3</v>
      </c>
      <c r="W7" s="45">
        <v>2.2</v>
      </c>
      <c r="X7" s="46"/>
      <c r="Y7" s="44"/>
      <c r="Z7" s="44">
        <f>2.5+19.75</f>
        <v>22.25</v>
      </c>
      <c r="AA7" s="43"/>
      <c r="AB7" s="43"/>
      <c r="AC7" s="43"/>
      <c r="AD7" s="43">
        <f>40.98-7-17.3-7+6.3</f>
        <v>15.98</v>
      </c>
      <c r="AE7" s="43"/>
      <c r="AF7" s="43"/>
      <c r="AG7" s="43"/>
      <c r="AH7" s="47">
        <f t="shared" ref="AH7:AH15" si="2">SUM(C7:AG7)</f>
        <v>106.43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4">
        <f>4+17.53</f>
        <v>21.53</v>
      </c>
      <c r="D10" s="43"/>
      <c r="E10" s="43"/>
      <c r="F10" s="43"/>
      <c r="G10" s="43"/>
      <c r="H10" s="43"/>
      <c r="I10" s="43">
        <f>7.5+3.5+2.2</f>
        <v>13.2</v>
      </c>
      <c r="J10" s="43"/>
      <c r="K10" s="43"/>
      <c r="L10" s="43"/>
      <c r="M10" s="43"/>
      <c r="N10" s="43"/>
      <c r="O10" s="43"/>
      <c r="P10" s="44">
        <v>12.99</v>
      </c>
      <c r="Q10" s="44"/>
      <c r="R10" s="43"/>
      <c r="S10" s="43"/>
      <c r="T10" s="43"/>
      <c r="U10" s="43"/>
      <c r="V10" s="43"/>
      <c r="W10" s="44">
        <v>10.69</v>
      </c>
      <c r="X10" s="43"/>
      <c r="Y10" s="44"/>
      <c r="Z10" s="43"/>
      <c r="AA10" s="44"/>
      <c r="AB10" s="44">
        <f>2.98+12.49</f>
        <v>15.47</v>
      </c>
      <c r="AC10" s="43"/>
      <c r="AD10" s="43"/>
      <c r="AE10" s="43">
        <f>8+9</f>
        <v>17</v>
      </c>
      <c r="AF10" s="43"/>
      <c r="AG10" s="43"/>
      <c r="AH10" s="47">
        <f t="shared" si="2"/>
        <v>90.88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>
        <f>2.98+12.45</f>
        <v>15.43</v>
      </c>
      <c r="X11" s="44"/>
      <c r="Y11" s="43"/>
      <c r="Z11" s="43"/>
      <c r="AA11" s="44">
        <v>2.99</v>
      </c>
      <c r="AB11" s="44">
        <v>15.99</v>
      </c>
      <c r="AC11" s="43"/>
      <c r="AD11" s="43"/>
      <c r="AE11" s="43"/>
      <c r="AF11" s="43"/>
      <c r="AG11" s="43"/>
      <c r="AH11" s="47">
        <f t="shared" si="2"/>
        <v>34.41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4">
        <v>27.8</v>
      </c>
      <c r="H13" s="44">
        <f>53.99+27.69</f>
        <v>81.68</v>
      </c>
      <c r="I13" s="44">
        <v>57.0</v>
      </c>
      <c r="J13" s="57">
        <v>72.72</v>
      </c>
      <c r="K13" s="43"/>
      <c r="L13" s="43"/>
      <c r="M13" s="44">
        <v>48.88</v>
      </c>
      <c r="N13" s="44"/>
      <c r="O13" s="43"/>
      <c r="P13" s="43"/>
      <c r="Q13" s="43"/>
      <c r="R13" s="43"/>
      <c r="S13" s="43"/>
      <c r="T13" s="43"/>
      <c r="U13" s="44">
        <f>37.05+0.74</f>
        <v>37.79</v>
      </c>
      <c r="V13" s="43"/>
      <c r="W13" s="44">
        <f>0.45+0.55</f>
        <v>1</v>
      </c>
      <c r="X13" s="43"/>
      <c r="Y13" s="43"/>
      <c r="Z13" s="44">
        <f>4.55+32.5</f>
        <v>37.05</v>
      </c>
      <c r="AA13" s="43"/>
      <c r="AB13" s="44">
        <v>95.0</v>
      </c>
      <c r="AC13" s="44"/>
      <c r="AD13" s="44">
        <v>2.15</v>
      </c>
      <c r="AE13" s="43"/>
      <c r="AF13" s="44">
        <v>46.5</v>
      </c>
      <c r="AG13" s="43"/>
      <c r="AH13" s="47">
        <f t="shared" si="2"/>
        <v>507.57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4"/>
      <c r="AD14" s="44">
        <v>12.0</v>
      </c>
      <c r="AE14" s="43"/>
      <c r="AF14" s="43"/>
      <c r="AG14" s="43"/>
      <c r="AH14" s="47">
        <f t="shared" si="2"/>
        <v>12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27.53</v>
      </c>
      <c r="D15" s="47">
        <f t="shared" si="3"/>
        <v>2.7</v>
      </c>
      <c r="E15" s="47">
        <f t="shared" si="3"/>
        <v>0</v>
      </c>
      <c r="F15" s="47">
        <f t="shared" si="3"/>
        <v>0</v>
      </c>
      <c r="G15" s="47">
        <f t="shared" si="3"/>
        <v>27.8</v>
      </c>
      <c r="H15" s="47">
        <f t="shared" si="3"/>
        <v>81.68</v>
      </c>
      <c r="I15" s="47">
        <f t="shared" si="3"/>
        <v>70.2</v>
      </c>
      <c r="J15" s="47">
        <f t="shared" si="3"/>
        <v>72.72</v>
      </c>
      <c r="K15" s="47">
        <f t="shared" si="3"/>
        <v>0</v>
      </c>
      <c r="L15" s="47">
        <f t="shared" si="3"/>
        <v>12</v>
      </c>
      <c r="M15" s="47">
        <f t="shared" si="3"/>
        <v>48.88</v>
      </c>
      <c r="N15" s="47">
        <f t="shared" si="3"/>
        <v>0</v>
      </c>
      <c r="O15" s="47">
        <f t="shared" si="3"/>
        <v>14.1</v>
      </c>
      <c r="P15" s="47">
        <f t="shared" si="3"/>
        <v>15.49</v>
      </c>
      <c r="Q15" s="47">
        <f t="shared" si="3"/>
        <v>0</v>
      </c>
      <c r="R15" s="47">
        <f t="shared" si="3"/>
        <v>0</v>
      </c>
      <c r="S15" s="47">
        <f t="shared" si="3"/>
        <v>18.4</v>
      </c>
      <c r="T15" s="47">
        <f t="shared" si="3"/>
        <v>0</v>
      </c>
      <c r="U15" s="47">
        <f t="shared" si="3"/>
        <v>37.79</v>
      </c>
      <c r="V15" s="47">
        <f t="shared" si="3"/>
        <v>10.3</v>
      </c>
      <c r="W15" s="47">
        <f t="shared" si="3"/>
        <v>29.32</v>
      </c>
      <c r="X15" s="47">
        <f t="shared" si="3"/>
        <v>0</v>
      </c>
      <c r="Y15" s="47">
        <f t="shared" si="3"/>
        <v>0</v>
      </c>
      <c r="Z15" s="47">
        <f t="shared" si="3"/>
        <v>59.3</v>
      </c>
      <c r="AA15" s="47">
        <f t="shared" si="3"/>
        <v>2.99</v>
      </c>
      <c r="AB15" s="47">
        <f t="shared" si="3"/>
        <v>126.46</v>
      </c>
      <c r="AC15" s="47">
        <f t="shared" si="3"/>
        <v>0</v>
      </c>
      <c r="AD15" s="47">
        <f t="shared" si="3"/>
        <v>30.13</v>
      </c>
      <c r="AE15" s="47">
        <f t="shared" si="3"/>
        <v>17</v>
      </c>
      <c r="AF15" s="47">
        <f t="shared" si="3"/>
        <v>46.5</v>
      </c>
      <c r="AG15" s="47">
        <f t="shared" si="3"/>
        <v>0</v>
      </c>
      <c r="AH15" s="47">
        <f t="shared" si="2"/>
        <v>751.29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Anual!G18</f>
        <v>1066.52</v>
      </c>
      <c r="C20" s="40">
        <f t="shared" ref="C20:AH20" si="4">C5-C15+B20</f>
        <v>1038.99</v>
      </c>
      <c r="D20" s="40">
        <f t="shared" si="4"/>
        <v>1054.28</v>
      </c>
      <c r="E20" s="40">
        <f t="shared" si="4"/>
        <v>1104.28</v>
      </c>
      <c r="F20" s="40">
        <f t="shared" si="4"/>
        <v>1104.28</v>
      </c>
      <c r="G20" s="40">
        <f t="shared" si="4"/>
        <v>1076.48</v>
      </c>
      <c r="H20" s="40">
        <f t="shared" si="4"/>
        <v>994.8</v>
      </c>
      <c r="I20" s="40">
        <f t="shared" si="4"/>
        <v>975.15</v>
      </c>
      <c r="J20" s="40">
        <f t="shared" si="4"/>
        <v>902.43</v>
      </c>
      <c r="K20" s="40">
        <f t="shared" si="4"/>
        <v>902.43</v>
      </c>
      <c r="L20" s="40">
        <f t="shared" si="4"/>
        <v>1035.96</v>
      </c>
      <c r="M20" s="40">
        <f t="shared" si="4"/>
        <v>1007.64</v>
      </c>
      <c r="N20" s="40">
        <f t="shared" si="4"/>
        <v>1007.64</v>
      </c>
      <c r="O20" s="40">
        <f t="shared" si="4"/>
        <v>1043.54</v>
      </c>
      <c r="P20" s="40">
        <f t="shared" si="4"/>
        <v>1028.05</v>
      </c>
      <c r="Q20" s="40">
        <f t="shared" si="4"/>
        <v>1028.05</v>
      </c>
      <c r="R20" s="40">
        <f t="shared" si="4"/>
        <v>1028.05</v>
      </c>
      <c r="S20" s="40">
        <f t="shared" si="4"/>
        <v>1009.65</v>
      </c>
      <c r="T20" s="40">
        <f t="shared" si="4"/>
        <v>1079.64</v>
      </c>
      <c r="U20" s="40">
        <f t="shared" si="4"/>
        <v>1061.85</v>
      </c>
      <c r="V20" s="40">
        <f t="shared" si="4"/>
        <v>1071.55</v>
      </c>
      <c r="W20" s="40">
        <f t="shared" si="4"/>
        <v>1042.23</v>
      </c>
      <c r="X20" s="40">
        <f t="shared" si="4"/>
        <v>1044.93</v>
      </c>
      <c r="Y20" s="40">
        <f t="shared" si="4"/>
        <v>1104.33</v>
      </c>
      <c r="Z20" s="40">
        <f t="shared" si="4"/>
        <v>1135.06</v>
      </c>
      <c r="AA20" s="40">
        <f t="shared" si="4"/>
        <v>1143.72</v>
      </c>
      <c r="AB20" s="40">
        <f t="shared" si="4"/>
        <v>1022.16</v>
      </c>
      <c r="AC20" s="40">
        <f t="shared" si="4"/>
        <v>1853.07</v>
      </c>
      <c r="AD20" s="40">
        <f t="shared" si="4"/>
        <v>1872.94</v>
      </c>
      <c r="AE20" s="40">
        <f t="shared" si="4"/>
        <v>1855.94</v>
      </c>
      <c r="AF20" s="40">
        <f t="shared" si="4"/>
        <v>1809.44</v>
      </c>
      <c r="AG20" s="40">
        <f t="shared" si="4"/>
        <v>1809.44</v>
      </c>
      <c r="AH20" s="31">
        <f t="shared" si="4"/>
        <v>2552.36</v>
      </c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53">
        <v>130.0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58">
        <v>0.93</v>
      </c>
      <c r="D4" s="35"/>
      <c r="E4" s="35"/>
      <c r="F4" s="37"/>
      <c r="G4" s="37">
        <f>50+20</f>
        <v>70</v>
      </c>
      <c r="H4" s="37"/>
      <c r="I4" s="37"/>
      <c r="J4" s="37">
        <f>65.38+38.65+50</f>
        <v>154.03</v>
      </c>
      <c r="K4" s="37"/>
      <c r="L4" s="35">
        <v>0.65</v>
      </c>
      <c r="M4" s="37">
        <f>19.98+29.99</f>
        <v>49.97</v>
      </c>
      <c r="N4" s="35">
        <v>50.0</v>
      </c>
      <c r="O4" s="37"/>
      <c r="P4" s="35"/>
      <c r="Q4" s="37"/>
      <c r="R4" s="35"/>
      <c r="S4" s="37"/>
      <c r="T4" s="37"/>
      <c r="U4" s="37"/>
      <c r="V4" s="35">
        <v>20.0</v>
      </c>
      <c r="W4" s="35">
        <f>50+30</f>
        <v>80</v>
      </c>
      <c r="X4" s="35">
        <v>7.0</v>
      </c>
      <c r="Y4" s="37"/>
      <c r="Z4" s="35"/>
      <c r="AA4" s="37">
        <f>3.2</f>
        <v>3.2</v>
      </c>
      <c r="AB4" s="35">
        <v>2.7</v>
      </c>
      <c r="AC4" s="35">
        <v>7.0</v>
      </c>
      <c r="AD4" s="37"/>
      <c r="AE4" s="37"/>
      <c r="AF4" s="35">
        <v>955.59</v>
      </c>
      <c r="AG4" s="37"/>
      <c r="AH4" s="38">
        <f>SUM(C4:AG4)</f>
        <v>1401.07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>
        <f t="shared" ref="C5:AH5" si="1">C4</f>
        <v>0.93</v>
      </c>
      <c r="D5" s="38" t="str">
        <f t="shared" si="1"/>
        <v/>
      </c>
      <c r="E5" s="38" t="str">
        <f t="shared" si="1"/>
        <v/>
      </c>
      <c r="F5" s="38" t="str">
        <f t="shared" si="1"/>
        <v/>
      </c>
      <c r="G5" s="38">
        <f t="shared" si="1"/>
        <v>70</v>
      </c>
      <c r="H5" s="38" t="str">
        <f t="shared" si="1"/>
        <v/>
      </c>
      <c r="I5" s="38" t="str">
        <f t="shared" si="1"/>
        <v/>
      </c>
      <c r="J5" s="38">
        <f t="shared" si="1"/>
        <v>154.03</v>
      </c>
      <c r="K5" s="38" t="str">
        <f t="shared" si="1"/>
        <v/>
      </c>
      <c r="L5" s="38">
        <f t="shared" si="1"/>
        <v>0.65</v>
      </c>
      <c r="M5" s="38">
        <f t="shared" si="1"/>
        <v>49.97</v>
      </c>
      <c r="N5" s="38">
        <f t="shared" si="1"/>
        <v>50</v>
      </c>
      <c r="O5" s="38" t="str">
        <f t="shared" si="1"/>
        <v/>
      </c>
      <c r="P5" s="38" t="str">
        <f t="shared" si="1"/>
        <v/>
      </c>
      <c r="Q5" s="38" t="str">
        <f t="shared" si="1"/>
        <v/>
      </c>
      <c r="R5" s="38" t="str">
        <f t="shared" si="1"/>
        <v/>
      </c>
      <c r="S5" s="38" t="str">
        <f t="shared" si="1"/>
        <v/>
      </c>
      <c r="T5" s="38" t="str">
        <f t="shared" si="1"/>
        <v/>
      </c>
      <c r="U5" s="38" t="str">
        <f t="shared" si="1"/>
        <v/>
      </c>
      <c r="V5" s="38">
        <f t="shared" si="1"/>
        <v>20</v>
      </c>
      <c r="W5" s="38">
        <f t="shared" si="1"/>
        <v>80</v>
      </c>
      <c r="X5" s="38">
        <f t="shared" si="1"/>
        <v>7</v>
      </c>
      <c r="Y5" s="38" t="str">
        <f t="shared" si="1"/>
        <v/>
      </c>
      <c r="Z5" s="38" t="str">
        <f t="shared" si="1"/>
        <v/>
      </c>
      <c r="AA5" s="38">
        <f t="shared" si="1"/>
        <v>3.2</v>
      </c>
      <c r="AB5" s="38">
        <f t="shared" si="1"/>
        <v>2.7</v>
      </c>
      <c r="AC5" s="38">
        <f t="shared" si="1"/>
        <v>7</v>
      </c>
      <c r="AD5" s="38" t="str">
        <f t="shared" si="1"/>
        <v/>
      </c>
      <c r="AE5" s="38" t="str">
        <f t="shared" si="1"/>
        <v/>
      </c>
      <c r="AF5" s="38">
        <f t="shared" si="1"/>
        <v>955.59</v>
      </c>
      <c r="AG5" s="38" t="str">
        <f t="shared" si="1"/>
        <v/>
      </c>
      <c r="AH5" s="38">
        <f t="shared" si="1"/>
        <v>1401.07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4">
        <v>7.96</v>
      </c>
      <c r="Q7" s="44">
        <v>31.13</v>
      </c>
      <c r="R7" s="44"/>
      <c r="S7" s="44"/>
      <c r="T7" s="44">
        <v>7.96</v>
      </c>
      <c r="U7" s="43"/>
      <c r="V7" s="45">
        <f>25-12.5</f>
        <v>12.5</v>
      </c>
      <c r="W7" s="45">
        <v>5.45</v>
      </c>
      <c r="X7" s="46">
        <v>14.0</v>
      </c>
      <c r="Y7" s="44"/>
      <c r="Z7" s="44"/>
      <c r="AA7" s="44">
        <v>14.89</v>
      </c>
      <c r="AB7" s="43"/>
      <c r="AC7" s="44">
        <v>4.7</v>
      </c>
      <c r="AD7" s="44">
        <v>4.65</v>
      </c>
      <c r="AE7" s="43"/>
      <c r="AF7" s="43"/>
      <c r="AG7" s="43">
        <f>40.5-20.25</f>
        <v>20.25</v>
      </c>
      <c r="AH7" s="47">
        <f t="shared" ref="AH7:AH15" si="2">SUM(C7:AG7)</f>
        <v>123.49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4">
        <v>6.9</v>
      </c>
      <c r="W10" s="44"/>
      <c r="X10" s="43"/>
      <c r="Y10" s="44">
        <v>36.0</v>
      </c>
      <c r="Z10" s="44">
        <v>50.0</v>
      </c>
      <c r="AA10" s="44"/>
      <c r="AB10" s="44"/>
      <c r="AC10" s="43"/>
      <c r="AD10" s="43"/>
      <c r="AE10" s="43"/>
      <c r="AF10" s="43"/>
      <c r="AG10" s="43"/>
      <c r="AH10" s="47">
        <f t="shared" si="2"/>
        <v>92.9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4">
        <v>2.49</v>
      </c>
      <c r="E11" s="43"/>
      <c r="F11" s="43"/>
      <c r="G11" s="43"/>
      <c r="H11" s="43"/>
      <c r="I11" s="43"/>
      <c r="J11" s="44"/>
      <c r="K11" s="43"/>
      <c r="L11" s="43"/>
      <c r="M11" s="44">
        <v>104.96</v>
      </c>
      <c r="N11" s="43"/>
      <c r="O11" s="43"/>
      <c r="P11" s="43"/>
      <c r="Q11" s="43"/>
      <c r="R11" s="43"/>
      <c r="S11" s="44">
        <v>12.99</v>
      </c>
      <c r="T11" s="43"/>
      <c r="U11" s="43"/>
      <c r="V11" s="43"/>
      <c r="W11" s="43"/>
      <c r="X11" s="43"/>
      <c r="Y11" s="43">
        <f>2.99+14.4</f>
        <v>17.39</v>
      </c>
      <c r="Z11" s="44">
        <v>15.99</v>
      </c>
      <c r="AA11" s="44"/>
      <c r="AB11" s="43"/>
      <c r="AC11" s="43"/>
      <c r="AD11" s="43"/>
      <c r="AE11" s="43"/>
      <c r="AF11" s="44"/>
      <c r="AG11" s="44">
        <v>2.49</v>
      </c>
      <c r="AH11" s="47">
        <f t="shared" si="2"/>
        <v>156.31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4">
        <v>25.01</v>
      </c>
      <c r="H13" s="43"/>
      <c r="I13" s="43"/>
      <c r="J13" s="43"/>
      <c r="K13" s="44">
        <v>32.55</v>
      </c>
      <c r="L13" s="43"/>
      <c r="M13" s="43"/>
      <c r="N13" s="43"/>
      <c r="O13" s="43"/>
      <c r="P13" s="44">
        <v>45.0</v>
      </c>
      <c r="Q13" s="43"/>
      <c r="R13" s="43"/>
      <c r="S13" s="43"/>
      <c r="T13" s="43"/>
      <c r="U13" s="44">
        <v>35.0</v>
      </c>
      <c r="V13" s="43"/>
      <c r="W13" s="44">
        <v>27.06</v>
      </c>
      <c r="X13" s="43"/>
      <c r="Y13" s="43"/>
      <c r="Z13" s="43"/>
      <c r="AA13" s="43"/>
      <c r="AB13" s="43"/>
      <c r="AC13" s="43"/>
      <c r="AD13" s="44">
        <v>30.0</v>
      </c>
      <c r="AE13" s="43"/>
      <c r="AF13" s="43"/>
      <c r="AG13" s="43"/>
      <c r="AH13" s="47">
        <f t="shared" si="2"/>
        <v>194.62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0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0</v>
      </c>
      <c r="D15" s="47">
        <f t="shared" si="3"/>
        <v>2.49</v>
      </c>
      <c r="E15" s="47">
        <f t="shared" si="3"/>
        <v>0</v>
      </c>
      <c r="F15" s="47">
        <f t="shared" si="3"/>
        <v>0</v>
      </c>
      <c r="G15" s="47">
        <f t="shared" si="3"/>
        <v>25.01</v>
      </c>
      <c r="H15" s="47">
        <f t="shared" si="3"/>
        <v>0</v>
      </c>
      <c r="I15" s="47">
        <f t="shared" si="3"/>
        <v>0</v>
      </c>
      <c r="J15" s="47">
        <f t="shared" si="3"/>
        <v>0</v>
      </c>
      <c r="K15" s="47">
        <f t="shared" si="3"/>
        <v>32.55</v>
      </c>
      <c r="L15" s="47">
        <f t="shared" si="3"/>
        <v>0</v>
      </c>
      <c r="M15" s="47">
        <f t="shared" si="3"/>
        <v>104.96</v>
      </c>
      <c r="N15" s="47">
        <f t="shared" si="3"/>
        <v>0</v>
      </c>
      <c r="O15" s="47">
        <f t="shared" si="3"/>
        <v>0</v>
      </c>
      <c r="P15" s="47">
        <f t="shared" si="3"/>
        <v>52.96</v>
      </c>
      <c r="Q15" s="47">
        <f t="shared" si="3"/>
        <v>31.13</v>
      </c>
      <c r="R15" s="47">
        <f t="shared" si="3"/>
        <v>0</v>
      </c>
      <c r="S15" s="47">
        <f t="shared" si="3"/>
        <v>12.99</v>
      </c>
      <c r="T15" s="47">
        <f t="shared" si="3"/>
        <v>7.96</v>
      </c>
      <c r="U15" s="47">
        <f t="shared" si="3"/>
        <v>35</v>
      </c>
      <c r="V15" s="47">
        <f t="shared" si="3"/>
        <v>19.4</v>
      </c>
      <c r="W15" s="47">
        <f t="shared" si="3"/>
        <v>32.51</v>
      </c>
      <c r="X15" s="47">
        <f t="shared" si="3"/>
        <v>14</v>
      </c>
      <c r="Y15" s="47">
        <f t="shared" si="3"/>
        <v>53.39</v>
      </c>
      <c r="Z15" s="47">
        <f t="shared" si="3"/>
        <v>65.99</v>
      </c>
      <c r="AA15" s="47">
        <f t="shared" si="3"/>
        <v>14.89</v>
      </c>
      <c r="AB15" s="47">
        <f t="shared" si="3"/>
        <v>0</v>
      </c>
      <c r="AC15" s="47">
        <f t="shared" si="3"/>
        <v>4.7</v>
      </c>
      <c r="AD15" s="47">
        <f t="shared" si="3"/>
        <v>34.65</v>
      </c>
      <c r="AE15" s="47">
        <f t="shared" si="3"/>
        <v>0</v>
      </c>
      <c r="AF15" s="47">
        <f t="shared" si="3"/>
        <v>0</v>
      </c>
      <c r="AG15" s="47">
        <f t="shared" si="3"/>
        <v>22.74</v>
      </c>
      <c r="AH15" s="47">
        <f t="shared" si="2"/>
        <v>567.32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Anual!H18</f>
        <v>1809.44</v>
      </c>
      <c r="C20" s="40">
        <f t="shared" ref="C20:AG20" si="4">C5-C15+B20</f>
        <v>1810.37</v>
      </c>
      <c r="D20" s="40">
        <f t="shared" si="4"/>
        <v>1807.88</v>
      </c>
      <c r="E20" s="40">
        <f t="shared" si="4"/>
        <v>1807.88</v>
      </c>
      <c r="F20" s="40">
        <f t="shared" si="4"/>
        <v>1807.88</v>
      </c>
      <c r="G20" s="40">
        <f t="shared" si="4"/>
        <v>1852.87</v>
      </c>
      <c r="H20" s="40">
        <f t="shared" si="4"/>
        <v>1852.87</v>
      </c>
      <c r="I20" s="40">
        <f t="shared" si="4"/>
        <v>1852.87</v>
      </c>
      <c r="J20" s="40">
        <f t="shared" si="4"/>
        <v>2006.9</v>
      </c>
      <c r="K20" s="40">
        <f t="shared" si="4"/>
        <v>1974.35</v>
      </c>
      <c r="L20" s="40">
        <f t="shared" si="4"/>
        <v>1975</v>
      </c>
      <c r="M20" s="40">
        <f t="shared" si="4"/>
        <v>1920.01</v>
      </c>
      <c r="N20" s="40">
        <f t="shared" si="4"/>
        <v>1970.01</v>
      </c>
      <c r="O20" s="40">
        <f t="shared" si="4"/>
        <v>1970.01</v>
      </c>
      <c r="P20" s="40">
        <f t="shared" si="4"/>
        <v>1917.05</v>
      </c>
      <c r="Q20" s="40">
        <f t="shared" si="4"/>
        <v>1885.92</v>
      </c>
      <c r="R20" s="40">
        <f t="shared" si="4"/>
        <v>1885.92</v>
      </c>
      <c r="S20" s="40">
        <f t="shared" si="4"/>
        <v>1872.93</v>
      </c>
      <c r="T20" s="40">
        <f t="shared" si="4"/>
        <v>1864.97</v>
      </c>
      <c r="U20" s="40">
        <f t="shared" si="4"/>
        <v>1829.97</v>
      </c>
      <c r="V20" s="40">
        <f t="shared" si="4"/>
        <v>1830.57</v>
      </c>
      <c r="W20" s="40">
        <f t="shared" si="4"/>
        <v>1878.06</v>
      </c>
      <c r="X20" s="40">
        <f t="shared" si="4"/>
        <v>1871.06</v>
      </c>
      <c r="Y20" s="40">
        <f t="shared" si="4"/>
        <v>1817.67</v>
      </c>
      <c r="Z20" s="40">
        <f t="shared" si="4"/>
        <v>1751.68</v>
      </c>
      <c r="AA20" s="40">
        <f t="shared" si="4"/>
        <v>1739.99</v>
      </c>
      <c r="AB20" s="40">
        <f t="shared" si="4"/>
        <v>1742.69</v>
      </c>
      <c r="AC20" s="40">
        <f t="shared" si="4"/>
        <v>1744.99</v>
      </c>
      <c r="AD20" s="40">
        <f t="shared" si="4"/>
        <v>1710.34</v>
      </c>
      <c r="AE20" s="40">
        <f t="shared" si="4"/>
        <v>1710.34</v>
      </c>
      <c r="AF20" s="40">
        <f t="shared" si="4"/>
        <v>2665.93</v>
      </c>
      <c r="AG20" s="40">
        <f t="shared" si="4"/>
        <v>2643.19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5">
        <v>50.0</v>
      </c>
      <c r="E4" s="35">
        <v>50.0</v>
      </c>
      <c r="F4" s="37"/>
      <c r="G4" s="37"/>
      <c r="H4" s="37"/>
      <c r="I4" s="37"/>
      <c r="J4" s="37"/>
      <c r="K4" s="37"/>
      <c r="L4" s="35">
        <v>50.0</v>
      </c>
      <c r="M4" s="37"/>
      <c r="N4" s="37"/>
      <c r="O4" s="37"/>
      <c r="P4" s="35"/>
      <c r="Q4" s="35"/>
      <c r="R4" s="35">
        <v>30.0</v>
      </c>
      <c r="S4" s="37"/>
      <c r="T4" s="35">
        <v>50.0</v>
      </c>
      <c r="U4" s="37"/>
      <c r="V4" s="35"/>
      <c r="W4" s="35">
        <v>3.0</v>
      </c>
      <c r="X4" s="37">
        <f>5.2+3.6+5.2+7</f>
        <v>21</v>
      </c>
      <c r="Y4" s="35">
        <v>5.2</v>
      </c>
      <c r="Z4" s="35">
        <v>50.0</v>
      </c>
      <c r="AA4" s="35">
        <f>2+40.4</f>
        <v>42.4</v>
      </c>
      <c r="AB4" s="35">
        <v>1.5</v>
      </c>
      <c r="AC4" s="35">
        <v>2.0</v>
      </c>
      <c r="AD4" s="37">
        <f>3.6+1.2</f>
        <v>4.8</v>
      </c>
      <c r="AE4" s="35">
        <v>980.34</v>
      </c>
      <c r="AF4" s="35"/>
      <c r="AG4" s="37"/>
      <c r="AH4" s="38">
        <f>SUM(C4:AG4)</f>
        <v>1340.24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>
        <f t="shared" si="1"/>
        <v>50</v>
      </c>
      <c r="E5" s="38">
        <f t="shared" si="1"/>
        <v>50</v>
      </c>
      <c r="F5" s="38" t="str">
        <f t="shared" si="1"/>
        <v/>
      </c>
      <c r="G5" s="38" t="str">
        <f t="shared" si="1"/>
        <v/>
      </c>
      <c r="H5" s="38" t="str">
        <f t="shared" si="1"/>
        <v/>
      </c>
      <c r="I5" s="38" t="str">
        <f t="shared" si="1"/>
        <v/>
      </c>
      <c r="J5" s="38" t="str">
        <f t="shared" si="1"/>
        <v/>
      </c>
      <c r="K5" s="38" t="str">
        <f t="shared" si="1"/>
        <v/>
      </c>
      <c r="L5" s="38">
        <f t="shared" si="1"/>
        <v>50</v>
      </c>
      <c r="M5" s="38" t="str">
        <f t="shared" si="1"/>
        <v/>
      </c>
      <c r="N5" s="38" t="str">
        <f t="shared" si="1"/>
        <v/>
      </c>
      <c r="O5" s="38" t="str">
        <f t="shared" si="1"/>
        <v/>
      </c>
      <c r="P5" s="38" t="str">
        <f t="shared" si="1"/>
        <v/>
      </c>
      <c r="Q5" s="38" t="str">
        <f t="shared" si="1"/>
        <v/>
      </c>
      <c r="R5" s="38">
        <f t="shared" si="1"/>
        <v>30</v>
      </c>
      <c r="S5" s="38" t="str">
        <f t="shared" si="1"/>
        <v/>
      </c>
      <c r="T5" s="38">
        <f t="shared" si="1"/>
        <v>50</v>
      </c>
      <c r="U5" s="38" t="str">
        <f t="shared" si="1"/>
        <v/>
      </c>
      <c r="V5" s="38" t="str">
        <f t="shared" si="1"/>
        <v/>
      </c>
      <c r="W5" s="38">
        <f t="shared" si="1"/>
        <v>3</v>
      </c>
      <c r="X5" s="38">
        <f t="shared" si="1"/>
        <v>21</v>
      </c>
      <c r="Y5" s="38">
        <f t="shared" si="1"/>
        <v>5.2</v>
      </c>
      <c r="Z5" s="38">
        <f t="shared" si="1"/>
        <v>50</v>
      </c>
      <c r="AA5" s="38">
        <f t="shared" si="1"/>
        <v>42.4</v>
      </c>
      <c r="AB5" s="38">
        <f t="shared" si="1"/>
        <v>1.5</v>
      </c>
      <c r="AC5" s="38">
        <f t="shared" si="1"/>
        <v>2</v>
      </c>
      <c r="AD5" s="38">
        <f t="shared" si="1"/>
        <v>4.8</v>
      </c>
      <c r="AE5" s="38">
        <f t="shared" si="1"/>
        <v>980.34</v>
      </c>
      <c r="AF5" s="38" t="str">
        <f t="shared" si="1"/>
        <v/>
      </c>
      <c r="AG5" s="38" t="str">
        <f t="shared" si="1"/>
        <v/>
      </c>
      <c r="AH5" s="38">
        <f t="shared" si="1"/>
        <v>1340.24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>
        <f>3.2+4.2</f>
        <v>7.4</v>
      </c>
      <c r="D7" s="43">
        <f>24.94-7.25*2</f>
        <v>10.44</v>
      </c>
      <c r="E7" s="43"/>
      <c r="F7" s="43"/>
      <c r="G7" s="43"/>
      <c r="H7" s="43"/>
      <c r="I7" s="44">
        <v>3.29</v>
      </c>
      <c r="J7" s="44">
        <f>2.3+6.35</f>
        <v>8.65</v>
      </c>
      <c r="K7" s="44">
        <v>15.91</v>
      </c>
      <c r="L7" s="43">
        <f>11.4-4.5</f>
        <v>6.9</v>
      </c>
      <c r="M7" s="44">
        <v>5.0</v>
      </c>
      <c r="N7" s="43">
        <f>6.99+6.99</f>
        <v>13.98</v>
      </c>
      <c r="O7" s="43"/>
      <c r="P7" s="44">
        <f>2.3+8.5-5+6.18</f>
        <v>11.98</v>
      </c>
      <c r="Q7" s="44"/>
      <c r="R7" s="44">
        <f>8-4</f>
        <v>4</v>
      </c>
      <c r="S7" s="44"/>
      <c r="T7" s="44"/>
      <c r="U7" s="43"/>
      <c r="V7" s="43"/>
      <c r="W7" s="45"/>
      <c r="X7" s="45">
        <f>34.1+1.2+3.8</f>
        <v>39.1</v>
      </c>
      <c r="Y7" s="44"/>
      <c r="Z7" s="44">
        <f>6.5+3.5+2.1+7.2+27.9</f>
        <v>47.2</v>
      </c>
      <c r="AA7" s="43">
        <f>1.3+1.4+1.11</f>
        <v>3.81</v>
      </c>
      <c r="AB7" s="44">
        <v>1.4</v>
      </c>
      <c r="AC7" s="43">
        <f>1.11+1.89</f>
        <v>3</v>
      </c>
      <c r="AD7" s="44">
        <v>4.35</v>
      </c>
      <c r="AE7" s="44">
        <v>1.4</v>
      </c>
      <c r="AF7" s="43"/>
      <c r="AG7" s="43"/>
      <c r="AH7" s="47">
        <f t="shared" ref="AH7:AH15" si="2">SUM(C7:AG7)</f>
        <v>187.81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>
        <v>4.99</v>
      </c>
      <c r="Z9" s="43"/>
      <c r="AA9" s="44"/>
      <c r="AB9" s="43"/>
      <c r="AC9" s="43"/>
      <c r="AD9" s="43"/>
      <c r="AE9" s="43"/>
      <c r="AF9" s="43"/>
      <c r="AG9" s="43"/>
      <c r="AH9" s="47">
        <f t="shared" si="2"/>
        <v>4.99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>
        <f>12+7.9</f>
        <v>19.9</v>
      </c>
      <c r="E10" s="43"/>
      <c r="F10" s="43">
        <f>1.9</f>
        <v>1.9</v>
      </c>
      <c r="G10" s="43"/>
      <c r="H10" s="44">
        <v>41.89</v>
      </c>
      <c r="I10" s="43"/>
      <c r="J10" s="44">
        <f>10.5+10+9.9</f>
        <v>30.4</v>
      </c>
      <c r="K10" s="44">
        <v>3.2</v>
      </c>
      <c r="L10" s="43">
        <f>7.5+10.56</f>
        <v>18.06</v>
      </c>
      <c r="M10" s="43"/>
      <c r="N10" s="44">
        <v>12.0</v>
      </c>
      <c r="O10" s="43"/>
      <c r="P10" s="43"/>
      <c r="Q10" s="43"/>
      <c r="R10" s="43"/>
      <c r="S10" s="44">
        <f>20.8-15.8</f>
        <v>5</v>
      </c>
      <c r="T10" s="43"/>
      <c r="U10" s="43"/>
      <c r="V10" s="43"/>
      <c r="W10" s="43">
        <f>20.8-7-7.1-7.02</f>
        <v>-0.32</v>
      </c>
      <c r="X10" s="44">
        <v>4.6</v>
      </c>
      <c r="Y10" s="44"/>
      <c r="Z10" s="43"/>
      <c r="AA10" s="44"/>
      <c r="AB10" s="44"/>
      <c r="AC10" s="44">
        <v>20.8</v>
      </c>
      <c r="AD10" s="43"/>
      <c r="AE10" s="43"/>
      <c r="AF10" s="43"/>
      <c r="AG10" s="43"/>
      <c r="AH10" s="47">
        <f t="shared" si="2"/>
        <v>157.43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4">
        <v>12.99</v>
      </c>
      <c r="Q11" s="43"/>
      <c r="R11" s="43"/>
      <c r="S11" s="43"/>
      <c r="T11" s="43"/>
      <c r="U11" s="43"/>
      <c r="V11" s="43"/>
      <c r="W11" s="43"/>
      <c r="X11" s="43"/>
      <c r="Y11" s="44">
        <v>2.99</v>
      </c>
      <c r="Z11" s="43"/>
      <c r="AA11" s="44"/>
      <c r="AB11" s="43"/>
      <c r="AC11" s="43"/>
      <c r="AD11" s="43"/>
      <c r="AE11" s="43"/>
      <c r="AF11" s="43"/>
      <c r="AG11" s="43"/>
      <c r="AH11" s="47">
        <f t="shared" si="2"/>
        <v>15.98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4">
        <v>35.0</v>
      </c>
      <c r="E13" s="43"/>
      <c r="F13" s="44">
        <f>3.5+198</f>
        <v>201.5</v>
      </c>
      <c r="G13" s="44">
        <v>35.0</v>
      </c>
      <c r="H13" s="43"/>
      <c r="I13" s="43"/>
      <c r="J13" s="43"/>
      <c r="K13" s="43"/>
      <c r="L13" s="43"/>
      <c r="M13" s="44">
        <v>35.0</v>
      </c>
      <c r="N13" s="43"/>
      <c r="O13" s="43"/>
      <c r="P13" s="43"/>
      <c r="Q13" s="43"/>
      <c r="R13" s="43">
        <f>45+3.2+0.5</f>
        <v>48.7</v>
      </c>
      <c r="S13" s="43"/>
      <c r="T13" s="43"/>
      <c r="U13" s="43"/>
      <c r="V13" s="43"/>
      <c r="W13" s="43"/>
      <c r="X13" s="43"/>
      <c r="Y13" s="43"/>
      <c r="Z13" s="44">
        <v>35.0</v>
      </c>
      <c r="AA13" s="43"/>
      <c r="AB13" s="43"/>
      <c r="AC13" s="43"/>
      <c r="AD13" s="43"/>
      <c r="AE13" s="43"/>
      <c r="AF13" s="43"/>
      <c r="AG13" s="43"/>
      <c r="AH13" s="47">
        <f t="shared" si="2"/>
        <v>390.2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4">
        <v>23.8</v>
      </c>
      <c r="I14" s="43"/>
      <c r="J14" s="44">
        <v>2.94</v>
      </c>
      <c r="K14" s="44"/>
      <c r="L14" s="43"/>
      <c r="M14" s="43"/>
      <c r="N14" s="43"/>
      <c r="O14" s="44">
        <v>12.0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38.74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7.4</v>
      </c>
      <c r="D15" s="47">
        <f t="shared" si="3"/>
        <v>65.34</v>
      </c>
      <c r="E15" s="47">
        <f t="shared" si="3"/>
        <v>0</v>
      </c>
      <c r="F15" s="47">
        <f t="shared" si="3"/>
        <v>203.4</v>
      </c>
      <c r="G15" s="47">
        <f t="shared" si="3"/>
        <v>35</v>
      </c>
      <c r="H15" s="47">
        <f t="shared" si="3"/>
        <v>65.69</v>
      </c>
      <c r="I15" s="47">
        <f t="shared" si="3"/>
        <v>3.29</v>
      </c>
      <c r="J15" s="47">
        <f t="shared" si="3"/>
        <v>41.99</v>
      </c>
      <c r="K15" s="47">
        <f t="shared" si="3"/>
        <v>19.11</v>
      </c>
      <c r="L15" s="47">
        <f t="shared" si="3"/>
        <v>24.96</v>
      </c>
      <c r="M15" s="47">
        <f t="shared" si="3"/>
        <v>40</v>
      </c>
      <c r="N15" s="47">
        <f t="shared" si="3"/>
        <v>25.98</v>
      </c>
      <c r="O15" s="47">
        <f t="shared" si="3"/>
        <v>12</v>
      </c>
      <c r="P15" s="47">
        <f t="shared" si="3"/>
        <v>24.97</v>
      </c>
      <c r="Q15" s="47">
        <f t="shared" si="3"/>
        <v>0</v>
      </c>
      <c r="R15" s="47">
        <f t="shared" si="3"/>
        <v>52.7</v>
      </c>
      <c r="S15" s="47">
        <f t="shared" si="3"/>
        <v>5</v>
      </c>
      <c r="T15" s="47">
        <f t="shared" si="3"/>
        <v>0</v>
      </c>
      <c r="U15" s="47">
        <f t="shared" si="3"/>
        <v>0</v>
      </c>
      <c r="V15" s="47">
        <f t="shared" si="3"/>
        <v>0</v>
      </c>
      <c r="W15" s="47">
        <f t="shared" si="3"/>
        <v>-0.32</v>
      </c>
      <c r="X15" s="47">
        <f t="shared" si="3"/>
        <v>43.7</v>
      </c>
      <c r="Y15" s="47">
        <f t="shared" si="3"/>
        <v>7.98</v>
      </c>
      <c r="Z15" s="47">
        <f t="shared" si="3"/>
        <v>82.2</v>
      </c>
      <c r="AA15" s="47">
        <f t="shared" si="3"/>
        <v>3.81</v>
      </c>
      <c r="AB15" s="47">
        <f t="shared" si="3"/>
        <v>1.4</v>
      </c>
      <c r="AC15" s="47">
        <f t="shared" si="3"/>
        <v>23.8</v>
      </c>
      <c r="AD15" s="47">
        <f t="shared" si="3"/>
        <v>4.35</v>
      </c>
      <c r="AE15" s="47">
        <f t="shared" si="3"/>
        <v>1.4</v>
      </c>
      <c r="AF15" s="47">
        <f t="shared" si="3"/>
        <v>0</v>
      </c>
      <c r="AG15" s="47">
        <f t="shared" si="3"/>
        <v>0</v>
      </c>
      <c r="AH15" s="47">
        <f t="shared" si="2"/>
        <v>795.15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Anual!I18</f>
        <v>2643.19</v>
      </c>
      <c r="C20" s="40">
        <f t="shared" ref="C20:AH20" si="4">C5-C15+B20</f>
        <v>2635.79</v>
      </c>
      <c r="D20" s="40">
        <f t="shared" si="4"/>
        <v>2620.45</v>
      </c>
      <c r="E20" s="40">
        <f t="shared" si="4"/>
        <v>2670.45</v>
      </c>
      <c r="F20" s="40">
        <f t="shared" si="4"/>
        <v>2467.05</v>
      </c>
      <c r="G20" s="40">
        <f t="shared" si="4"/>
        <v>2432.05</v>
      </c>
      <c r="H20" s="40">
        <f t="shared" si="4"/>
        <v>2366.36</v>
      </c>
      <c r="I20" s="40">
        <f t="shared" si="4"/>
        <v>2363.07</v>
      </c>
      <c r="J20" s="40">
        <f t="shared" si="4"/>
        <v>2321.08</v>
      </c>
      <c r="K20" s="40">
        <f t="shared" si="4"/>
        <v>2301.97</v>
      </c>
      <c r="L20" s="40">
        <f t="shared" si="4"/>
        <v>2327.01</v>
      </c>
      <c r="M20" s="40">
        <f t="shared" si="4"/>
        <v>2287.01</v>
      </c>
      <c r="N20" s="40">
        <f t="shared" si="4"/>
        <v>2261.03</v>
      </c>
      <c r="O20" s="40">
        <f t="shared" si="4"/>
        <v>2249.03</v>
      </c>
      <c r="P20" s="40">
        <f t="shared" si="4"/>
        <v>2224.06</v>
      </c>
      <c r="Q20" s="40">
        <f t="shared" si="4"/>
        <v>2224.06</v>
      </c>
      <c r="R20" s="40">
        <f t="shared" si="4"/>
        <v>2201.36</v>
      </c>
      <c r="S20" s="40">
        <f t="shared" si="4"/>
        <v>2196.36</v>
      </c>
      <c r="T20" s="40">
        <f t="shared" si="4"/>
        <v>2246.36</v>
      </c>
      <c r="U20" s="40">
        <f t="shared" si="4"/>
        <v>2246.36</v>
      </c>
      <c r="V20" s="40">
        <f t="shared" si="4"/>
        <v>2246.36</v>
      </c>
      <c r="W20" s="40">
        <f t="shared" si="4"/>
        <v>2249.68</v>
      </c>
      <c r="X20" s="40">
        <f t="shared" si="4"/>
        <v>2226.98</v>
      </c>
      <c r="Y20" s="40">
        <f t="shared" si="4"/>
        <v>2224.2</v>
      </c>
      <c r="Z20" s="40">
        <f t="shared" si="4"/>
        <v>2192</v>
      </c>
      <c r="AA20" s="40">
        <f t="shared" si="4"/>
        <v>2230.59</v>
      </c>
      <c r="AB20" s="40">
        <f t="shared" si="4"/>
        <v>2230.69</v>
      </c>
      <c r="AC20" s="40">
        <f t="shared" si="4"/>
        <v>2208.89</v>
      </c>
      <c r="AD20" s="40">
        <f t="shared" si="4"/>
        <v>2209.34</v>
      </c>
      <c r="AE20" s="40">
        <f t="shared" si="4"/>
        <v>3188.28</v>
      </c>
      <c r="AF20" s="40">
        <f t="shared" si="4"/>
        <v>3188.28</v>
      </c>
      <c r="AG20" s="40">
        <f t="shared" si="4"/>
        <v>3188.28</v>
      </c>
      <c r="AH20" s="31">
        <f t="shared" si="4"/>
        <v>3733.37</v>
      </c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5">
        <v>2.0</v>
      </c>
      <c r="E4" s="35">
        <v>2.0</v>
      </c>
      <c r="F4" s="35">
        <v>2.0</v>
      </c>
      <c r="G4" s="35">
        <v>1.2</v>
      </c>
      <c r="H4" s="35">
        <v>20.0</v>
      </c>
      <c r="I4" s="37">
        <f>50-33</f>
        <v>17</v>
      </c>
      <c r="J4" s="35">
        <v>50.0</v>
      </c>
      <c r="K4" s="35">
        <f>50+10</f>
        <v>60</v>
      </c>
      <c r="L4" s="37"/>
      <c r="M4" s="37"/>
      <c r="N4" s="35"/>
      <c r="O4" s="37"/>
      <c r="P4" s="35"/>
      <c r="Q4" s="37"/>
      <c r="R4" s="37">
        <f>50+50+25</f>
        <v>125</v>
      </c>
      <c r="S4" s="37"/>
      <c r="T4" s="37"/>
      <c r="U4" s="37"/>
      <c r="V4" s="37"/>
      <c r="W4" s="37"/>
      <c r="X4" s="35">
        <v>50.0</v>
      </c>
      <c r="Y4" s="35">
        <v>7.2</v>
      </c>
      <c r="Z4" s="35"/>
      <c r="AA4" s="35">
        <v>6.0</v>
      </c>
      <c r="AB4" s="37"/>
      <c r="AC4" s="37"/>
      <c r="AD4" s="37"/>
      <c r="AE4" s="35">
        <v>50.0</v>
      </c>
      <c r="AF4" s="37"/>
      <c r="AG4" s="37"/>
      <c r="AH4" s="38">
        <f>SUM(C4:AD4)</f>
        <v>342.4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>
        <f t="shared" si="1"/>
        <v>2</v>
      </c>
      <c r="E5" s="38">
        <f t="shared" si="1"/>
        <v>2</v>
      </c>
      <c r="F5" s="38">
        <f t="shared" si="1"/>
        <v>2</v>
      </c>
      <c r="G5" s="38">
        <f t="shared" si="1"/>
        <v>1.2</v>
      </c>
      <c r="H5" s="38">
        <f t="shared" si="1"/>
        <v>20</v>
      </c>
      <c r="I5" s="38">
        <f t="shared" si="1"/>
        <v>17</v>
      </c>
      <c r="J5" s="38">
        <f t="shared" si="1"/>
        <v>50</v>
      </c>
      <c r="K5" s="38">
        <f t="shared" si="1"/>
        <v>60</v>
      </c>
      <c r="L5" s="38" t="str">
        <f t="shared" si="1"/>
        <v/>
      </c>
      <c r="M5" s="38" t="str">
        <f t="shared" si="1"/>
        <v/>
      </c>
      <c r="N5" s="38" t="str">
        <f t="shared" si="1"/>
        <v/>
      </c>
      <c r="O5" s="38" t="str">
        <f t="shared" si="1"/>
        <v/>
      </c>
      <c r="P5" s="38" t="str">
        <f t="shared" si="1"/>
        <v/>
      </c>
      <c r="Q5" s="38" t="str">
        <f t="shared" si="1"/>
        <v/>
      </c>
      <c r="R5" s="38">
        <f t="shared" si="1"/>
        <v>125</v>
      </c>
      <c r="S5" s="38" t="str">
        <f t="shared" si="1"/>
        <v/>
      </c>
      <c r="T5" s="38" t="str">
        <f t="shared" si="1"/>
        <v/>
      </c>
      <c r="U5" s="38" t="str">
        <f t="shared" si="1"/>
        <v/>
      </c>
      <c r="V5" s="38" t="str">
        <f t="shared" si="1"/>
        <v/>
      </c>
      <c r="W5" s="38" t="str">
        <f t="shared" si="1"/>
        <v/>
      </c>
      <c r="X5" s="38">
        <f t="shared" si="1"/>
        <v>50</v>
      </c>
      <c r="Y5" s="38">
        <f t="shared" si="1"/>
        <v>7.2</v>
      </c>
      <c r="Z5" s="38" t="str">
        <f t="shared" si="1"/>
        <v/>
      </c>
      <c r="AA5" s="38">
        <f t="shared" si="1"/>
        <v>6</v>
      </c>
      <c r="AB5" s="38" t="str">
        <f t="shared" si="1"/>
        <v/>
      </c>
      <c r="AC5" s="38" t="str">
        <f t="shared" si="1"/>
        <v/>
      </c>
      <c r="AD5" s="38" t="str">
        <f t="shared" si="1"/>
        <v/>
      </c>
      <c r="AE5" s="38">
        <f t="shared" si="1"/>
        <v>50</v>
      </c>
      <c r="AF5" s="38" t="str">
        <f t="shared" si="1"/>
        <v/>
      </c>
      <c r="AG5" s="38" t="str">
        <f t="shared" si="1"/>
        <v/>
      </c>
      <c r="AH5" s="38">
        <f t="shared" si="1"/>
        <v>342.4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56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3">
        <f>4.35+1.11</f>
        <v>5.46</v>
      </c>
      <c r="E7" s="44">
        <f>1.4+1.7</f>
        <v>3.1</v>
      </c>
      <c r="F7" s="44">
        <v>1.4</v>
      </c>
      <c r="G7" s="43">
        <f>1.2+3.9</f>
        <v>5.1</v>
      </c>
      <c r="H7" s="44">
        <v>4.35</v>
      </c>
      <c r="I7" s="44">
        <v>20.0</v>
      </c>
      <c r="J7" s="43"/>
      <c r="K7" s="43">
        <f>1.4+4.49</f>
        <v>5.89</v>
      </c>
      <c r="L7" s="44">
        <v>1.4</v>
      </c>
      <c r="M7" s="44">
        <v>1.4</v>
      </c>
      <c r="N7" s="43"/>
      <c r="O7" s="43">
        <f>7.44-2.55+2.75</f>
        <v>7.64</v>
      </c>
      <c r="P7" s="44">
        <f>7.41-3.7</f>
        <v>3.71</v>
      </c>
      <c r="Q7" s="44">
        <v>9.8</v>
      </c>
      <c r="R7" s="44">
        <v>3.9</v>
      </c>
      <c r="S7" s="44">
        <v>1.4</v>
      </c>
      <c r="T7" s="44">
        <v>1.4</v>
      </c>
      <c r="U7" s="44">
        <v>1.4</v>
      </c>
      <c r="V7" s="43">
        <f>4.2+2.2+3.1</f>
        <v>9.5</v>
      </c>
      <c r="W7" s="45"/>
      <c r="X7" s="46"/>
      <c r="Y7" s="44">
        <f>0.72+1.4</f>
        <v>2.12</v>
      </c>
      <c r="Z7" s="44">
        <v>1.4</v>
      </c>
      <c r="AA7" s="44">
        <f>6.56+1.4</f>
        <v>7.96</v>
      </c>
      <c r="AB7" s="43">
        <f>2.5+4.35</f>
        <v>6.85</v>
      </c>
      <c r="AC7" s="43">
        <f>1.8</f>
        <v>1.8</v>
      </c>
      <c r="AD7" s="43"/>
      <c r="AE7" s="43"/>
      <c r="AF7" s="43"/>
      <c r="AG7" s="43"/>
      <c r="AH7" s="47">
        <f t="shared" ref="AH7:AH15" si="2">SUM(C7:AG7)</f>
        <v>106.98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3"/>
      <c r="F10" s="43"/>
      <c r="G10" s="44">
        <v>5.0</v>
      </c>
      <c r="H10" s="43"/>
      <c r="I10" s="43"/>
      <c r="J10" s="43"/>
      <c r="K10" s="43"/>
      <c r="L10" s="43"/>
      <c r="M10" s="43"/>
      <c r="N10" s="44">
        <f>140+25</f>
        <v>165</v>
      </c>
      <c r="O10" s="44"/>
      <c r="P10" s="43"/>
      <c r="Q10" s="43"/>
      <c r="R10" s="43"/>
      <c r="S10" s="43"/>
      <c r="T10" s="43"/>
      <c r="U10" s="43"/>
      <c r="V10" s="43"/>
      <c r="W10" s="44">
        <v>5.0</v>
      </c>
      <c r="X10" s="43"/>
      <c r="Y10" s="44"/>
      <c r="Z10" s="43"/>
      <c r="AA10" s="44"/>
      <c r="AB10" s="44"/>
      <c r="AC10" s="43"/>
      <c r="AD10" s="43"/>
      <c r="AE10" s="43"/>
      <c r="AF10" s="43"/>
      <c r="AG10" s="43"/>
      <c r="AH10" s="47">
        <f t="shared" si="2"/>
        <v>175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3"/>
      <c r="E11" s="43"/>
      <c r="F11" s="43"/>
      <c r="G11" s="44"/>
      <c r="H11" s="43"/>
      <c r="I11" s="43"/>
      <c r="J11" s="43"/>
      <c r="K11" s="44">
        <f>37.44</f>
        <v>37.44</v>
      </c>
      <c r="L11" s="43"/>
      <c r="M11" s="44">
        <v>37.59</v>
      </c>
      <c r="N11" s="43"/>
      <c r="O11" s="44">
        <v>47.73</v>
      </c>
      <c r="P11" s="44">
        <v>12.99</v>
      </c>
      <c r="Q11" s="43"/>
      <c r="R11" s="43"/>
      <c r="S11" s="43"/>
      <c r="T11" s="43"/>
      <c r="U11" s="43"/>
      <c r="V11" s="43"/>
      <c r="W11" s="43"/>
      <c r="X11" s="43">
        <f>-3.2-3.6-3.6</f>
        <v>-10.4</v>
      </c>
      <c r="Y11" s="43"/>
      <c r="Z11" s="43"/>
      <c r="AA11" s="44">
        <f>2.99+17.99</f>
        <v>20.98</v>
      </c>
      <c r="AB11" s="43"/>
      <c r="AC11" s="43"/>
      <c r="AD11" s="43"/>
      <c r="AE11" s="43"/>
      <c r="AF11" s="43"/>
      <c r="AG11" s="43"/>
      <c r="AH11" s="47">
        <f t="shared" si="2"/>
        <v>146.33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4">
        <v>1.95</v>
      </c>
      <c r="G13" s="43"/>
      <c r="H13" s="43"/>
      <c r="I13" s="43"/>
      <c r="J13" s="43"/>
      <c r="K13" s="44">
        <v>45.0</v>
      </c>
      <c r="L13" s="43"/>
      <c r="M13" s="43"/>
      <c r="N13" s="43"/>
      <c r="O13" s="43"/>
      <c r="P13" s="43"/>
      <c r="Q13" s="44">
        <v>2.7</v>
      </c>
      <c r="R13" s="43">
        <f>1.2+30</f>
        <v>31.2</v>
      </c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4">
        <v>30.0</v>
      </c>
      <c r="AD13" s="43"/>
      <c r="AE13" s="43"/>
      <c r="AF13" s="43"/>
      <c r="AG13" s="43"/>
      <c r="AH13" s="47">
        <f t="shared" si="2"/>
        <v>110.85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4">
        <v>12.0</v>
      </c>
      <c r="M14" s="44">
        <v>1.1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13.1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0</v>
      </c>
      <c r="D15" s="47">
        <f t="shared" si="3"/>
        <v>5.46</v>
      </c>
      <c r="E15" s="47">
        <f t="shared" si="3"/>
        <v>3.1</v>
      </c>
      <c r="F15" s="47">
        <f t="shared" si="3"/>
        <v>3.35</v>
      </c>
      <c r="G15" s="47">
        <f t="shared" si="3"/>
        <v>10.1</v>
      </c>
      <c r="H15" s="47">
        <f t="shared" si="3"/>
        <v>4.35</v>
      </c>
      <c r="I15" s="47">
        <f t="shared" si="3"/>
        <v>20</v>
      </c>
      <c r="J15" s="47">
        <f t="shared" si="3"/>
        <v>0</v>
      </c>
      <c r="K15" s="47">
        <f t="shared" si="3"/>
        <v>88.33</v>
      </c>
      <c r="L15" s="47">
        <f t="shared" si="3"/>
        <v>13.4</v>
      </c>
      <c r="M15" s="47">
        <f t="shared" si="3"/>
        <v>40.09</v>
      </c>
      <c r="N15" s="47">
        <f t="shared" si="3"/>
        <v>165</v>
      </c>
      <c r="O15" s="47">
        <f t="shared" si="3"/>
        <v>55.37</v>
      </c>
      <c r="P15" s="47">
        <f t="shared" si="3"/>
        <v>16.7</v>
      </c>
      <c r="Q15" s="47">
        <f t="shared" si="3"/>
        <v>12.5</v>
      </c>
      <c r="R15" s="47">
        <f t="shared" si="3"/>
        <v>35.1</v>
      </c>
      <c r="S15" s="47">
        <f t="shared" si="3"/>
        <v>1.4</v>
      </c>
      <c r="T15" s="47">
        <f t="shared" si="3"/>
        <v>1.4</v>
      </c>
      <c r="U15" s="47">
        <f t="shared" si="3"/>
        <v>1.4</v>
      </c>
      <c r="V15" s="47">
        <f t="shared" si="3"/>
        <v>9.5</v>
      </c>
      <c r="W15" s="47">
        <f t="shared" si="3"/>
        <v>5</v>
      </c>
      <c r="X15" s="47">
        <f t="shared" si="3"/>
        <v>-10.4</v>
      </c>
      <c r="Y15" s="47">
        <f t="shared" si="3"/>
        <v>2.12</v>
      </c>
      <c r="Z15" s="47">
        <f t="shared" si="3"/>
        <v>1.4</v>
      </c>
      <c r="AA15" s="47">
        <f t="shared" si="3"/>
        <v>28.94</v>
      </c>
      <c r="AB15" s="47">
        <f t="shared" si="3"/>
        <v>6.85</v>
      </c>
      <c r="AC15" s="47">
        <f t="shared" si="3"/>
        <v>31.8</v>
      </c>
      <c r="AD15" s="47">
        <f t="shared" si="3"/>
        <v>0</v>
      </c>
      <c r="AE15" s="47">
        <f t="shared" si="3"/>
        <v>0</v>
      </c>
      <c r="AF15" s="47">
        <f t="shared" si="3"/>
        <v>0</v>
      </c>
      <c r="AG15" s="47">
        <f t="shared" si="3"/>
        <v>0</v>
      </c>
      <c r="AH15" s="47">
        <f t="shared" si="2"/>
        <v>552.26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Anual!J18</f>
        <v>3188.28</v>
      </c>
      <c r="C20" s="40">
        <f t="shared" ref="C20:AH20" si="4">C5-C15+B20</f>
        <v>3188.28</v>
      </c>
      <c r="D20" s="40">
        <f t="shared" si="4"/>
        <v>3184.82</v>
      </c>
      <c r="E20" s="40">
        <f t="shared" si="4"/>
        <v>3183.72</v>
      </c>
      <c r="F20" s="40">
        <f t="shared" si="4"/>
        <v>3182.37</v>
      </c>
      <c r="G20" s="40">
        <f t="shared" si="4"/>
        <v>3173.47</v>
      </c>
      <c r="H20" s="40">
        <f t="shared" si="4"/>
        <v>3189.12</v>
      </c>
      <c r="I20" s="40">
        <f t="shared" si="4"/>
        <v>3186.12</v>
      </c>
      <c r="J20" s="40">
        <f t="shared" si="4"/>
        <v>3236.12</v>
      </c>
      <c r="K20" s="40">
        <f t="shared" si="4"/>
        <v>3207.79</v>
      </c>
      <c r="L20" s="40">
        <f t="shared" si="4"/>
        <v>3194.39</v>
      </c>
      <c r="M20" s="40">
        <f t="shared" si="4"/>
        <v>3154.3</v>
      </c>
      <c r="N20" s="40">
        <f t="shared" si="4"/>
        <v>2989.3</v>
      </c>
      <c r="O20" s="40">
        <f t="shared" si="4"/>
        <v>2933.93</v>
      </c>
      <c r="P20" s="40">
        <f t="shared" si="4"/>
        <v>2917.23</v>
      </c>
      <c r="Q20" s="40">
        <f t="shared" si="4"/>
        <v>2904.73</v>
      </c>
      <c r="R20" s="40">
        <f t="shared" si="4"/>
        <v>2994.63</v>
      </c>
      <c r="S20" s="40">
        <f t="shared" si="4"/>
        <v>2993.23</v>
      </c>
      <c r="T20" s="40">
        <f t="shared" si="4"/>
        <v>2991.83</v>
      </c>
      <c r="U20" s="40">
        <f t="shared" si="4"/>
        <v>2990.43</v>
      </c>
      <c r="V20" s="40">
        <f t="shared" si="4"/>
        <v>2980.93</v>
      </c>
      <c r="W20" s="40">
        <f t="shared" si="4"/>
        <v>2975.93</v>
      </c>
      <c r="X20" s="40">
        <f t="shared" si="4"/>
        <v>3036.33</v>
      </c>
      <c r="Y20" s="40">
        <f t="shared" si="4"/>
        <v>3041.41</v>
      </c>
      <c r="Z20" s="40">
        <f t="shared" si="4"/>
        <v>3040.01</v>
      </c>
      <c r="AA20" s="40">
        <f t="shared" si="4"/>
        <v>3017.07</v>
      </c>
      <c r="AB20" s="40">
        <f t="shared" si="4"/>
        <v>3010.22</v>
      </c>
      <c r="AC20" s="40">
        <f t="shared" si="4"/>
        <v>2978.42</v>
      </c>
      <c r="AD20" s="40">
        <f t="shared" si="4"/>
        <v>2978.42</v>
      </c>
      <c r="AE20" s="40">
        <f t="shared" si="4"/>
        <v>3028.42</v>
      </c>
      <c r="AF20" s="40">
        <f t="shared" si="4"/>
        <v>3028.42</v>
      </c>
      <c r="AG20" s="40">
        <f t="shared" si="4"/>
        <v>3028.42</v>
      </c>
      <c r="AH20" s="31">
        <f t="shared" si="4"/>
        <v>2818.56</v>
      </c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/>
      <c r="D4" s="37"/>
      <c r="E4" s="35">
        <v>100.0</v>
      </c>
      <c r="F4" s="37"/>
      <c r="G4" s="35">
        <v>50.0</v>
      </c>
      <c r="H4" s="37"/>
      <c r="I4" s="37"/>
      <c r="J4" s="35">
        <v>50.0</v>
      </c>
      <c r="K4" s="37"/>
      <c r="L4" s="37"/>
      <c r="M4" s="37"/>
      <c r="N4" s="35">
        <v>50.0</v>
      </c>
      <c r="O4" s="37"/>
      <c r="P4" s="35"/>
      <c r="Q4" s="37"/>
      <c r="R4" s="37"/>
      <c r="S4" s="37"/>
      <c r="T4" s="37"/>
      <c r="U4" s="35">
        <v>50.0</v>
      </c>
      <c r="V4" s="37"/>
      <c r="W4" s="37"/>
      <c r="X4" s="35">
        <f>3+6</f>
        <v>9</v>
      </c>
      <c r="Y4" s="37"/>
      <c r="Z4" s="35">
        <v>3.0</v>
      </c>
      <c r="AA4" s="37"/>
      <c r="AB4" s="35">
        <v>50.0</v>
      </c>
      <c r="AC4" s="37"/>
      <c r="AD4" s="37"/>
      <c r="AE4" s="37"/>
      <c r="AF4" s="37"/>
      <c r="AG4" s="37"/>
      <c r="AH4" s="38">
        <f>SUM(C4:AD4)</f>
        <v>362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 t="str">
        <f t="shared" ref="C5:AH5" si="1">C4</f>
        <v/>
      </c>
      <c r="D5" s="38" t="str">
        <f t="shared" si="1"/>
        <v/>
      </c>
      <c r="E5" s="38">
        <f t="shared" si="1"/>
        <v>100</v>
      </c>
      <c r="F5" s="38" t="str">
        <f t="shared" si="1"/>
        <v/>
      </c>
      <c r="G5" s="38">
        <f t="shared" si="1"/>
        <v>50</v>
      </c>
      <c r="H5" s="38" t="str">
        <f t="shared" si="1"/>
        <v/>
      </c>
      <c r="I5" s="38" t="str">
        <f t="shared" si="1"/>
        <v/>
      </c>
      <c r="J5" s="38">
        <f t="shared" si="1"/>
        <v>50</v>
      </c>
      <c r="K5" s="38" t="str">
        <f t="shared" si="1"/>
        <v/>
      </c>
      <c r="L5" s="38" t="str">
        <f t="shared" si="1"/>
        <v/>
      </c>
      <c r="M5" s="38" t="str">
        <f t="shared" si="1"/>
        <v/>
      </c>
      <c r="N5" s="38">
        <f t="shared" si="1"/>
        <v>50</v>
      </c>
      <c r="O5" s="38" t="str">
        <f t="shared" si="1"/>
        <v/>
      </c>
      <c r="P5" s="38" t="str">
        <f t="shared" si="1"/>
        <v/>
      </c>
      <c r="Q5" s="38" t="str">
        <f t="shared" si="1"/>
        <v/>
      </c>
      <c r="R5" s="38" t="str">
        <f t="shared" si="1"/>
        <v/>
      </c>
      <c r="S5" s="38" t="str">
        <f t="shared" si="1"/>
        <v/>
      </c>
      <c r="T5" s="38" t="str">
        <f t="shared" si="1"/>
        <v/>
      </c>
      <c r="U5" s="38">
        <f t="shared" si="1"/>
        <v>50</v>
      </c>
      <c r="V5" s="38" t="str">
        <f t="shared" si="1"/>
        <v/>
      </c>
      <c r="W5" s="38" t="str">
        <f t="shared" si="1"/>
        <v/>
      </c>
      <c r="X5" s="38">
        <f t="shared" si="1"/>
        <v>9</v>
      </c>
      <c r="Y5" s="38" t="str">
        <f t="shared" si="1"/>
        <v/>
      </c>
      <c r="Z5" s="38">
        <f t="shared" si="1"/>
        <v>3</v>
      </c>
      <c r="AA5" s="38" t="str">
        <f t="shared" si="1"/>
        <v/>
      </c>
      <c r="AB5" s="38">
        <f t="shared" si="1"/>
        <v>50</v>
      </c>
      <c r="AC5" s="38" t="str">
        <f t="shared" si="1"/>
        <v/>
      </c>
      <c r="AD5" s="38" t="str">
        <f t="shared" si="1"/>
        <v/>
      </c>
      <c r="AE5" s="38" t="str">
        <f t="shared" si="1"/>
        <v/>
      </c>
      <c r="AF5" s="38" t="str">
        <f t="shared" si="1"/>
        <v/>
      </c>
      <c r="AG5" s="38" t="str">
        <f t="shared" si="1"/>
        <v/>
      </c>
      <c r="AH5" s="38">
        <f t="shared" si="1"/>
        <v>362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4">
        <f>1.4+1.4</f>
        <v>2.8</v>
      </c>
      <c r="E7" s="44">
        <v>1.4</v>
      </c>
      <c r="F7" s="43"/>
      <c r="G7" s="43"/>
      <c r="H7" s="44">
        <v>1.4</v>
      </c>
      <c r="I7" s="44">
        <f>1.4+1.5+3.99</f>
        <v>6.89</v>
      </c>
      <c r="J7" s="44">
        <v>1.3</v>
      </c>
      <c r="K7" s="44">
        <v>1.5</v>
      </c>
      <c r="L7" s="43">
        <f>1.4</f>
        <v>1.4</v>
      </c>
      <c r="M7" s="43">
        <f>3.2+11.95+12.69</f>
        <v>27.84</v>
      </c>
      <c r="N7" s="43"/>
      <c r="O7" s="43">
        <f>1.5+1.5</f>
        <v>3</v>
      </c>
      <c r="P7" s="44">
        <v>1.5</v>
      </c>
      <c r="Q7" s="44"/>
      <c r="R7" s="44">
        <v>3.9</v>
      </c>
      <c r="S7" s="44">
        <v>1.5</v>
      </c>
      <c r="T7" s="44"/>
      <c r="U7" s="43"/>
      <c r="V7" s="44">
        <v>4.35</v>
      </c>
      <c r="W7" s="45">
        <v>1.5</v>
      </c>
      <c r="X7" s="46">
        <v>6.71</v>
      </c>
      <c r="Y7" s="44">
        <v>1.4</v>
      </c>
      <c r="Z7" s="44">
        <v>5.3</v>
      </c>
      <c r="AA7" s="43">
        <f>14</f>
        <v>14</v>
      </c>
      <c r="AB7" s="43"/>
      <c r="AC7" s="43"/>
      <c r="AD7" s="43"/>
      <c r="AE7" s="43"/>
      <c r="AF7" s="43"/>
      <c r="AG7" s="43"/>
      <c r="AH7" s="47">
        <f t="shared" ref="AH7:AH15" si="2">SUM(C7:AG7)</f>
        <v>87.69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4">
        <v>10.0</v>
      </c>
      <c r="W10" s="44"/>
      <c r="X10" s="43"/>
      <c r="Y10" s="44"/>
      <c r="Z10" s="43"/>
      <c r="AA10" s="44"/>
      <c r="AB10" s="44"/>
      <c r="AC10" s="43"/>
      <c r="AD10" s="43"/>
      <c r="AE10" s="43"/>
      <c r="AF10" s="43"/>
      <c r="AG10" s="43"/>
      <c r="AH10" s="47">
        <f t="shared" si="2"/>
        <v>10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4">
        <v>2.49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>
        <v>12.99</v>
      </c>
      <c r="R11" s="43"/>
      <c r="S11" s="43"/>
      <c r="T11" s="43"/>
      <c r="U11" s="43"/>
      <c r="V11" s="43"/>
      <c r="W11" s="43"/>
      <c r="X11" s="43"/>
      <c r="Y11" s="43"/>
      <c r="Z11" s="44">
        <v>17.99</v>
      </c>
      <c r="AA11" s="44"/>
      <c r="AB11" s="43"/>
      <c r="AC11" s="43"/>
      <c r="AD11" s="43"/>
      <c r="AE11" s="43"/>
      <c r="AF11" s="43"/>
      <c r="AG11" s="43"/>
      <c r="AH11" s="47">
        <f t="shared" si="2"/>
        <v>33.47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20</v>
      </c>
      <c r="C13" s="43"/>
      <c r="D13" s="43"/>
      <c r="E13" s="43"/>
      <c r="F13" s="43"/>
      <c r="G13" s="43"/>
      <c r="H13" s="43"/>
      <c r="I13" s="43"/>
      <c r="J13" s="43"/>
      <c r="K13" s="43"/>
      <c r="L13" s="44">
        <v>120.0</v>
      </c>
      <c r="M13" s="43">
        <f>2.95-0.65</f>
        <v>2.3</v>
      </c>
      <c r="N13" s="43"/>
      <c r="O13" s="44">
        <v>30.0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4">
        <v>30.0</v>
      </c>
      <c r="AC13" s="43"/>
      <c r="AD13" s="43"/>
      <c r="AE13" s="43"/>
      <c r="AF13" s="43"/>
      <c r="AG13" s="43"/>
      <c r="AH13" s="47">
        <f t="shared" si="2"/>
        <v>182.3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4">
        <v>12.0</v>
      </c>
      <c r="K14" s="44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12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2.49</v>
      </c>
      <c r="D15" s="47">
        <f t="shared" si="3"/>
        <v>2.8</v>
      </c>
      <c r="E15" s="47">
        <f t="shared" si="3"/>
        <v>1.4</v>
      </c>
      <c r="F15" s="47">
        <f t="shared" si="3"/>
        <v>0</v>
      </c>
      <c r="G15" s="47">
        <f t="shared" si="3"/>
        <v>0</v>
      </c>
      <c r="H15" s="47">
        <f t="shared" si="3"/>
        <v>1.4</v>
      </c>
      <c r="I15" s="47">
        <f t="shared" si="3"/>
        <v>6.89</v>
      </c>
      <c r="J15" s="47">
        <f t="shared" si="3"/>
        <v>13.3</v>
      </c>
      <c r="K15" s="47">
        <f t="shared" si="3"/>
        <v>1.5</v>
      </c>
      <c r="L15" s="47">
        <f t="shared" si="3"/>
        <v>121.4</v>
      </c>
      <c r="M15" s="47">
        <f t="shared" si="3"/>
        <v>30.14</v>
      </c>
      <c r="N15" s="47">
        <f t="shared" si="3"/>
        <v>0</v>
      </c>
      <c r="O15" s="47">
        <f t="shared" si="3"/>
        <v>33</v>
      </c>
      <c r="P15" s="47">
        <f t="shared" si="3"/>
        <v>1.5</v>
      </c>
      <c r="Q15" s="47">
        <f t="shared" si="3"/>
        <v>12.99</v>
      </c>
      <c r="R15" s="47">
        <f t="shared" si="3"/>
        <v>3.9</v>
      </c>
      <c r="S15" s="47">
        <f t="shared" si="3"/>
        <v>1.5</v>
      </c>
      <c r="T15" s="47">
        <f t="shared" si="3"/>
        <v>0</v>
      </c>
      <c r="U15" s="47">
        <f t="shared" si="3"/>
        <v>0</v>
      </c>
      <c r="V15" s="47">
        <f t="shared" si="3"/>
        <v>14.35</v>
      </c>
      <c r="W15" s="47">
        <f t="shared" si="3"/>
        <v>1.5</v>
      </c>
      <c r="X15" s="47">
        <f t="shared" si="3"/>
        <v>6.71</v>
      </c>
      <c r="Y15" s="47">
        <f t="shared" si="3"/>
        <v>1.4</v>
      </c>
      <c r="Z15" s="47">
        <f t="shared" si="3"/>
        <v>23.29</v>
      </c>
      <c r="AA15" s="47">
        <f t="shared" si="3"/>
        <v>14</v>
      </c>
      <c r="AB15" s="47">
        <f t="shared" si="3"/>
        <v>30</v>
      </c>
      <c r="AC15" s="47">
        <f t="shared" si="3"/>
        <v>0</v>
      </c>
      <c r="AD15" s="47">
        <f t="shared" si="3"/>
        <v>0</v>
      </c>
      <c r="AE15" s="47">
        <f t="shared" si="3"/>
        <v>0</v>
      </c>
      <c r="AF15" s="47">
        <f t="shared" si="3"/>
        <v>0</v>
      </c>
      <c r="AG15" s="47">
        <f t="shared" si="3"/>
        <v>0</v>
      </c>
      <c r="AH15" s="47">
        <f t="shared" si="2"/>
        <v>325.46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Anual!K18</f>
        <v>3028.42</v>
      </c>
      <c r="C20" s="40">
        <f t="shared" ref="C20:AH20" si="4">C5-C15+B20</f>
        <v>3025.93</v>
      </c>
      <c r="D20" s="40">
        <f t="shared" si="4"/>
        <v>3023.13</v>
      </c>
      <c r="E20" s="40">
        <f t="shared" si="4"/>
        <v>3121.73</v>
      </c>
      <c r="F20" s="40">
        <f t="shared" si="4"/>
        <v>3121.73</v>
      </c>
      <c r="G20" s="40">
        <f t="shared" si="4"/>
        <v>3171.73</v>
      </c>
      <c r="H20" s="40">
        <f t="shared" si="4"/>
        <v>3170.33</v>
      </c>
      <c r="I20" s="40">
        <f t="shared" si="4"/>
        <v>3163.44</v>
      </c>
      <c r="J20" s="40">
        <f t="shared" si="4"/>
        <v>3200.14</v>
      </c>
      <c r="K20" s="40">
        <f t="shared" si="4"/>
        <v>3198.64</v>
      </c>
      <c r="L20" s="40">
        <f t="shared" si="4"/>
        <v>3077.24</v>
      </c>
      <c r="M20" s="40">
        <f t="shared" si="4"/>
        <v>3047.1</v>
      </c>
      <c r="N20" s="40">
        <f t="shared" si="4"/>
        <v>3097.1</v>
      </c>
      <c r="O20" s="40">
        <f t="shared" si="4"/>
        <v>3064.1</v>
      </c>
      <c r="P20" s="40">
        <f t="shared" si="4"/>
        <v>3062.6</v>
      </c>
      <c r="Q20" s="40">
        <f t="shared" si="4"/>
        <v>3049.61</v>
      </c>
      <c r="R20" s="40">
        <f t="shared" si="4"/>
        <v>3045.71</v>
      </c>
      <c r="S20" s="40">
        <f t="shared" si="4"/>
        <v>3044.21</v>
      </c>
      <c r="T20" s="40">
        <f t="shared" si="4"/>
        <v>3044.21</v>
      </c>
      <c r="U20" s="40">
        <f t="shared" si="4"/>
        <v>3094.21</v>
      </c>
      <c r="V20" s="40">
        <f t="shared" si="4"/>
        <v>3079.86</v>
      </c>
      <c r="W20" s="40">
        <f t="shared" si="4"/>
        <v>3078.36</v>
      </c>
      <c r="X20" s="40">
        <f t="shared" si="4"/>
        <v>3080.65</v>
      </c>
      <c r="Y20" s="40">
        <f t="shared" si="4"/>
        <v>3079.25</v>
      </c>
      <c r="Z20" s="40">
        <f t="shared" si="4"/>
        <v>3058.96</v>
      </c>
      <c r="AA20" s="40">
        <f t="shared" si="4"/>
        <v>3044.96</v>
      </c>
      <c r="AB20" s="40">
        <f t="shared" si="4"/>
        <v>3064.96</v>
      </c>
      <c r="AC20" s="40">
        <f t="shared" si="4"/>
        <v>3064.96</v>
      </c>
      <c r="AD20" s="40">
        <f t="shared" si="4"/>
        <v>3064.96</v>
      </c>
      <c r="AE20" s="40">
        <f t="shared" si="4"/>
        <v>3064.96</v>
      </c>
      <c r="AF20" s="40">
        <f t="shared" si="4"/>
        <v>3064.96</v>
      </c>
      <c r="AG20" s="40">
        <f t="shared" si="4"/>
        <v>3064.96</v>
      </c>
      <c r="AH20" s="31">
        <f t="shared" si="4"/>
        <v>3101.5</v>
      </c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>
        <f>AC20-730</f>
        <v>2334.96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55" width="11.57"/>
  </cols>
  <sheetData>
    <row r="1" ht="12.75" customHeight="1">
      <c r="B1" s="30"/>
      <c r="AH1" s="30"/>
      <c r="AI1" s="31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</row>
    <row r="2" ht="12.75" customHeight="1">
      <c r="B2" s="30"/>
      <c r="AH2" s="30"/>
      <c r="AI2" s="31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</row>
    <row r="3" ht="12.75" customHeight="1">
      <c r="A3" s="32"/>
      <c r="B3" s="32">
        <v>0.0</v>
      </c>
      <c r="C3" s="32">
        <v>1.0</v>
      </c>
      <c r="D3" s="32">
        <v>2.0</v>
      </c>
      <c r="E3" s="32">
        <v>3.0</v>
      </c>
      <c r="F3" s="32">
        <v>4.0</v>
      </c>
      <c r="G3" s="32">
        <v>5.0</v>
      </c>
      <c r="H3" s="32">
        <v>6.0</v>
      </c>
      <c r="I3" s="32">
        <v>7.0</v>
      </c>
      <c r="J3" s="32">
        <v>8.0</v>
      </c>
      <c r="K3" s="32">
        <v>9.0</v>
      </c>
      <c r="L3" s="33">
        <v>10.0</v>
      </c>
      <c r="M3" s="32">
        <v>11.0</v>
      </c>
      <c r="N3" s="32">
        <v>12.0</v>
      </c>
      <c r="O3" s="32">
        <v>13.0</v>
      </c>
      <c r="P3" s="32">
        <v>14.0</v>
      </c>
      <c r="Q3" s="32">
        <v>15.0</v>
      </c>
      <c r="R3" s="32">
        <v>16.0</v>
      </c>
      <c r="S3" s="32">
        <v>17.0</v>
      </c>
      <c r="T3" s="32">
        <v>18.0</v>
      </c>
      <c r="U3" s="32">
        <v>19.0</v>
      </c>
      <c r="V3" s="32">
        <v>20.0</v>
      </c>
      <c r="W3" s="32">
        <v>21.0</v>
      </c>
      <c r="X3" s="32">
        <v>22.0</v>
      </c>
      <c r="Y3" s="32">
        <v>23.0</v>
      </c>
      <c r="Z3" s="32">
        <v>24.0</v>
      </c>
      <c r="AA3" s="32">
        <v>25.0</v>
      </c>
      <c r="AB3" s="32">
        <v>26.0</v>
      </c>
      <c r="AC3" s="32">
        <v>27.0</v>
      </c>
      <c r="AD3" s="32">
        <v>28.0</v>
      </c>
      <c r="AE3" s="33">
        <v>29.0</v>
      </c>
      <c r="AF3" s="33">
        <v>30.0</v>
      </c>
      <c r="AG3" s="33">
        <v>31.0</v>
      </c>
      <c r="AH3" s="30"/>
      <c r="AI3" s="31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</row>
    <row r="4" ht="12.75" customHeight="1">
      <c r="A4" s="34" t="s">
        <v>22</v>
      </c>
      <c r="B4" s="35" t="s">
        <v>13</v>
      </c>
      <c r="C4" s="36">
        <f>10+20+20</f>
        <v>50</v>
      </c>
      <c r="D4" s="35">
        <v>50.0</v>
      </c>
      <c r="E4" s="35"/>
      <c r="F4" s="35">
        <v>120.0</v>
      </c>
      <c r="G4" s="37"/>
      <c r="H4" s="37"/>
      <c r="I4" s="35">
        <v>60.0</v>
      </c>
      <c r="J4" s="37"/>
      <c r="K4" s="37"/>
      <c r="L4" s="35">
        <v>50.0</v>
      </c>
      <c r="M4" s="35">
        <v>11.0</v>
      </c>
      <c r="N4" s="35"/>
      <c r="O4" s="37"/>
      <c r="P4" s="35"/>
      <c r="Q4" s="35">
        <v>1.5</v>
      </c>
      <c r="R4" s="37"/>
      <c r="S4" s="35">
        <v>50.0</v>
      </c>
      <c r="T4" s="37"/>
      <c r="U4" s="35">
        <v>8.0</v>
      </c>
      <c r="V4" s="37"/>
      <c r="W4" s="37"/>
      <c r="X4" s="35"/>
      <c r="Y4" s="37">
        <f>3+3+3.2</f>
        <v>9.2</v>
      </c>
      <c r="Z4" s="35">
        <f>6+200</f>
        <v>206</v>
      </c>
      <c r="AA4" s="37"/>
      <c r="AB4" s="35">
        <f>6+25</f>
        <v>31</v>
      </c>
      <c r="AC4" s="35">
        <f>6.5+3.5+2.4+50</f>
        <v>62.4</v>
      </c>
      <c r="AD4" s="35">
        <v>20.0</v>
      </c>
      <c r="AE4" s="37"/>
      <c r="AF4" s="35">
        <f>20+50</f>
        <v>70</v>
      </c>
      <c r="AG4" s="37"/>
      <c r="AH4" s="38">
        <f>SUM(C4:AD4)</f>
        <v>729.1</v>
      </c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</row>
    <row r="5" ht="12.75" customHeight="1">
      <c r="A5" s="38" t="s">
        <v>14</v>
      </c>
      <c r="B5" s="39"/>
      <c r="C5" s="38">
        <f t="shared" ref="C5:AH5" si="1">C4</f>
        <v>50</v>
      </c>
      <c r="D5" s="38">
        <f t="shared" si="1"/>
        <v>50</v>
      </c>
      <c r="E5" s="38" t="str">
        <f t="shared" si="1"/>
        <v/>
      </c>
      <c r="F5" s="38">
        <f t="shared" si="1"/>
        <v>120</v>
      </c>
      <c r="G5" s="38" t="str">
        <f t="shared" si="1"/>
        <v/>
      </c>
      <c r="H5" s="38" t="str">
        <f t="shared" si="1"/>
        <v/>
      </c>
      <c r="I5" s="38">
        <f t="shared" si="1"/>
        <v>60</v>
      </c>
      <c r="J5" s="38" t="str">
        <f t="shared" si="1"/>
        <v/>
      </c>
      <c r="K5" s="38" t="str">
        <f t="shared" si="1"/>
        <v/>
      </c>
      <c r="L5" s="38">
        <f t="shared" si="1"/>
        <v>50</v>
      </c>
      <c r="M5" s="38">
        <f t="shared" si="1"/>
        <v>11</v>
      </c>
      <c r="N5" s="38" t="str">
        <f t="shared" si="1"/>
        <v/>
      </c>
      <c r="O5" s="38" t="str">
        <f t="shared" si="1"/>
        <v/>
      </c>
      <c r="P5" s="38" t="str">
        <f t="shared" si="1"/>
        <v/>
      </c>
      <c r="Q5" s="38">
        <f t="shared" si="1"/>
        <v>1.5</v>
      </c>
      <c r="R5" s="38" t="str">
        <f t="shared" si="1"/>
        <v/>
      </c>
      <c r="S5" s="38">
        <f t="shared" si="1"/>
        <v>50</v>
      </c>
      <c r="T5" s="38" t="str">
        <f t="shared" si="1"/>
        <v/>
      </c>
      <c r="U5" s="38">
        <f t="shared" si="1"/>
        <v>8</v>
      </c>
      <c r="V5" s="38" t="str">
        <f t="shared" si="1"/>
        <v/>
      </c>
      <c r="W5" s="38" t="str">
        <f t="shared" si="1"/>
        <v/>
      </c>
      <c r="X5" s="38" t="str">
        <f t="shared" si="1"/>
        <v/>
      </c>
      <c r="Y5" s="38">
        <f t="shared" si="1"/>
        <v>9.2</v>
      </c>
      <c r="Z5" s="38">
        <f t="shared" si="1"/>
        <v>206</v>
      </c>
      <c r="AA5" s="38" t="str">
        <f t="shared" si="1"/>
        <v/>
      </c>
      <c r="AB5" s="38">
        <f t="shared" si="1"/>
        <v>31</v>
      </c>
      <c r="AC5" s="38">
        <f t="shared" si="1"/>
        <v>62.4</v>
      </c>
      <c r="AD5" s="38">
        <f t="shared" si="1"/>
        <v>20</v>
      </c>
      <c r="AE5" s="38" t="str">
        <f t="shared" si="1"/>
        <v/>
      </c>
      <c r="AF5" s="38">
        <f t="shared" si="1"/>
        <v>70</v>
      </c>
      <c r="AG5" s="38" t="str">
        <f t="shared" si="1"/>
        <v/>
      </c>
      <c r="AH5" s="38">
        <f t="shared" si="1"/>
        <v>729.1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ht="12.75" customHeight="1">
      <c r="A6" s="40"/>
      <c r="B6" s="41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ht="12.75" customHeight="1">
      <c r="A7" s="42" t="s">
        <v>23</v>
      </c>
      <c r="B7" s="43" t="s">
        <v>15</v>
      </c>
      <c r="C7" s="43"/>
      <c r="D7" s="43"/>
      <c r="E7" s="43"/>
      <c r="F7" s="43"/>
      <c r="G7" s="43">
        <f>4.35+3.9</f>
        <v>8.25</v>
      </c>
      <c r="H7" s="44">
        <v>5.69</v>
      </c>
      <c r="I7" s="44">
        <v>8.25</v>
      </c>
      <c r="J7" s="43"/>
      <c r="K7" s="43"/>
      <c r="L7" s="43"/>
      <c r="M7" s="44">
        <v>6.85</v>
      </c>
      <c r="N7" s="44"/>
      <c r="O7" s="43">
        <f>1.4+1.4</f>
        <v>2.8</v>
      </c>
      <c r="P7" s="44">
        <v>1.7</v>
      </c>
      <c r="Q7" s="44">
        <f>4.35</f>
        <v>4.35</v>
      </c>
      <c r="R7" s="44"/>
      <c r="S7" s="44"/>
      <c r="T7" s="44"/>
      <c r="U7" s="44">
        <f>1.4+10</f>
        <v>11.4</v>
      </c>
      <c r="V7" s="43"/>
      <c r="W7" s="45"/>
      <c r="X7" s="46"/>
      <c r="Y7" s="44"/>
      <c r="Z7" s="44"/>
      <c r="AA7" s="43"/>
      <c r="AB7" s="43"/>
      <c r="AC7" s="43"/>
      <c r="AD7" s="44">
        <v>20.0</v>
      </c>
      <c r="AE7" s="43"/>
      <c r="AF7" s="43"/>
      <c r="AG7" s="43"/>
      <c r="AH7" s="47">
        <f t="shared" ref="AH7:AH15" si="2">SUM(C7:AG7)</f>
        <v>69.29</v>
      </c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ht="12.75" customHeight="1">
      <c r="A8" s="48"/>
      <c r="B8" s="43" t="s">
        <v>25</v>
      </c>
      <c r="C8" s="43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3"/>
      <c r="V8" s="44"/>
      <c r="W8" s="43"/>
      <c r="X8" s="43"/>
      <c r="Y8" s="43"/>
      <c r="Z8" s="43"/>
      <c r="AA8" s="44"/>
      <c r="AB8" s="43"/>
      <c r="AC8" s="44"/>
      <c r="AD8" s="43"/>
      <c r="AE8" s="43"/>
      <c r="AF8" s="43"/>
      <c r="AG8" s="43"/>
      <c r="AH8" s="47">
        <f t="shared" si="2"/>
        <v>0</v>
      </c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ht="12.75" customHeight="1">
      <c r="A9" s="48"/>
      <c r="B9" s="43" t="s">
        <v>16</v>
      </c>
      <c r="C9" s="49"/>
      <c r="D9" s="43"/>
      <c r="E9" s="43"/>
      <c r="F9" s="43"/>
      <c r="G9" s="44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4"/>
      <c r="AB9" s="43"/>
      <c r="AC9" s="43"/>
      <c r="AD9" s="43"/>
      <c r="AE9" s="43"/>
      <c r="AF9" s="43"/>
      <c r="AG9" s="43"/>
      <c r="AH9" s="47">
        <f t="shared" si="2"/>
        <v>0</v>
      </c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ht="12.75" customHeight="1">
      <c r="A10" s="48"/>
      <c r="B10" s="44" t="s">
        <v>17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4"/>
      <c r="N10" s="44">
        <v>3.62</v>
      </c>
      <c r="O10" s="44">
        <v>20.0</v>
      </c>
      <c r="P10" s="43"/>
      <c r="Q10" s="43"/>
      <c r="R10" s="43"/>
      <c r="S10" s="43"/>
      <c r="T10" s="43"/>
      <c r="U10" s="43">
        <f>8+8+2.3+2.3+7</f>
        <v>27.6</v>
      </c>
      <c r="V10" s="43"/>
      <c r="W10" s="44"/>
      <c r="X10" s="44">
        <v>5.5</v>
      </c>
      <c r="Y10" s="44"/>
      <c r="Z10" s="43"/>
      <c r="AA10" s="44"/>
      <c r="AB10" s="44"/>
      <c r="AC10" s="43">
        <f>15.4+4.8+3</f>
        <v>23.2</v>
      </c>
      <c r="AD10" s="43"/>
      <c r="AE10" s="44">
        <v>7.15</v>
      </c>
      <c r="AF10" s="43"/>
      <c r="AG10" s="43"/>
      <c r="AH10" s="47">
        <f t="shared" si="2"/>
        <v>87.07</v>
      </c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ht="12.75" customHeight="1">
      <c r="A11" s="48"/>
      <c r="B11" s="44" t="s">
        <v>18</v>
      </c>
      <c r="C11" s="43"/>
      <c r="D11" s="44">
        <v>2.49</v>
      </c>
      <c r="E11" s="43"/>
      <c r="F11" s="43"/>
      <c r="G11" s="43"/>
      <c r="H11" s="43"/>
      <c r="I11" s="43"/>
      <c r="J11" s="43"/>
      <c r="K11" s="43"/>
      <c r="L11" s="43"/>
      <c r="M11" s="43"/>
      <c r="N11" s="44"/>
      <c r="O11" s="44">
        <v>2.99</v>
      </c>
      <c r="P11" s="44">
        <f>12.99+1.8</f>
        <v>14.79</v>
      </c>
      <c r="Q11" s="43"/>
      <c r="R11" s="43"/>
      <c r="S11" s="43"/>
      <c r="T11" s="43"/>
      <c r="U11" s="43"/>
      <c r="V11" s="44">
        <v>14.44</v>
      </c>
      <c r="W11" s="43"/>
      <c r="X11" s="43"/>
      <c r="Y11" s="43"/>
      <c r="Z11" s="43"/>
      <c r="AA11" s="44"/>
      <c r="AB11" s="43"/>
      <c r="AC11" s="44">
        <v>17.99</v>
      </c>
      <c r="AD11" s="44">
        <v>7.15</v>
      </c>
      <c r="AE11" s="44"/>
      <c r="AF11" s="44">
        <v>49.49</v>
      </c>
      <c r="AG11" s="43"/>
      <c r="AH11" s="47">
        <f t="shared" si="2"/>
        <v>109.34</v>
      </c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ht="12.75" customHeight="1">
      <c r="A12" s="48"/>
      <c r="B12" s="44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  <c r="Z12" s="43"/>
      <c r="AA12" s="44"/>
      <c r="AB12" s="43"/>
      <c r="AC12" s="43"/>
      <c r="AD12" s="43"/>
      <c r="AE12" s="43"/>
      <c r="AF12" s="43"/>
      <c r="AG12" s="43"/>
      <c r="AH12" s="47">
        <f t="shared" si="2"/>
        <v>0</v>
      </c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ht="12.75" customHeight="1">
      <c r="A13" s="48"/>
      <c r="B13" s="44" t="s">
        <v>27</v>
      </c>
      <c r="C13" s="44">
        <v>1.95</v>
      </c>
      <c r="D13" s="43"/>
      <c r="E13" s="43"/>
      <c r="F13" s="43"/>
      <c r="G13" s="43"/>
      <c r="H13" s="43"/>
      <c r="I13" s="43"/>
      <c r="J13" s="43"/>
      <c r="K13" s="43"/>
      <c r="L13" s="43"/>
      <c r="M13" s="44">
        <v>30.0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>
        <f>500+500</f>
        <v>1000</v>
      </c>
      <c r="Z13" s="44">
        <v>500.0</v>
      </c>
      <c r="AA13" s="43"/>
      <c r="AB13" s="43"/>
      <c r="AC13" s="43"/>
      <c r="AD13" s="44">
        <f>337.46+92.95</f>
        <v>430.41</v>
      </c>
      <c r="AE13" s="44">
        <v>21.97</v>
      </c>
      <c r="AF13" s="44">
        <v>263.89</v>
      </c>
      <c r="AG13" s="43"/>
      <c r="AH13" s="47">
        <f t="shared" si="2"/>
        <v>2248.22</v>
      </c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ht="12.75" customHeight="1">
      <c r="A14" s="50"/>
      <c r="B14" s="43" t="s">
        <v>21</v>
      </c>
      <c r="C14" s="43"/>
      <c r="D14" s="43"/>
      <c r="E14" s="43"/>
      <c r="F14" s="43"/>
      <c r="G14" s="43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7">
        <f t="shared" si="2"/>
        <v>0</v>
      </c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ht="12.75" customHeight="1">
      <c r="A15" s="47" t="s">
        <v>14</v>
      </c>
      <c r="B15" s="51"/>
      <c r="C15" s="47">
        <f t="shared" ref="C15:AG15" si="3">C7+C8+C9+C10+C11+C12+C13+C14</f>
        <v>1.95</v>
      </c>
      <c r="D15" s="47">
        <f t="shared" si="3"/>
        <v>2.49</v>
      </c>
      <c r="E15" s="47">
        <f t="shared" si="3"/>
        <v>0</v>
      </c>
      <c r="F15" s="47">
        <f t="shared" si="3"/>
        <v>0</v>
      </c>
      <c r="G15" s="47">
        <f t="shared" si="3"/>
        <v>8.25</v>
      </c>
      <c r="H15" s="47">
        <f t="shared" si="3"/>
        <v>5.69</v>
      </c>
      <c r="I15" s="47">
        <f t="shared" si="3"/>
        <v>8.25</v>
      </c>
      <c r="J15" s="47">
        <f t="shared" si="3"/>
        <v>0</v>
      </c>
      <c r="K15" s="47">
        <f t="shared" si="3"/>
        <v>0</v>
      </c>
      <c r="L15" s="47">
        <f t="shared" si="3"/>
        <v>0</v>
      </c>
      <c r="M15" s="47">
        <f t="shared" si="3"/>
        <v>36.85</v>
      </c>
      <c r="N15" s="47">
        <f t="shared" si="3"/>
        <v>3.62</v>
      </c>
      <c r="O15" s="47">
        <f t="shared" si="3"/>
        <v>25.79</v>
      </c>
      <c r="P15" s="47">
        <f t="shared" si="3"/>
        <v>16.49</v>
      </c>
      <c r="Q15" s="47">
        <f t="shared" si="3"/>
        <v>4.35</v>
      </c>
      <c r="R15" s="47">
        <f t="shared" si="3"/>
        <v>0</v>
      </c>
      <c r="S15" s="47">
        <f t="shared" si="3"/>
        <v>0</v>
      </c>
      <c r="T15" s="47">
        <f t="shared" si="3"/>
        <v>0</v>
      </c>
      <c r="U15" s="47">
        <f t="shared" si="3"/>
        <v>39</v>
      </c>
      <c r="V15" s="47">
        <f t="shared" si="3"/>
        <v>14.44</v>
      </c>
      <c r="W15" s="47">
        <f t="shared" si="3"/>
        <v>0</v>
      </c>
      <c r="X15" s="47">
        <f t="shared" si="3"/>
        <v>5.5</v>
      </c>
      <c r="Y15" s="47">
        <f t="shared" si="3"/>
        <v>1000</v>
      </c>
      <c r="Z15" s="47">
        <f t="shared" si="3"/>
        <v>500</v>
      </c>
      <c r="AA15" s="47">
        <f t="shared" si="3"/>
        <v>0</v>
      </c>
      <c r="AB15" s="47">
        <f t="shared" si="3"/>
        <v>0</v>
      </c>
      <c r="AC15" s="47">
        <f t="shared" si="3"/>
        <v>41.19</v>
      </c>
      <c r="AD15" s="47">
        <f t="shared" si="3"/>
        <v>457.56</v>
      </c>
      <c r="AE15" s="47">
        <f t="shared" si="3"/>
        <v>29.12</v>
      </c>
      <c r="AF15" s="47">
        <f t="shared" si="3"/>
        <v>313.38</v>
      </c>
      <c r="AG15" s="47">
        <f t="shared" si="3"/>
        <v>0</v>
      </c>
      <c r="AH15" s="47">
        <f t="shared" si="2"/>
        <v>2513.92</v>
      </c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ht="12.75" customHeight="1">
      <c r="A16" s="31"/>
      <c r="B16" s="5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ht="12.75" customHeight="1">
      <c r="A17" s="31"/>
      <c r="B17" s="5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ht="12.75" customHeight="1">
      <c r="A18" s="31"/>
      <c r="B18" s="5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ht="12.75" customHeight="1">
      <c r="A19" s="31"/>
      <c r="B19" s="5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53" t="s">
        <v>14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ht="12.75" customHeight="1">
      <c r="A20" s="54" t="s">
        <v>12</v>
      </c>
      <c r="B20" s="55">
        <f>Anual!L18</f>
        <v>3064.96</v>
      </c>
      <c r="C20" s="40">
        <f t="shared" ref="C20:AG20" si="4">C5-C15+B20</f>
        <v>3113.01</v>
      </c>
      <c r="D20" s="40">
        <f t="shared" si="4"/>
        <v>3160.52</v>
      </c>
      <c r="E20" s="40">
        <f t="shared" si="4"/>
        <v>3160.52</v>
      </c>
      <c r="F20" s="40">
        <f t="shared" si="4"/>
        <v>3280.52</v>
      </c>
      <c r="G20" s="40">
        <f t="shared" si="4"/>
        <v>3272.27</v>
      </c>
      <c r="H20" s="40">
        <f t="shared" si="4"/>
        <v>3266.58</v>
      </c>
      <c r="I20" s="40">
        <f t="shared" si="4"/>
        <v>3318.33</v>
      </c>
      <c r="J20" s="40">
        <f t="shared" si="4"/>
        <v>3318.33</v>
      </c>
      <c r="K20" s="40">
        <f t="shared" si="4"/>
        <v>3318.33</v>
      </c>
      <c r="L20" s="40">
        <f t="shared" si="4"/>
        <v>3368.33</v>
      </c>
      <c r="M20" s="40">
        <f t="shared" si="4"/>
        <v>3342.48</v>
      </c>
      <c r="N20" s="40">
        <f t="shared" si="4"/>
        <v>3338.86</v>
      </c>
      <c r="O20" s="40">
        <f t="shared" si="4"/>
        <v>3313.07</v>
      </c>
      <c r="P20" s="40">
        <f t="shared" si="4"/>
        <v>3296.58</v>
      </c>
      <c r="Q20" s="40">
        <f t="shared" si="4"/>
        <v>3293.73</v>
      </c>
      <c r="R20" s="40">
        <f t="shared" si="4"/>
        <v>3293.73</v>
      </c>
      <c r="S20" s="40">
        <f t="shared" si="4"/>
        <v>3343.73</v>
      </c>
      <c r="T20" s="40">
        <f t="shared" si="4"/>
        <v>3343.73</v>
      </c>
      <c r="U20" s="40">
        <f t="shared" si="4"/>
        <v>3312.73</v>
      </c>
      <c r="V20" s="40">
        <f t="shared" si="4"/>
        <v>3298.29</v>
      </c>
      <c r="W20" s="40">
        <f t="shared" si="4"/>
        <v>3298.29</v>
      </c>
      <c r="X20" s="40">
        <f t="shared" si="4"/>
        <v>3292.79</v>
      </c>
      <c r="Y20" s="40">
        <f t="shared" si="4"/>
        <v>2301.99</v>
      </c>
      <c r="Z20" s="40">
        <f t="shared" si="4"/>
        <v>2007.99</v>
      </c>
      <c r="AA20" s="40">
        <f t="shared" si="4"/>
        <v>2007.99</v>
      </c>
      <c r="AB20" s="40">
        <f t="shared" si="4"/>
        <v>2038.99</v>
      </c>
      <c r="AC20" s="40">
        <f t="shared" si="4"/>
        <v>2060.2</v>
      </c>
      <c r="AD20" s="40">
        <f t="shared" si="4"/>
        <v>1622.64</v>
      </c>
      <c r="AE20" s="40">
        <f t="shared" si="4"/>
        <v>1593.52</v>
      </c>
      <c r="AF20" s="40">
        <f t="shared" si="4"/>
        <v>1350.14</v>
      </c>
      <c r="AG20" s="40">
        <f t="shared" si="4"/>
        <v>1350.14</v>
      </c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ht="12.75" customHeight="1">
      <c r="A21" s="31"/>
      <c r="B21" s="5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ht="12.75" customHeight="1">
      <c r="A22" s="31"/>
      <c r="B22" s="5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ht="12.75" customHeight="1">
      <c r="A23" s="31"/>
      <c r="B23" s="5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ht="12.75" customHeight="1">
      <c r="A24" s="31"/>
      <c r="B24" s="5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ht="12.75" customHeight="1">
      <c r="A25" s="31"/>
      <c r="B25" s="5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ht="12.75" customHeight="1">
      <c r="A26" s="31"/>
      <c r="B26" s="52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A27" s="31"/>
      <c r="B27" s="5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A28" s="31"/>
      <c r="B28" s="5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>
        <f>9.5*0.4</f>
        <v>3.8</v>
      </c>
      <c r="O28" s="31">
        <f>9*0.6</f>
        <v>5.4</v>
      </c>
      <c r="P28" s="31">
        <f>N28+O28</f>
        <v>9.2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A29" s="31"/>
      <c r="B29" s="5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A30" s="31"/>
      <c r="B30" s="52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A31" s="31"/>
      <c r="B31" s="5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A32" s="31"/>
      <c r="B32" s="52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A33" s="31"/>
      <c r="B33" s="5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A34" s="31"/>
      <c r="B34" s="5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A35" s="31"/>
      <c r="B35" s="5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A36" s="31"/>
      <c r="B36" s="5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A37" s="31"/>
      <c r="B37" s="5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A38" s="31"/>
      <c r="B38" s="5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A39" s="31"/>
      <c r="B39" s="5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A40" s="31"/>
      <c r="B40" s="5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A41" s="31"/>
      <c r="B41" s="5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A42" s="31"/>
      <c r="B42" s="52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A43" s="31"/>
      <c r="B43" s="5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A44" s="31"/>
      <c r="B44" s="52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A45" s="31"/>
      <c r="B45" s="5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A46" s="31"/>
      <c r="B46" s="5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A47" s="31"/>
      <c r="B47" s="5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A48" s="31"/>
      <c r="B48" s="52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A49" s="31"/>
      <c r="B49" s="5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A50" s="31"/>
      <c r="B50" s="5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A51" s="31"/>
      <c r="B51" s="5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A52" s="31"/>
      <c r="B52" s="52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A53" s="31"/>
      <c r="B53" s="5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A54" s="31"/>
      <c r="B54" s="52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A55" s="31"/>
      <c r="B55" s="5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A56" s="31"/>
      <c r="B56" s="52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A57" s="31"/>
      <c r="B57" s="5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A58" s="31"/>
      <c r="B58" s="52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A59" s="31"/>
      <c r="B59" s="5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A60" s="31"/>
      <c r="B60" s="5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A61" s="31"/>
      <c r="B61" s="5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A62" s="31"/>
      <c r="B62" s="52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A63" s="31"/>
      <c r="B63" s="5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A64" s="31"/>
      <c r="B64" s="52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A65" s="31"/>
      <c r="B65" s="5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A66" s="31"/>
      <c r="B66" s="52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A67" s="31"/>
      <c r="B67" s="5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A68" s="31"/>
      <c r="B68" s="52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A69" s="31"/>
      <c r="B69" s="5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A70" s="31"/>
      <c r="B70" s="52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A71" s="31"/>
      <c r="B71" s="5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A72" s="31"/>
      <c r="B72" s="52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A73" s="31"/>
      <c r="B73" s="5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A74" s="31"/>
      <c r="B74" s="52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A75" s="31"/>
      <c r="B75" s="5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A76" s="31"/>
      <c r="B76" s="5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A77" s="31"/>
      <c r="B77" s="5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A78" s="31"/>
      <c r="B78" s="52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A79" s="31"/>
      <c r="B79" s="5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A80" s="31"/>
      <c r="B80" s="5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A81" s="31"/>
      <c r="B81" s="5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A82" s="31"/>
      <c r="B82" s="5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A83" s="31"/>
      <c r="B83" s="5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A84" s="31"/>
      <c r="B84" s="5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A85" s="31"/>
      <c r="B85" s="5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A86" s="31"/>
      <c r="B86" s="5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A87" s="31"/>
      <c r="B87" s="5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A88" s="31"/>
      <c r="B88" s="5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A89" s="31"/>
      <c r="B89" s="5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A90" s="31"/>
      <c r="B90" s="5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A91" s="31"/>
      <c r="B91" s="5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A92" s="31"/>
      <c r="B92" s="5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A93" s="31"/>
      <c r="B93" s="5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A94" s="31"/>
      <c r="B94" s="5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A95" s="31"/>
      <c r="B95" s="5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A96" s="31"/>
      <c r="B96" s="5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A97" s="31"/>
      <c r="B97" s="5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A98" s="31"/>
      <c r="B98" s="5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A99" s="31"/>
      <c r="B99" s="5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A100" s="31"/>
      <c r="B100" s="5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A101" s="31"/>
      <c r="B101" s="5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A102" s="31"/>
      <c r="B102" s="5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A103" s="31"/>
      <c r="B103" s="5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A104" s="31"/>
      <c r="B104" s="5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A105" s="31"/>
      <c r="B105" s="5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A106" s="31"/>
      <c r="B106" s="5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A107" s="31"/>
      <c r="B107" s="5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A108" s="31"/>
      <c r="B108" s="5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A109" s="31"/>
      <c r="B109" s="5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A110" s="31"/>
      <c r="B110" s="5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A111" s="31"/>
      <c r="B111" s="5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A112" s="31"/>
      <c r="B112" s="5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A113" s="31"/>
      <c r="B113" s="5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A114" s="31"/>
      <c r="B114" s="5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A115" s="31"/>
      <c r="B115" s="5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A116" s="31"/>
      <c r="B116" s="5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A117" s="31"/>
      <c r="B117" s="5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A118" s="31"/>
      <c r="B118" s="5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A119" s="31"/>
      <c r="B119" s="5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A120" s="31"/>
      <c r="B120" s="5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A121" s="31"/>
      <c r="B121" s="5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A122" s="31"/>
      <c r="B122" s="5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A123" s="31"/>
      <c r="B123" s="5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A124" s="31"/>
      <c r="B124" s="5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A125" s="31"/>
      <c r="B125" s="5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A126" s="31"/>
      <c r="B126" s="5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A127" s="31"/>
      <c r="B127" s="5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A128" s="31"/>
      <c r="B128" s="5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A129" s="31"/>
      <c r="B129" s="5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A130" s="31"/>
      <c r="B130" s="5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A131" s="31"/>
      <c r="B131" s="5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A132" s="31"/>
      <c r="B132" s="5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A133" s="31"/>
      <c r="B133" s="5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A134" s="31"/>
      <c r="B134" s="5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A135" s="31"/>
      <c r="B135" s="5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A136" s="31"/>
      <c r="B136" s="5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A137" s="31"/>
      <c r="B137" s="5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A138" s="31"/>
      <c r="B138" s="5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A139" s="31"/>
      <c r="B139" s="5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A140" s="31"/>
      <c r="B140" s="5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A141" s="31"/>
      <c r="B141" s="5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A142" s="31"/>
      <c r="B142" s="5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A143" s="31"/>
      <c r="B143" s="5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A144" s="31"/>
      <c r="B144" s="5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A145" s="31"/>
      <c r="B145" s="5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A146" s="31"/>
      <c r="B146" s="5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A147" s="31"/>
      <c r="B147" s="5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A148" s="31"/>
      <c r="B148" s="5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A149" s="31"/>
      <c r="B149" s="5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A150" s="31"/>
      <c r="B150" s="5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A151" s="31"/>
      <c r="B151" s="5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A152" s="31"/>
      <c r="B152" s="5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A153" s="31"/>
      <c r="B153" s="5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A154" s="31"/>
      <c r="B154" s="5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A155" s="31"/>
      <c r="B155" s="5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A156" s="31"/>
      <c r="B156" s="5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A157" s="31"/>
      <c r="B157" s="5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A158" s="31"/>
      <c r="B158" s="5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A159" s="31"/>
      <c r="B159" s="5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A160" s="31"/>
      <c r="B160" s="5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A161" s="31"/>
      <c r="B161" s="5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A162" s="31"/>
      <c r="B162" s="5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A163" s="31"/>
      <c r="B163" s="5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A164" s="31"/>
      <c r="B164" s="5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A165" s="31"/>
      <c r="B165" s="5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A166" s="31"/>
      <c r="B166" s="5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A167" s="31"/>
      <c r="B167" s="5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A168" s="31"/>
      <c r="B168" s="5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A169" s="31"/>
      <c r="B169" s="5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A170" s="31"/>
      <c r="B170" s="5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A171" s="31"/>
      <c r="B171" s="5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A172" s="31"/>
      <c r="B172" s="5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A173" s="31"/>
      <c r="B173" s="5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A174" s="31"/>
      <c r="B174" s="5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A175" s="31"/>
      <c r="B175" s="5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A176" s="31"/>
      <c r="B176" s="5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A177" s="31"/>
      <c r="B177" s="5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A178" s="31"/>
      <c r="B178" s="5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A179" s="31"/>
      <c r="B179" s="5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A180" s="31"/>
      <c r="B180" s="5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A181" s="31"/>
      <c r="B181" s="5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A182" s="31"/>
      <c r="B182" s="5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A183" s="31"/>
      <c r="B183" s="5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A184" s="31"/>
      <c r="B184" s="5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A185" s="31"/>
      <c r="B185" s="5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A186" s="31"/>
      <c r="B186" s="5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A187" s="31"/>
      <c r="B187" s="5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A188" s="31"/>
      <c r="B188" s="5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A189" s="31"/>
      <c r="B189" s="5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A190" s="31"/>
      <c r="B190" s="5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A191" s="31"/>
      <c r="B191" s="5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A192" s="31"/>
      <c r="B192" s="5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A193" s="31"/>
      <c r="B193" s="5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A194" s="31"/>
      <c r="B194" s="5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A195" s="31"/>
      <c r="B195" s="5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A196" s="31"/>
      <c r="B196" s="5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A197" s="31"/>
      <c r="B197" s="5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A198" s="31"/>
      <c r="B198" s="5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A199" s="31"/>
      <c r="B199" s="5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A200" s="31"/>
      <c r="B200" s="5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A201" s="31"/>
      <c r="B201" s="5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A202" s="31"/>
      <c r="B202" s="5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A203" s="31"/>
      <c r="B203" s="5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A204" s="31"/>
      <c r="B204" s="5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A205" s="31"/>
      <c r="B205" s="5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A206" s="31"/>
      <c r="B206" s="5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A207" s="31"/>
      <c r="B207" s="5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A208" s="31"/>
      <c r="B208" s="5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A209" s="31"/>
      <c r="B209" s="5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A210" s="31"/>
      <c r="B210" s="5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A211" s="31"/>
      <c r="B211" s="5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A212" s="31"/>
      <c r="B212" s="5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A213" s="31"/>
      <c r="B213" s="5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A214" s="31"/>
      <c r="B214" s="5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A215" s="31"/>
      <c r="B215" s="5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A216" s="31"/>
      <c r="B216" s="5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A217" s="31"/>
      <c r="B217" s="5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A218" s="31"/>
      <c r="B218" s="5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A219" s="31"/>
      <c r="B219" s="5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A220" s="31"/>
      <c r="B220" s="5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A221" s="31"/>
      <c r="B221" s="5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A222" s="31"/>
      <c r="B222" s="5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A223" s="31"/>
      <c r="B223" s="5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A224" s="31"/>
      <c r="B224" s="5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A225" s="31"/>
      <c r="B225" s="5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A226" s="31"/>
      <c r="B226" s="5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A227" s="31"/>
      <c r="B227" s="5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A228" s="31"/>
      <c r="B228" s="5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A229" s="31"/>
      <c r="B229" s="5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A230" s="31"/>
      <c r="B230" s="5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A231" s="31"/>
      <c r="B231" s="5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A232" s="31"/>
      <c r="B232" s="5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A233" s="31"/>
      <c r="B233" s="5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A234" s="31"/>
      <c r="B234" s="5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A235" s="31"/>
      <c r="B235" s="5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A236" s="31"/>
      <c r="B236" s="5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A237" s="31"/>
      <c r="B237" s="5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A238" s="31"/>
      <c r="B238" s="5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A239" s="31"/>
      <c r="B239" s="5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A240" s="31"/>
      <c r="B240" s="5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A241" s="31"/>
      <c r="B241" s="5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A242" s="31"/>
      <c r="B242" s="5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A243" s="31"/>
      <c r="B243" s="5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A244" s="31"/>
      <c r="B244" s="5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A245" s="31"/>
      <c r="B245" s="5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A246" s="31"/>
      <c r="B246" s="5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A247" s="31"/>
      <c r="B247" s="5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A248" s="31"/>
      <c r="B248" s="5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A249" s="31"/>
      <c r="B249" s="5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A250" s="31"/>
      <c r="B250" s="5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A251" s="31"/>
      <c r="B251" s="5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A252" s="31"/>
      <c r="B252" s="5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A253" s="31"/>
      <c r="B253" s="5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A254" s="31"/>
      <c r="B254" s="5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A255" s="31"/>
      <c r="B255" s="5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A256" s="31"/>
      <c r="B256" s="5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A257" s="31"/>
      <c r="B257" s="5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A258" s="31"/>
      <c r="B258" s="5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A259" s="31"/>
      <c r="B259" s="5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A260" s="31"/>
      <c r="B260" s="5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A261" s="31"/>
      <c r="B261" s="5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A262" s="31"/>
      <c r="B262" s="5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A263" s="31"/>
      <c r="B263" s="5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A264" s="31"/>
      <c r="B264" s="5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A265" s="31"/>
      <c r="B265" s="5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A266" s="31"/>
      <c r="B266" s="5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A267" s="31"/>
      <c r="B267" s="5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A268" s="31"/>
      <c r="B268" s="5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A269" s="31"/>
      <c r="B269" s="5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A270" s="31"/>
      <c r="B270" s="5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A271" s="31"/>
      <c r="B271" s="5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A272" s="31"/>
      <c r="B272" s="5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A273" s="31"/>
      <c r="B273" s="5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A274" s="31"/>
      <c r="B274" s="5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A275" s="31"/>
      <c r="B275" s="5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A276" s="31"/>
      <c r="B276" s="5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A277" s="31"/>
      <c r="B277" s="5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A278" s="31"/>
      <c r="B278" s="5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A279" s="31"/>
      <c r="B279" s="5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A280" s="31"/>
      <c r="B280" s="5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A281" s="31"/>
      <c r="B281" s="5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A282" s="31"/>
      <c r="B282" s="5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A283" s="31"/>
      <c r="B283" s="5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A284" s="31"/>
      <c r="B284" s="5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A285" s="31"/>
      <c r="B285" s="5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A286" s="31"/>
      <c r="B286" s="5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A287" s="31"/>
      <c r="B287" s="5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A288" s="31"/>
      <c r="B288" s="5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A289" s="31"/>
      <c r="B289" s="5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A290" s="31"/>
      <c r="B290" s="5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A291" s="31"/>
      <c r="B291" s="5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A292" s="31"/>
      <c r="B292" s="5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A293" s="31"/>
      <c r="B293" s="5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A294" s="31"/>
      <c r="B294" s="5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A295" s="31"/>
      <c r="B295" s="5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A296" s="31"/>
      <c r="B296" s="5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A297" s="31"/>
      <c r="B297" s="5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A298" s="31"/>
      <c r="B298" s="5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A299" s="31"/>
      <c r="B299" s="5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A300" s="31"/>
      <c r="B300" s="5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A301" s="31"/>
      <c r="B301" s="5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A302" s="31"/>
      <c r="B302" s="5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A303" s="31"/>
      <c r="B303" s="5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A304" s="31"/>
      <c r="B304" s="5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A305" s="31"/>
      <c r="B305" s="5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A306" s="31"/>
      <c r="B306" s="5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A307" s="31"/>
      <c r="B307" s="5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A308" s="31"/>
      <c r="B308" s="5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A309" s="31"/>
      <c r="B309" s="5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A310" s="31"/>
      <c r="B310" s="5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A311" s="31"/>
      <c r="B311" s="5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A312" s="31"/>
      <c r="B312" s="5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A313" s="31"/>
      <c r="B313" s="5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A314" s="31"/>
      <c r="B314" s="5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A315" s="31"/>
      <c r="B315" s="5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A316" s="31"/>
      <c r="B316" s="5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A317" s="31"/>
      <c r="B317" s="5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A318" s="31"/>
      <c r="B318" s="5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A319" s="31"/>
      <c r="B319" s="5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A320" s="31"/>
      <c r="B320" s="5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A321" s="31"/>
      <c r="B321" s="5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A322" s="31"/>
      <c r="B322" s="5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A323" s="31"/>
      <c r="B323" s="5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A324" s="31"/>
      <c r="B324" s="5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A325" s="31"/>
      <c r="B325" s="5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A326" s="31"/>
      <c r="B326" s="5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A327" s="31"/>
      <c r="B327" s="5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A328" s="31"/>
      <c r="B328" s="5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A329" s="31"/>
      <c r="B329" s="5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A330" s="31"/>
      <c r="B330" s="5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A331" s="31"/>
      <c r="B331" s="5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A332" s="31"/>
      <c r="B332" s="5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A333" s="31"/>
      <c r="B333" s="5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A334" s="31"/>
      <c r="B334" s="5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A335" s="31"/>
      <c r="B335" s="5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A336" s="31"/>
      <c r="B336" s="5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A337" s="31"/>
      <c r="B337" s="5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A338" s="31"/>
      <c r="B338" s="5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A339" s="31"/>
      <c r="B339" s="5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A340" s="31"/>
      <c r="B340" s="5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A341" s="31"/>
      <c r="B341" s="5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A342" s="31"/>
      <c r="B342" s="5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A343" s="31"/>
      <c r="B343" s="5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A344" s="31"/>
      <c r="B344" s="5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A345" s="31"/>
      <c r="B345" s="5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A346" s="31"/>
      <c r="B346" s="5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A347" s="31"/>
      <c r="B347" s="5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A348" s="31"/>
      <c r="B348" s="5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A349" s="31"/>
      <c r="B349" s="5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A350" s="31"/>
      <c r="B350" s="5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A351" s="31"/>
      <c r="B351" s="5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A352" s="31"/>
      <c r="B352" s="5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A353" s="31"/>
      <c r="B353" s="5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A354" s="31"/>
      <c r="B354" s="5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A355" s="31"/>
      <c r="B355" s="5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A356" s="31"/>
      <c r="B356" s="5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A357" s="31"/>
      <c r="B357" s="5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A358" s="31"/>
      <c r="B358" s="5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A359" s="31"/>
      <c r="B359" s="5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A360" s="31"/>
      <c r="B360" s="5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A361" s="31"/>
      <c r="B361" s="5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A362" s="31"/>
      <c r="B362" s="5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A363" s="31"/>
      <c r="B363" s="5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A364" s="31"/>
      <c r="B364" s="5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A365" s="31"/>
      <c r="B365" s="5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A366" s="31"/>
      <c r="B366" s="5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A367" s="31"/>
      <c r="B367" s="5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A368" s="31"/>
      <c r="B368" s="5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A369" s="31"/>
      <c r="B369" s="5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A370" s="31"/>
      <c r="B370" s="5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A371" s="31"/>
      <c r="B371" s="5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A372" s="31"/>
      <c r="B372" s="5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A373" s="31"/>
      <c r="B373" s="5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A374" s="31"/>
      <c r="B374" s="5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A375" s="31"/>
      <c r="B375" s="5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A376" s="31"/>
      <c r="B376" s="5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A377" s="31"/>
      <c r="B377" s="5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A378" s="31"/>
      <c r="B378" s="5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A379" s="31"/>
      <c r="B379" s="5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A380" s="31"/>
      <c r="B380" s="5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A381" s="31"/>
      <c r="B381" s="5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A382" s="31"/>
      <c r="B382" s="5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A383" s="31"/>
      <c r="B383" s="5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A384" s="31"/>
      <c r="B384" s="5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A385" s="31"/>
      <c r="B385" s="5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A386" s="31"/>
      <c r="B386" s="5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A387" s="31"/>
      <c r="B387" s="5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A388" s="31"/>
      <c r="B388" s="5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A389" s="31"/>
      <c r="B389" s="5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A390" s="31"/>
      <c r="B390" s="5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A391" s="31"/>
      <c r="B391" s="5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A392" s="31"/>
      <c r="B392" s="5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A393" s="31"/>
      <c r="B393" s="5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A394" s="31"/>
      <c r="B394" s="5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A395" s="31"/>
      <c r="B395" s="5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A396" s="31"/>
      <c r="B396" s="5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A397" s="31"/>
      <c r="B397" s="5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A398" s="31"/>
      <c r="B398" s="5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A399" s="31"/>
      <c r="B399" s="5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A400" s="31"/>
      <c r="B400" s="5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A401" s="31"/>
      <c r="B401" s="5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A402" s="31"/>
      <c r="B402" s="5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A403" s="31"/>
      <c r="B403" s="5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A404" s="31"/>
      <c r="B404" s="5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A405" s="31"/>
      <c r="B405" s="5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A406" s="31"/>
      <c r="B406" s="5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A407" s="31"/>
      <c r="B407" s="5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A408" s="31"/>
      <c r="B408" s="5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A409" s="31"/>
      <c r="B409" s="5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A410" s="31"/>
      <c r="B410" s="5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A411" s="31"/>
      <c r="B411" s="5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A412" s="31"/>
      <c r="B412" s="5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A413" s="31"/>
      <c r="B413" s="5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A414" s="31"/>
      <c r="B414" s="5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A415" s="31"/>
      <c r="B415" s="5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A416" s="31"/>
      <c r="B416" s="5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A417" s="31"/>
      <c r="B417" s="5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A418" s="31"/>
      <c r="B418" s="5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A419" s="31"/>
      <c r="B419" s="5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A420" s="31"/>
      <c r="B420" s="5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A421" s="31"/>
      <c r="B421" s="5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A422" s="31"/>
      <c r="B422" s="5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A423" s="31"/>
      <c r="B423" s="5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A424" s="31"/>
      <c r="B424" s="5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A425" s="31"/>
      <c r="B425" s="5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A426" s="31"/>
      <c r="B426" s="5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A427" s="31"/>
      <c r="B427" s="5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A428" s="31"/>
      <c r="B428" s="5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A429" s="31"/>
      <c r="B429" s="5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A430" s="31"/>
      <c r="B430" s="5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A431" s="31"/>
      <c r="B431" s="5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A432" s="31"/>
      <c r="B432" s="5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A433" s="31"/>
      <c r="B433" s="5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A434" s="31"/>
      <c r="B434" s="5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A435" s="31"/>
      <c r="B435" s="5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A436" s="31"/>
      <c r="B436" s="5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A437" s="31"/>
      <c r="B437" s="5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A438" s="31"/>
      <c r="B438" s="5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A439" s="31"/>
      <c r="B439" s="5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A440" s="31"/>
      <c r="B440" s="5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A441" s="31"/>
      <c r="B441" s="5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A442" s="31"/>
      <c r="B442" s="5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A443" s="31"/>
      <c r="B443" s="5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A444" s="31"/>
      <c r="B444" s="5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A445" s="31"/>
      <c r="B445" s="5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A446" s="31"/>
      <c r="B446" s="5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A447" s="31"/>
      <c r="B447" s="5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A448" s="31"/>
      <c r="B448" s="5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A449" s="31"/>
      <c r="B449" s="5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A450" s="31"/>
      <c r="B450" s="5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A451" s="31"/>
      <c r="B451" s="5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A452" s="31"/>
      <c r="B452" s="5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A453" s="31"/>
      <c r="B453" s="5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A454" s="31"/>
      <c r="B454" s="5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A455" s="31"/>
      <c r="B455" s="5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A456" s="31"/>
      <c r="B456" s="5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A457" s="31"/>
      <c r="B457" s="5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A458" s="31"/>
      <c r="B458" s="5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A459" s="31"/>
      <c r="B459" s="5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A460" s="31"/>
      <c r="B460" s="5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A461" s="31"/>
      <c r="B461" s="5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A462" s="31"/>
      <c r="B462" s="5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A463" s="31"/>
      <c r="B463" s="5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A464" s="31"/>
      <c r="B464" s="5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A465" s="31"/>
      <c r="B465" s="5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A466" s="31"/>
      <c r="B466" s="5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A467" s="31"/>
      <c r="B467" s="5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A468" s="31"/>
      <c r="B468" s="5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A469" s="31"/>
      <c r="B469" s="5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A470" s="31"/>
      <c r="B470" s="5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A471" s="31"/>
      <c r="B471" s="5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A472" s="31"/>
      <c r="B472" s="5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A473" s="31"/>
      <c r="B473" s="5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A474" s="31"/>
      <c r="B474" s="5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A475" s="31"/>
      <c r="B475" s="5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A476" s="31"/>
      <c r="B476" s="5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A477" s="31"/>
      <c r="B477" s="5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A478" s="31"/>
      <c r="B478" s="5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A479" s="31"/>
      <c r="B479" s="5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A480" s="31"/>
      <c r="B480" s="5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A481" s="31"/>
      <c r="B481" s="5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A482" s="31"/>
      <c r="B482" s="5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A483" s="31"/>
      <c r="B483" s="5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A484" s="31"/>
      <c r="B484" s="5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A485" s="31"/>
      <c r="B485" s="5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A486" s="31"/>
      <c r="B486" s="5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A487" s="31"/>
      <c r="B487" s="5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A488" s="31"/>
      <c r="B488" s="5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A489" s="31"/>
      <c r="B489" s="5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A490" s="31"/>
      <c r="B490" s="5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A491" s="31"/>
      <c r="B491" s="5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A492" s="31"/>
      <c r="B492" s="5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A493" s="31"/>
      <c r="B493" s="5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A494" s="31"/>
      <c r="B494" s="5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A495" s="31"/>
      <c r="B495" s="5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A496" s="31"/>
      <c r="B496" s="5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A497" s="31"/>
      <c r="B497" s="5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A498" s="31"/>
      <c r="B498" s="5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A499" s="31"/>
      <c r="B499" s="5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A500" s="31"/>
      <c r="B500" s="5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A501" s="31"/>
      <c r="B501" s="5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A502" s="31"/>
      <c r="B502" s="5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A503" s="31"/>
      <c r="B503" s="5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A504" s="31"/>
      <c r="B504" s="5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A505" s="31"/>
      <c r="B505" s="5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A506" s="31"/>
      <c r="B506" s="5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A507" s="31"/>
      <c r="B507" s="5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A508" s="31"/>
      <c r="B508" s="5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A509" s="31"/>
      <c r="B509" s="5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A510" s="31"/>
      <c r="B510" s="5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A511" s="31"/>
      <c r="B511" s="5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A512" s="31"/>
      <c r="B512" s="5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A513" s="31"/>
      <c r="B513" s="5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A514" s="31"/>
      <c r="B514" s="5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A515" s="31"/>
      <c r="B515" s="5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A516" s="31"/>
      <c r="B516" s="5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A517" s="31"/>
      <c r="B517" s="5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A518" s="31"/>
      <c r="B518" s="5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A519" s="31"/>
      <c r="B519" s="5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A520" s="31"/>
      <c r="B520" s="5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A521" s="31"/>
      <c r="B521" s="5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A522" s="31"/>
      <c r="B522" s="5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A523" s="31"/>
      <c r="B523" s="5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A524" s="31"/>
      <c r="B524" s="5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A525" s="31"/>
      <c r="B525" s="5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A526" s="31"/>
      <c r="B526" s="5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A527" s="31"/>
      <c r="B527" s="5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A528" s="31"/>
      <c r="B528" s="5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A529" s="31"/>
      <c r="B529" s="5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A530" s="31"/>
      <c r="B530" s="5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A531" s="31"/>
      <c r="B531" s="5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A532" s="31"/>
      <c r="B532" s="5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A533" s="31"/>
      <c r="B533" s="5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A534" s="31"/>
      <c r="B534" s="5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A535" s="31"/>
      <c r="B535" s="5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A536" s="31"/>
      <c r="B536" s="5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A537" s="31"/>
      <c r="B537" s="5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A538" s="31"/>
      <c r="B538" s="5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A539" s="31"/>
      <c r="B539" s="5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A540" s="31"/>
      <c r="B540" s="5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A541" s="31"/>
      <c r="B541" s="5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A542" s="31"/>
      <c r="B542" s="5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A543" s="31"/>
      <c r="B543" s="5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A544" s="31"/>
      <c r="B544" s="5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A545" s="31"/>
      <c r="B545" s="5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A546" s="31"/>
      <c r="B546" s="5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A547" s="31"/>
      <c r="B547" s="5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A548" s="31"/>
      <c r="B548" s="5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A549" s="31"/>
      <c r="B549" s="5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A550" s="31"/>
      <c r="B550" s="5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A551" s="31"/>
      <c r="B551" s="5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A552" s="31"/>
      <c r="B552" s="5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A553" s="31"/>
      <c r="B553" s="5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A554" s="31"/>
      <c r="B554" s="5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A555" s="31"/>
      <c r="B555" s="5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A556" s="31"/>
      <c r="B556" s="5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A557" s="31"/>
      <c r="B557" s="5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A558" s="31"/>
      <c r="B558" s="5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A559" s="31"/>
      <c r="B559" s="5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A560" s="31"/>
      <c r="B560" s="5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A561" s="31"/>
      <c r="B561" s="5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A562" s="31"/>
      <c r="B562" s="5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A563" s="31"/>
      <c r="B563" s="5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A564" s="31"/>
      <c r="B564" s="5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A565" s="31"/>
      <c r="B565" s="5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A566" s="31"/>
      <c r="B566" s="5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A567" s="31"/>
      <c r="B567" s="5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A568" s="31"/>
      <c r="B568" s="5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A569" s="31"/>
      <c r="B569" s="5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A570" s="31"/>
      <c r="B570" s="5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A571" s="31"/>
      <c r="B571" s="5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A572" s="31"/>
      <c r="B572" s="5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A573" s="31"/>
      <c r="B573" s="5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A574" s="31"/>
      <c r="B574" s="5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A575" s="31"/>
      <c r="B575" s="5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A576" s="31"/>
      <c r="B576" s="5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A577" s="31"/>
      <c r="B577" s="5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A578" s="31"/>
      <c r="B578" s="5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A579" s="31"/>
      <c r="B579" s="5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A580" s="31"/>
      <c r="B580" s="5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A581" s="31"/>
      <c r="B581" s="5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A582" s="31"/>
      <c r="B582" s="5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A583" s="31"/>
      <c r="B583" s="5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A584" s="31"/>
      <c r="B584" s="5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A585" s="31"/>
      <c r="B585" s="5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A586" s="31"/>
      <c r="B586" s="5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A587" s="31"/>
      <c r="B587" s="5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A588" s="31"/>
      <c r="B588" s="5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A589" s="31"/>
      <c r="B589" s="5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A590" s="31"/>
      <c r="B590" s="5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A591" s="31"/>
      <c r="B591" s="5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A592" s="31"/>
      <c r="B592" s="5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A593" s="31"/>
      <c r="B593" s="5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A594" s="31"/>
      <c r="B594" s="5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A595" s="31"/>
      <c r="B595" s="5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A596" s="31"/>
      <c r="B596" s="5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A597" s="31"/>
      <c r="B597" s="5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A598" s="31"/>
      <c r="B598" s="5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A599" s="31"/>
      <c r="B599" s="5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A600" s="31"/>
      <c r="B600" s="5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A601" s="31"/>
      <c r="B601" s="5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A602" s="31"/>
      <c r="B602" s="5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A603" s="31"/>
      <c r="B603" s="5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A604" s="31"/>
      <c r="B604" s="5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A605" s="31"/>
      <c r="B605" s="5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A606" s="31"/>
      <c r="B606" s="5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A607" s="31"/>
      <c r="B607" s="5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A608" s="31"/>
      <c r="B608" s="5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A609" s="31"/>
      <c r="B609" s="5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A610" s="31"/>
      <c r="B610" s="5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A611" s="31"/>
      <c r="B611" s="5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A612" s="31"/>
      <c r="B612" s="5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A613" s="31"/>
      <c r="B613" s="5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A614" s="31"/>
      <c r="B614" s="5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A615" s="31"/>
      <c r="B615" s="5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A616" s="31"/>
      <c r="B616" s="5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A617" s="31"/>
      <c r="B617" s="5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A618" s="31"/>
      <c r="B618" s="5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A619" s="31"/>
      <c r="B619" s="5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A620" s="31"/>
      <c r="B620" s="5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A621" s="31"/>
      <c r="B621" s="5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A622" s="31"/>
      <c r="B622" s="5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A623" s="31"/>
      <c r="B623" s="5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A624" s="31"/>
      <c r="B624" s="5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A625" s="31"/>
      <c r="B625" s="5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A626" s="31"/>
      <c r="B626" s="5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A627" s="31"/>
      <c r="B627" s="5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A628" s="31"/>
      <c r="B628" s="5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A629" s="31"/>
      <c r="B629" s="5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A630" s="31"/>
      <c r="B630" s="5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A631" s="31"/>
      <c r="B631" s="5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A632" s="31"/>
      <c r="B632" s="5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A633" s="31"/>
      <c r="B633" s="5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A634" s="31"/>
      <c r="B634" s="5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A635" s="31"/>
      <c r="B635" s="5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A636" s="31"/>
      <c r="B636" s="5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A637" s="31"/>
      <c r="B637" s="5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A638" s="31"/>
      <c r="B638" s="5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A639" s="31"/>
      <c r="B639" s="5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A640" s="31"/>
      <c r="B640" s="5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A641" s="31"/>
      <c r="B641" s="5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A642" s="31"/>
      <c r="B642" s="5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A643" s="31"/>
      <c r="B643" s="5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A644" s="31"/>
      <c r="B644" s="5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A645" s="31"/>
      <c r="B645" s="5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A646" s="31"/>
      <c r="B646" s="5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A647" s="31"/>
      <c r="B647" s="5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A648" s="31"/>
      <c r="B648" s="5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A649" s="31"/>
      <c r="B649" s="5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A650" s="31"/>
      <c r="B650" s="5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A651" s="31"/>
      <c r="B651" s="5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A652" s="31"/>
      <c r="B652" s="5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A653" s="31"/>
      <c r="B653" s="5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A654" s="31"/>
      <c r="B654" s="5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A655" s="31"/>
      <c r="B655" s="5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A656" s="31"/>
      <c r="B656" s="5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A657" s="31"/>
      <c r="B657" s="5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A658" s="31"/>
      <c r="B658" s="5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A659" s="31"/>
      <c r="B659" s="5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A660" s="31"/>
      <c r="B660" s="5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A661" s="31"/>
      <c r="B661" s="5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A662" s="31"/>
      <c r="B662" s="5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A663" s="31"/>
      <c r="B663" s="5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A664" s="31"/>
      <c r="B664" s="5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A665" s="31"/>
      <c r="B665" s="5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A666" s="31"/>
      <c r="B666" s="5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A667" s="31"/>
      <c r="B667" s="5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A668" s="31"/>
      <c r="B668" s="5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A669" s="31"/>
      <c r="B669" s="5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A670" s="31"/>
      <c r="B670" s="5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A671" s="31"/>
      <c r="B671" s="5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A672" s="31"/>
      <c r="B672" s="5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A673" s="31"/>
      <c r="B673" s="5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A674" s="31"/>
      <c r="B674" s="5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A675" s="31"/>
      <c r="B675" s="5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A676" s="31"/>
      <c r="B676" s="5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A677" s="31"/>
      <c r="B677" s="5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A678" s="31"/>
      <c r="B678" s="5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A679" s="31"/>
      <c r="B679" s="5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A680" s="31"/>
      <c r="B680" s="5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A681" s="31"/>
      <c r="B681" s="5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A682" s="31"/>
      <c r="B682" s="5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A683" s="31"/>
      <c r="B683" s="5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A684" s="31"/>
      <c r="B684" s="5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A685" s="31"/>
      <c r="B685" s="5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A686" s="31"/>
      <c r="B686" s="5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A687" s="31"/>
      <c r="B687" s="5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A688" s="31"/>
      <c r="B688" s="5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A689" s="31"/>
      <c r="B689" s="5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A690" s="31"/>
      <c r="B690" s="5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A691" s="31"/>
      <c r="B691" s="5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A692" s="31"/>
      <c r="B692" s="5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A693" s="31"/>
      <c r="B693" s="5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A694" s="31"/>
      <c r="B694" s="5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A695" s="31"/>
      <c r="B695" s="5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A696" s="31"/>
      <c r="B696" s="5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A697" s="31"/>
      <c r="B697" s="5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A698" s="31"/>
      <c r="B698" s="5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A699" s="31"/>
      <c r="B699" s="5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A700" s="31"/>
      <c r="B700" s="5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A701" s="31"/>
      <c r="B701" s="5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A702" s="31"/>
      <c r="B702" s="5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A703" s="31"/>
      <c r="B703" s="5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A704" s="31"/>
      <c r="B704" s="5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A705" s="31"/>
      <c r="B705" s="5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A706" s="31"/>
      <c r="B706" s="5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A707" s="31"/>
      <c r="B707" s="5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A708" s="31"/>
      <c r="B708" s="5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A709" s="31"/>
      <c r="B709" s="5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A710" s="31"/>
      <c r="B710" s="5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A711" s="31"/>
      <c r="B711" s="5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A712" s="31"/>
      <c r="B712" s="5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A713" s="31"/>
      <c r="B713" s="5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A714" s="31"/>
      <c r="B714" s="5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A715" s="31"/>
      <c r="B715" s="5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A716" s="31"/>
      <c r="B716" s="5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A717" s="31"/>
      <c r="B717" s="5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A718" s="31"/>
      <c r="B718" s="5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A719" s="31"/>
      <c r="B719" s="5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A720" s="31"/>
      <c r="B720" s="5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A721" s="31"/>
      <c r="B721" s="5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A722" s="31"/>
      <c r="B722" s="5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A723" s="31"/>
      <c r="B723" s="5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A724" s="31"/>
      <c r="B724" s="5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A725" s="31"/>
      <c r="B725" s="5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A726" s="31"/>
      <c r="B726" s="5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A727" s="31"/>
      <c r="B727" s="5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A728" s="31"/>
      <c r="B728" s="5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A729" s="31"/>
      <c r="B729" s="5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A730" s="31"/>
      <c r="B730" s="5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A731" s="31"/>
      <c r="B731" s="5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A732" s="31"/>
      <c r="B732" s="5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A733" s="31"/>
      <c r="B733" s="5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A734" s="31"/>
      <c r="B734" s="5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A735" s="31"/>
      <c r="B735" s="5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A736" s="31"/>
      <c r="B736" s="5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A737" s="31"/>
      <c r="B737" s="5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A738" s="31"/>
      <c r="B738" s="5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A739" s="31"/>
      <c r="B739" s="5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A740" s="31"/>
      <c r="B740" s="5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A741" s="31"/>
      <c r="B741" s="5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A742" s="31"/>
      <c r="B742" s="5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A743" s="31"/>
      <c r="B743" s="5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A744" s="31"/>
      <c r="B744" s="5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A745" s="31"/>
      <c r="B745" s="5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A746" s="31"/>
      <c r="B746" s="5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A747" s="31"/>
      <c r="B747" s="5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A748" s="31"/>
      <c r="B748" s="5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A749" s="31"/>
      <c r="B749" s="5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A750" s="31"/>
      <c r="B750" s="5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A751" s="31"/>
      <c r="B751" s="5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A752" s="31"/>
      <c r="B752" s="5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A753" s="31"/>
      <c r="B753" s="5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A754" s="31"/>
      <c r="B754" s="5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A755" s="31"/>
      <c r="B755" s="5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A756" s="31"/>
      <c r="B756" s="5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A757" s="31"/>
      <c r="B757" s="5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A758" s="31"/>
      <c r="B758" s="5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A759" s="31"/>
      <c r="B759" s="5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A760" s="31"/>
      <c r="B760" s="5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A761" s="31"/>
      <c r="B761" s="5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A762" s="31"/>
      <c r="B762" s="5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A763" s="31"/>
      <c r="B763" s="5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A764" s="31"/>
      <c r="B764" s="5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A765" s="31"/>
      <c r="B765" s="5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A766" s="31"/>
      <c r="B766" s="5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A767" s="31"/>
      <c r="B767" s="5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A768" s="31"/>
      <c r="B768" s="5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A769" s="31"/>
      <c r="B769" s="5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A770" s="31"/>
      <c r="B770" s="5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A771" s="31"/>
      <c r="B771" s="5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A772" s="31"/>
      <c r="B772" s="5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A773" s="31"/>
      <c r="B773" s="5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A774" s="31"/>
      <c r="B774" s="5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A775" s="31"/>
      <c r="B775" s="5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A776" s="31"/>
      <c r="B776" s="5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A777" s="31"/>
      <c r="B777" s="5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A778" s="31"/>
      <c r="B778" s="5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A779" s="31"/>
      <c r="B779" s="5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A780" s="31"/>
      <c r="B780" s="5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A781" s="31"/>
      <c r="B781" s="5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A782" s="31"/>
      <c r="B782" s="5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A783" s="31"/>
      <c r="B783" s="5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A784" s="31"/>
      <c r="B784" s="5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A785" s="31"/>
      <c r="B785" s="5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A786" s="31"/>
      <c r="B786" s="5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A787" s="31"/>
      <c r="B787" s="5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A788" s="31"/>
      <c r="B788" s="5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A789" s="31"/>
      <c r="B789" s="5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A790" s="31"/>
      <c r="B790" s="5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A791" s="31"/>
      <c r="B791" s="5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A792" s="31"/>
      <c r="B792" s="5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A793" s="31"/>
      <c r="B793" s="5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A794" s="31"/>
      <c r="B794" s="5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A795" s="31"/>
      <c r="B795" s="5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A796" s="31"/>
      <c r="B796" s="5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A797" s="31"/>
      <c r="B797" s="5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A798" s="31"/>
      <c r="B798" s="5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A799" s="31"/>
      <c r="B799" s="5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A800" s="31"/>
      <c r="B800" s="5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A801" s="31"/>
      <c r="B801" s="5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A802" s="31"/>
      <c r="B802" s="5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A803" s="31"/>
      <c r="B803" s="5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A804" s="31"/>
      <c r="B804" s="5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A805" s="31"/>
      <c r="B805" s="5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A806" s="31"/>
      <c r="B806" s="5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A807" s="31"/>
      <c r="B807" s="5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A808" s="31"/>
      <c r="B808" s="5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A809" s="31"/>
      <c r="B809" s="5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A810" s="31"/>
      <c r="B810" s="5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A811" s="31"/>
      <c r="B811" s="5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A812" s="31"/>
      <c r="B812" s="5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A813" s="31"/>
      <c r="B813" s="5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A814" s="31"/>
      <c r="B814" s="5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A815" s="31"/>
      <c r="B815" s="5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A816" s="31"/>
      <c r="B816" s="5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A817" s="31"/>
      <c r="B817" s="5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A818" s="31"/>
      <c r="B818" s="5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A819" s="31"/>
      <c r="B819" s="5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A820" s="31"/>
      <c r="B820" s="5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A821" s="31"/>
      <c r="B821" s="5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A822" s="31"/>
      <c r="B822" s="5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A823" s="31"/>
      <c r="B823" s="5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A824" s="31"/>
      <c r="B824" s="5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A825" s="31"/>
      <c r="B825" s="5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A826" s="31"/>
      <c r="B826" s="5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A827" s="31"/>
      <c r="B827" s="5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A828" s="31"/>
      <c r="B828" s="5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A829" s="31"/>
      <c r="B829" s="5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A830" s="31"/>
      <c r="B830" s="5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A831" s="31"/>
      <c r="B831" s="5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A832" s="31"/>
      <c r="B832" s="5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A833" s="31"/>
      <c r="B833" s="5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A834" s="31"/>
      <c r="B834" s="5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A835" s="31"/>
      <c r="B835" s="5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A836" s="31"/>
      <c r="B836" s="5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A837" s="31"/>
      <c r="B837" s="5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A838" s="31"/>
      <c r="B838" s="5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A839" s="31"/>
      <c r="B839" s="5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A840" s="31"/>
      <c r="B840" s="5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A841" s="31"/>
      <c r="B841" s="5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A842" s="31"/>
      <c r="B842" s="5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A843" s="31"/>
      <c r="B843" s="5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A844" s="31"/>
      <c r="B844" s="5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A845" s="31"/>
      <c r="B845" s="5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A846" s="31"/>
      <c r="B846" s="5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A847" s="31"/>
      <c r="B847" s="5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A848" s="31"/>
      <c r="B848" s="5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A849" s="31"/>
      <c r="B849" s="5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A850" s="31"/>
      <c r="B850" s="5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A851" s="31"/>
      <c r="B851" s="5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A852" s="31"/>
      <c r="B852" s="5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A853" s="31"/>
      <c r="B853" s="5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A854" s="31"/>
      <c r="B854" s="5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A855" s="31"/>
      <c r="B855" s="5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A856" s="31"/>
      <c r="B856" s="5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A857" s="31"/>
      <c r="B857" s="5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A858" s="31"/>
      <c r="B858" s="5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A859" s="31"/>
      <c r="B859" s="5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A860" s="31"/>
      <c r="B860" s="5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A861" s="31"/>
      <c r="B861" s="5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A862" s="31"/>
      <c r="B862" s="5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A863" s="31"/>
      <c r="B863" s="5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A864" s="31"/>
      <c r="B864" s="5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A865" s="31"/>
      <c r="B865" s="5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A866" s="31"/>
      <c r="B866" s="5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A867" s="31"/>
      <c r="B867" s="5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A868" s="31"/>
      <c r="B868" s="5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A869" s="31"/>
      <c r="B869" s="5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A870" s="31"/>
      <c r="B870" s="5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A871" s="31"/>
      <c r="B871" s="5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A872" s="31"/>
      <c r="B872" s="5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A873" s="31"/>
      <c r="B873" s="5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A874" s="31"/>
      <c r="B874" s="5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A875" s="31"/>
      <c r="B875" s="5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A876" s="31"/>
      <c r="B876" s="5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A877" s="31"/>
      <c r="B877" s="5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A878" s="31"/>
      <c r="B878" s="5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A879" s="31"/>
      <c r="B879" s="5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A880" s="31"/>
      <c r="B880" s="5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A881" s="31"/>
      <c r="B881" s="5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A882" s="31"/>
      <c r="B882" s="5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A883" s="31"/>
      <c r="B883" s="5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A884" s="31"/>
      <c r="B884" s="5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A885" s="31"/>
      <c r="B885" s="5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A886" s="31"/>
      <c r="B886" s="5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A887" s="31"/>
      <c r="B887" s="5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A888" s="31"/>
      <c r="B888" s="5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A889" s="31"/>
      <c r="B889" s="5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A890" s="31"/>
      <c r="B890" s="5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A891" s="31"/>
      <c r="B891" s="5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A892" s="31"/>
      <c r="B892" s="5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A893" s="31"/>
      <c r="B893" s="5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A894" s="31"/>
      <c r="B894" s="5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A895" s="31"/>
      <c r="B895" s="5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A896" s="31"/>
      <c r="B896" s="5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A897" s="31"/>
      <c r="B897" s="5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A898" s="31"/>
      <c r="B898" s="5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A899" s="31"/>
      <c r="B899" s="5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A900" s="31"/>
      <c r="B900" s="5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A901" s="31"/>
      <c r="B901" s="5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A902" s="31"/>
      <c r="B902" s="5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A903" s="31"/>
      <c r="B903" s="5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A904" s="31"/>
      <c r="B904" s="5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A905" s="31"/>
      <c r="B905" s="5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A906" s="31"/>
      <c r="B906" s="5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A907" s="31"/>
      <c r="B907" s="5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A908" s="31"/>
      <c r="B908" s="5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A909" s="31"/>
      <c r="B909" s="5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A910" s="31"/>
      <c r="B910" s="5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A911" s="31"/>
      <c r="B911" s="5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A912" s="31"/>
      <c r="B912" s="5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A913" s="31"/>
      <c r="B913" s="5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A914" s="31"/>
      <c r="B914" s="5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A915" s="31"/>
      <c r="B915" s="5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A916" s="31"/>
      <c r="B916" s="5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A917" s="31"/>
      <c r="B917" s="5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A918" s="31"/>
      <c r="B918" s="5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A919" s="31"/>
      <c r="B919" s="5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A920" s="31"/>
      <c r="B920" s="5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A921" s="31"/>
      <c r="B921" s="5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A922" s="31"/>
      <c r="B922" s="5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A923" s="31"/>
      <c r="B923" s="5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A924" s="31"/>
      <c r="B924" s="5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A925" s="31"/>
      <c r="B925" s="5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A926" s="31"/>
      <c r="B926" s="5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A927" s="31"/>
      <c r="B927" s="5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A928" s="31"/>
      <c r="B928" s="5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A929" s="31"/>
      <c r="B929" s="5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A930" s="31"/>
      <c r="B930" s="5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A931" s="31"/>
      <c r="B931" s="5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A932" s="31"/>
      <c r="B932" s="5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A933" s="31"/>
      <c r="B933" s="5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A934" s="31"/>
      <c r="B934" s="5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A935" s="31"/>
      <c r="B935" s="5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A936" s="31"/>
      <c r="B936" s="5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A937" s="31"/>
      <c r="B937" s="5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A938" s="31"/>
      <c r="B938" s="5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A939" s="31"/>
      <c r="B939" s="5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A940" s="31"/>
      <c r="B940" s="5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A941" s="31"/>
      <c r="B941" s="5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A942" s="31"/>
      <c r="B942" s="5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A943" s="31"/>
      <c r="B943" s="5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A944" s="31"/>
      <c r="B944" s="5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A945" s="31"/>
      <c r="B945" s="5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A946" s="31"/>
      <c r="B946" s="5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A947" s="31"/>
      <c r="B947" s="5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A948" s="31"/>
      <c r="B948" s="5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A949" s="31"/>
      <c r="B949" s="5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A950" s="31"/>
      <c r="B950" s="5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A951" s="31"/>
      <c r="B951" s="5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A952" s="31"/>
      <c r="B952" s="5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A953" s="31"/>
      <c r="B953" s="5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A954" s="31"/>
      <c r="B954" s="5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A955" s="31"/>
      <c r="B955" s="5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A956" s="31"/>
      <c r="B956" s="5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A957" s="31"/>
      <c r="B957" s="5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A958" s="31"/>
      <c r="B958" s="5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A959" s="31"/>
      <c r="B959" s="5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A960" s="31"/>
      <c r="B960" s="5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A961" s="31"/>
      <c r="B961" s="5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A962" s="31"/>
      <c r="B962" s="5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A963" s="31"/>
      <c r="B963" s="5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A964" s="31"/>
      <c r="B964" s="5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A965" s="31"/>
      <c r="B965" s="5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A966" s="31"/>
      <c r="B966" s="5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A967" s="31"/>
      <c r="B967" s="5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A968" s="31"/>
      <c r="B968" s="5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A969" s="31"/>
      <c r="B969" s="5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A970" s="31"/>
      <c r="B970" s="5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A971" s="31"/>
      <c r="B971" s="5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A972" s="31"/>
      <c r="B972" s="5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A973" s="31"/>
      <c r="B973" s="5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A974" s="31"/>
      <c r="B974" s="5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A975" s="31"/>
      <c r="B975" s="5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A976" s="31"/>
      <c r="B976" s="5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A977" s="31"/>
      <c r="B977" s="5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A978" s="31"/>
      <c r="B978" s="5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A979" s="31"/>
      <c r="B979" s="5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A980" s="31"/>
      <c r="B980" s="5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A981" s="31"/>
      <c r="B981" s="5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A982" s="31"/>
      <c r="B982" s="5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A983" s="31"/>
      <c r="B983" s="5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A984" s="31"/>
      <c r="B984" s="5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A985" s="31"/>
      <c r="B985" s="5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A986" s="31"/>
      <c r="B986" s="5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A987" s="31"/>
      <c r="B987" s="5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A988" s="31"/>
      <c r="B988" s="5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A989" s="31"/>
      <c r="B989" s="5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A990" s="31"/>
      <c r="B990" s="5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A991" s="31"/>
      <c r="B991" s="5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